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ona podstawowa" sheetId="1" r:id="rId4"/>
    <sheet state="visible" name="Opis firmy" sheetId="2" r:id="rId5"/>
    <sheet state="visible" name="Bilans" sheetId="3" r:id="rId6"/>
    <sheet state="visible" name="Rachunek zysków i strat" sheetId="4" r:id="rId7"/>
    <sheet state="visible" name="Przepływy pieniężne" sheetId="5" r:id="rId8"/>
    <sheet state="visible" name="Analiza wskaźników" sheetId="6" r:id="rId9"/>
    <sheet state="visible" name="Podsumowanie"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I7">
      <text>
        <t xml:space="preserve">Wynik dodatni z tej działalności oznacza, że podmiot gospodarczy generuje aktywa pieniężne i aktywa te mogą być wykorzystane w finansowaniu działalności inwestycyjnej jak i regulowaniu zobowiązań</t>
      </text>
    </comment>
    <comment authorId="0" ref="J7">
      <text>
        <t xml:space="preserve">Ujemny wynik oznacza wysokie nakłady inwestycyjne, których nie pokrywają wpływy inwestycyjne</t>
      </text>
    </comment>
    <comment authorId="0" ref="K7">
      <text>
        <t xml:space="preserve">Dodatnie przepływy świadczą o pozyskaniu nowych źródeł finansowania</t>
      </text>
    </comment>
    <comment authorId="0" ref="J9">
      <text>
        <t xml:space="preserve">Zysk (strata) netto</t>
      </text>
    </comment>
    <comment authorId="0" ref="K9">
      <text>
        <t xml:space="preserve">działalność operacyjna
+
działalność inwestycyjna
+
działalność finansowa</t>
      </text>
    </comment>
    <comment authorId="0" ref="I17">
      <text>
        <t xml:space="preserve">Wynik ujemny świadczy o niskiej rentowności sprzedaży, nieefektywnym zarządzaniu należnościami lub np. o tworzeniu i utrzymywaniu nadmiernych zapasów</t>
      </text>
    </comment>
    <comment authorId="0" ref="J17">
      <text>
        <t xml:space="preserve">Ujemny wynik oznacza wysokie nakłady inwestycyjne, których nie pokrywają wpływy inwestycyjne</t>
      </text>
    </comment>
    <comment authorId="0" ref="K17">
      <text>
        <t xml:space="preserve">Ujemne przepływy informują o zmniejszeniu źródeł finansowania</t>
      </text>
    </comment>
    <comment authorId="0" ref="J19">
      <text>
        <t xml:space="preserve">Zysk (strata) netto
</t>
      </text>
    </comment>
    <comment authorId="0" ref="K19">
      <text>
        <t xml:space="preserve">działalność operacyjna
+
działalność inwestycyjna
+
działalność finansowa</t>
      </text>
    </comment>
    <comment authorId="0" ref="I27">
      <text>
        <t xml:space="preserve">Wynik ujemny świadczy o niskiej rentowności sprzedaży, nieefektywnym zarządzaniu należnościami lub np. o tworzeniu i utrzymywaniu nadmiernych zapasów</t>
      </text>
    </comment>
    <comment authorId="0" ref="J27">
      <text>
        <t xml:space="preserve">Ujemny wynik oznacza wysokie nakłady inwestycyjne, których nie pokrywają wpływy inwestycyjne</t>
      </text>
    </comment>
    <comment authorId="0" ref="K27">
      <text>
        <t xml:space="preserve">Dodatnie przepływy świadczą o pozyskaniu nowych źródeł finansowania</t>
      </text>
    </comment>
    <comment authorId="0" ref="J29">
      <text>
        <t xml:space="preserve">Zysk (strata) netto</t>
      </text>
    </comment>
    <comment authorId="0" ref="K29">
      <text>
        <t xml:space="preserve">działalność operacyjna
+
działalność inwestycyjna
+
działalność finansowa</t>
      </text>
    </comment>
  </commentList>
</comments>
</file>

<file path=xl/sharedStrings.xml><?xml version="1.0" encoding="utf-8"?>
<sst xmlns="http://schemas.openxmlformats.org/spreadsheetml/2006/main" count="415" uniqueCount="280">
  <si>
    <t>Nazwa Firmy</t>
  </si>
  <si>
    <t>DataWalk Spółka Akcyjna</t>
  </si>
  <si>
    <t>Branża Firmy</t>
  </si>
  <si>
    <t>Branża IT</t>
  </si>
  <si>
    <t>Lata analizy</t>
  </si>
  <si>
    <t>2020-2022</t>
  </si>
  <si>
    <t>Autorzy</t>
  </si>
  <si>
    <t>Anna Golak, Katarzyna Wróbel, Mikołaj Ziółkowski</t>
  </si>
  <si>
    <t>Korzystamy z następujących sprawozdań:</t>
  </si>
  <si>
    <t>https://cdn.fbsbx.com/v/t59.2708-21/271256841_664012948130362_6667919469347054169_n.xhtml/20210430_064936_1112372333_Sprawozdanie_finansowe_DataWalk_SA_2020.xhtml?_nc_cat=109&amp;ccb=1-7&amp;_nc_sid=2b0e22&amp;_nc_ohc=Ys-qZEPy-RYAX_X9tsb&amp;_nc_ht=cdn.fbsbx.com&amp;oh=03_AdRrw2EP1JA4LjnW3ELvl9FtOTFSi99wM4ob4GISktSOYA&amp;oe=6596D982&amp;dl=1</t>
  </si>
  <si>
    <t>https://cdn.fbsbx.com/v/t59.2708-21/318108421_715566156434738_3511448482740236765_n.xhtml/20220427_000259_1990766386_DAT_JSF_2021-12-31_pl.xhtml?_nc_cat=108&amp;ccb=1-7&amp;_nc_sid=2b0e22&amp;_nc_ohc=04juJS3EBbUAX-LFUF1&amp;_nc_ht=cdn.fbsbx.com&amp;oh=03_AdSLXcwHwCo9k5EVeMf66BLuGWS_VN5kGKJOxm-6vT5hMA&amp;oe=6596D180&amp;dl=1</t>
  </si>
  <si>
    <t>https://cdn.fbsbx.com/v/t59.2708-21/415042913_1040396100609704_4105192557318860435_n.xhtml/20230413_170830_0388318173_DAT_JSF_2022-12-31_pl.xhtml?_nc_cat=102&amp;ccb=1-7&amp;_nc_sid=2b0e22&amp;_nc_ohc=23RPUgpRLJMAX-46EJJ&amp;_nc_ht=cdn.fbsbx.com&amp;oh=03_AdRlJNHmqZkY6CIy-eLrwPrwK3QEqJZDQehI1h4cVEKx0A&amp;oe=65972F3C&amp;dl=1</t>
  </si>
  <si>
    <t>Podział zadań w grupie:</t>
  </si>
  <si>
    <t>Anna Golak</t>
  </si>
  <si>
    <t>Bilans</t>
  </si>
  <si>
    <t>Katarzyna Wróbel</t>
  </si>
  <si>
    <t>Rachunek zysków i strat</t>
  </si>
  <si>
    <t>Mikołaj Ziółkowski</t>
  </si>
  <si>
    <t>Przepływy pieniężne</t>
  </si>
  <si>
    <t xml:space="preserve">Analiza wskaźników finansowych oraz podsumowanie wyników zostały opracowane wspólnie. </t>
  </si>
  <si>
    <t xml:space="preserve">DataWalk to polska firma informatyczna notowana na Giełdzie Papierów Wartościowych (GPW) z główną siedzibą we Wrocławiu. Specjalizuje się w opracowywaniu oprogramowania dedykowanego do analizy obszernych zbiorów danych, znanych jako big data. Spółka obsługuje różnorodnych klientów, w tym Departament Sprawiedliwości Stanów Zjednoczonych oraz Ministerstwo Finansów w Polsce. Działa na polu zaawansowanych technologii analitycznych, umożliwiając skuteczną analizę danych w celu identyfikacji wzorców, trendów czy nieprawidłowości, co może wspierać procesy śledcze i decyzyjne w obszarze przeciwdziałania przestępczości czy nadzoru epidemiologicznego.
</t>
  </si>
  <si>
    <t>Link do strony:</t>
  </si>
  <si>
    <t>https://datawalk.com/pl/</t>
  </si>
  <si>
    <t>Aktywa (dane w tysiącach PLN)</t>
  </si>
  <si>
    <t>Dane</t>
  </si>
  <si>
    <t>Zmiana stanu (łańcuchowa)</t>
  </si>
  <si>
    <t>Tempo zmian (łańcuchowe)</t>
  </si>
  <si>
    <t>Wskaźnik dynamiki (łańcuchowy)</t>
  </si>
  <si>
    <t xml:space="preserve">Dane potrzebne do obliczenia wskaźników finansowych: </t>
  </si>
  <si>
    <t>2020-2021</t>
  </si>
  <si>
    <t>2021-2022</t>
  </si>
  <si>
    <t>Aktywa trwałe</t>
  </si>
  <si>
    <t>Rzeczowe aktywa trwałe</t>
  </si>
  <si>
    <t>Aktywa razem</t>
  </si>
  <si>
    <t>Wartość firmy</t>
  </si>
  <si>
    <t>Kapitał własny</t>
  </si>
  <si>
    <t>Aktywa niematerialne</t>
  </si>
  <si>
    <t>Aktywa z tytułu prawa do użytkowania</t>
  </si>
  <si>
    <t>Inwestycje w jednostkach zależnych</t>
  </si>
  <si>
    <t>-</t>
  </si>
  <si>
    <t>Należności z tytułu dostaw i usług</t>
  </si>
  <si>
    <t>Należności długoterminowe</t>
  </si>
  <si>
    <t>Należności z tytułu podatku dochodowego</t>
  </si>
  <si>
    <t>Rozliczenia międzyokresowe długoterminowe</t>
  </si>
  <si>
    <t>Pozostałe należności</t>
  </si>
  <si>
    <t>Aktywa z tytułu odroczonego podatku dochodowego</t>
  </si>
  <si>
    <t>Aktywa obrotowe</t>
  </si>
  <si>
    <t>Zapasy</t>
  </si>
  <si>
    <t>Aktywa z tytułu umowy</t>
  </si>
  <si>
    <t>Zobowiązania z tytułu dostaw i usług</t>
  </si>
  <si>
    <t>Zobowiązania krótkoterminowe</t>
  </si>
  <si>
    <t>Aktywa finansowe</t>
  </si>
  <si>
    <t>Rozliczenia międzyokresowe</t>
  </si>
  <si>
    <t>Środki pieniężne i ich ekwiwalenty</t>
  </si>
  <si>
    <t>suma nalezności</t>
  </si>
  <si>
    <t>Struktura aktywów</t>
  </si>
  <si>
    <t>Nazwa wskaźnika</t>
  </si>
  <si>
    <t>Udział aktywów trwałych w aktywach ogółem</t>
  </si>
  <si>
    <t>Udział aktywów rzeczowych w aktywach ogółem</t>
  </si>
  <si>
    <t>Udział wartości firmy w aktywach ogółem</t>
  </si>
  <si>
    <t>Udział aktywów niematerialnych w aktywach ogółem</t>
  </si>
  <si>
    <t>Udział aktywów z tytułu prawa do użytkowania w aktywach ogółem</t>
  </si>
  <si>
    <t>Udział inwestycji w jednostkach zależnych w aktywach ogółem</t>
  </si>
  <si>
    <t>Udział należności długoterminowych w aktywach ogółem</t>
  </si>
  <si>
    <t>Udział długoterminowych rozliczeń międzyokresowych w aktywach ogółem</t>
  </si>
  <si>
    <t>Udział aktywów z tytułu odroczonego podatku dochodowego w aktywach ogółem</t>
  </si>
  <si>
    <t>Udział aktywów obrotowych w aktywach ogółem</t>
  </si>
  <si>
    <t>Udział zapasów w aktywach ogółem</t>
  </si>
  <si>
    <t xml:space="preserve">Udział aktywów z tytułu umowy w aktywach ogółem </t>
  </si>
  <si>
    <t>Udział należności z tytułu dostaw i usług w aktywach ogółem</t>
  </si>
  <si>
    <t>Udział należności z tytułu podatku dochodowego w aktywach ogółem</t>
  </si>
  <si>
    <t>Udział pozostałych należności w aktywach ogółem</t>
  </si>
  <si>
    <t>Udział aktywów finansowych w aktywach ogółem</t>
  </si>
  <si>
    <t>Udział rozliczeń międzyokresowych w aktywach ogółem</t>
  </si>
  <si>
    <t xml:space="preserve">Można odnotować znaczący wzrost udziału aktywów trwałych w aktywach ogółem, który może oznaczać, że firma zwiększa inwestycje w aktywa trwałe, co może być związane z długoterminowymi strategiami rozwoju. </t>
  </si>
  <si>
    <t>Udział środków pieniężnych i ich ekwiwalentów w aktywach ogółem</t>
  </si>
  <si>
    <t>Pasywa (dane w tysiącach PLN)</t>
  </si>
  <si>
    <t>Kapitał podstawowy</t>
  </si>
  <si>
    <t xml:space="preserve">Kapitał ze sprzedaży akcji powyżej ich wartości nominalnej </t>
  </si>
  <si>
    <t>Pozostałe kapitały</t>
  </si>
  <si>
    <t>Niepodzielony wynik z lat ubiegłych</t>
  </si>
  <si>
    <t>Wynik finansowy bieżącego roku</t>
  </si>
  <si>
    <t>Kapitał rezerwowy</t>
  </si>
  <si>
    <t>Zobowowiązania długoterminowe</t>
  </si>
  <si>
    <t>Zobowiązania z tytułu odroczonego podatku dochodowego</t>
  </si>
  <si>
    <t>Zobowiązania z tytułu leasingu finansowego</t>
  </si>
  <si>
    <t xml:space="preserve">Zobowiązania długoterminowe z tytułu programu motywacyjnego </t>
  </si>
  <si>
    <t>Zobowowiązania krótkoterminowe</t>
  </si>
  <si>
    <t>Zobowiązania z tytułu bieżącego podatku dochodowego</t>
  </si>
  <si>
    <t>Zobowiązania z tytułu leasingu</t>
  </si>
  <si>
    <t>Pozostałe zobowiązania</t>
  </si>
  <si>
    <t>Pozostałe rezerwy</t>
  </si>
  <si>
    <t>Zobowiązania z tytułu umów</t>
  </si>
  <si>
    <t>Pasywa razem</t>
  </si>
  <si>
    <t>suma zobowiązań</t>
  </si>
  <si>
    <t>Struktura pasywów</t>
  </si>
  <si>
    <t>Stopień wyposażenia przedsiębiorstwa w kapitał własny</t>
  </si>
  <si>
    <t>Udział kapitału podstawowego w pasywach ogółem</t>
  </si>
  <si>
    <t>Udział kapitału ze sprzedaży akcji powyżej ich wartości nominalnej w pasywach ogółem</t>
  </si>
  <si>
    <t>Udział pozostałych kapitałów w pasywach ogółem</t>
  </si>
  <si>
    <t>Udział niepodzielonego wyniku z lat ubiegłych w pasywach ogółem</t>
  </si>
  <si>
    <t>Udział wyniku finansowego bieżącego roku w pasywach ogółem</t>
  </si>
  <si>
    <t>Udział kapitału rezerwowego w pasywach ogółem</t>
  </si>
  <si>
    <t>Stopień obciążenia przedsiębiorstwa zobowiązaniami</t>
  </si>
  <si>
    <t>Udział zobowiązań długoterminowych w pasywach ogółem</t>
  </si>
  <si>
    <t>Udział zobowiązań z tytułu odroczonego podatku dochodowego w pasywach ogółem</t>
  </si>
  <si>
    <t xml:space="preserve">Udział zobowiązań z tytułu leasingu finansowego w pasywach ogółem                                        </t>
  </si>
  <si>
    <t>Udział zobowiązań długoterminowych z tytułu programu motywacyjnego w pasywach ogółem</t>
  </si>
  <si>
    <t>Udział zobowiązań krótkoterminowych w pasywach ogółem</t>
  </si>
  <si>
    <t>Udział zobowiązań z tytułu dostaw i usług w pasywach ogółem</t>
  </si>
  <si>
    <t>Udział zobowiązań z tytułu bieżącego podatku dochodowego w pasywach ogółem</t>
  </si>
  <si>
    <t>Udział zobowiązań z tytułu leasingu w pasywach ogółem</t>
  </si>
  <si>
    <t xml:space="preserve">Udział pozostałych zobowiązań w pasywach ogółem                                        </t>
  </si>
  <si>
    <t xml:space="preserve">Udział pozostałych rezerw w pasywach ogółem                                        </t>
  </si>
  <si>
    <t>Można zauważyć, że na przestrzeni lat maleje różnica między stopniem wyposażenia firmy w kapitał własny a stopniem obciążenia zobowiązaniami. Może to oznaczać, że firma zwiększa swoje zaangażowanie w zewnętrzne źródła finansowania i jest bardziej aktywna w zarządzaniu kapitałem.</t>
  </si>
  <si>
    <t xml:space="preserve">Udział zobowiązań z tytułu umów w pasywach ogółem                                        </t>
  </si>
  <si>
    <t>Warto zwrócić uwagę na duży spadek udziału wyniku finansowego bieżącego roku, który sygnalizuje wyzwania w generowaniu zysków firmy.</t>
  </si>
  <si>
    <t>Wskaźnik pokrycia aktywów stałych kapitałem własnym</t>
  </si>
  <si>
    <t>Wskaźnik pokrycia aktywów trwałych kapitałem stałym</t>
  </si>
  <si>
    <t>Wskaźnik pokrycia aktywów obrotowych zobowiązaniami krótkoterminowymi</t>
  </si>
  <si>
    <t xml:space="preserve">Wskaźnik pokrycia aktywów trwałych kapitałem własnym informuje, że firma ma zdecydowanie więcej kapitału własnego niż wartości aktywów trwałych. W latach 2021 i 2022 wskaźnik jednak znacząco spadł, co może wskazywać na większe wykorzystanie zewnętrznego finansowania. </t>
  </si>
  <si>
    <t xml:space="preserve">Wartość wskaźnika pokrycia aktywów obrotowych zobowiązaniami krótkoterminowymi wzrasta w kolejnych latach, co może sugerować poprawę zdolności firmy do spłacania krótkoterminowych zobowiązań, jednak dalej ta zdolność nie jest duża. </t>
  </si>
  <si>
    <t>Rachunek zysków i strat (dane w tysiącach PLN)</t>
  </si>
  <si>
    <t>Odchylenie bezwzględne (łańcuchowe)</t>
  </si>
  <si>
    <t>Działalność kontynuowana</t>
  </si>
  <si>
    <t>A.</t>
  </si>
  <si>
    <t>Przychody ze sprzedaży</t>
  </si>
  <si>
    <t>B.</t>
  </si>
  <si>
    <t>Koszty operacyjne razem</t>
  </si>
  <si>
    <t>Zużycie surowców i materiałów</t>
  </si>
  <si>
    <t>Świadczenia pracownicze</t>
  </si>
  <si>
    <t>Świadczenia pracownicze - płatności w formie akcji</t>
  </si>
  <si>
    <t>Amortyzacja</t>
  </si>
  <si>
    <t>Usługi obce</t>
  </si>
  <si>
    <t>Inne koszty operacyjne</t>
  </si>
  <si>
    <t>C.</t>
  </si>
  <si>
    <t>Wynik brutto sprzedaży</t>
  </si>
  <si>
    <t>Pozostałe przychody operacyjne</t>
  </si>
  <si>
    <t>Pozostałe koszty operacyjne</t>
  </si>
  <si>
    <t>Strata (zysk) z tytułu oczekiwanych strat kredytowych</t>
  </si>
  <si>
    <t>D.</t>
  </si>
  <si>
    <t>Wynik operacyjny</t>
  </si>
  <si>
    <t>Przychody finansowe</t>
  </si>
  <si>
    <t>Koszty finansowe</t>
  </si>
  <si>
    <t>E.</t>
  </si>
  <si>
    <t>Wynik przed opodatkowaniem</t>
  </si>
  <si>
    <t>Podatek dochodowy</t>
  </si>
  <si>
    <t>F.</t>
  </si>
  <si>
    <t>Zysk (strata) netto z działalności kontynuowanej</t>
  </si>
  <si>
    <t>Działalność zaniechana</t>
  </si>
  <si>
    <t>Zysk (strata) netto z działalności zaniechanej</t>
  </si>
  <si>
    <t>G.</t>
  </si>
  <si>
    <t>Zysk (strata) netto</t>
  </si>
  <si>
    <t>Analiza kosztu do przychodu</t>
  </si>
  <si>
    <t>Obserwując te wskaźniki, widzimy, że firma w trzech obserwowanych latach generowała znacznie więcej kosztów niż przychodów.</t>
  </si>
  <si>
    <t>Wskaźnik kosztów operacyjnych do przychodów</t>
  </si>
  <si>
    <t>Wskaźnik kosztów finansowych do przychodów</t>
  </si>
  <si>
    <t>Wskaźnik pozostałych kosztów operacyjnych do przychodów</t>
  </si>
  <si>
    <t>Struktura i dynamika przychodów</t>
  </si>
  <si>
    <t>Rodzaj przychodu</t>
  </si>
  <si>
    <t>Procentowy udział konkretnego przychodu wśród wszystkich przychodów</t>
  </si>
  <si>
    <t>Wskaźniki dynamiki - 2020 rok bazowy</t>
  </si>
  <si>
    <t>Wskaźniki dynamiki łańcuchowe</t>
  </si>
  <si>
    <t>Widzimy, że zdecydowaną większość przychodów stanowią przychody ze sprzedaży. Przychody ze sprzedaży oraz przychody finansowe rosną z roku na rok. W przypadku pozostałych przychodów operacyjnych obserwujemy wzrost w 2021 oraz spadek w 2022 (osiągają wtedy wielkość mniejszą niż w 2020)</t>
  </si>
  <si>
    <t>Struktura i dynamika kosztów</t>
  </si>
  <si>
    <t>Rodzaj kosztu</t>
  </si>
  <si>
    <t>Procentowy udział konkretnego kosztu wśród wszystkich kosztów</t>
  </si>
  <si>
    <t>We wszystkich latach większość kosztów stanowią koszty operacyjne, w roku 2021 dużą część wszystkich kosztów, bo aż 48,49% stanowią Koszty finansowe. W przypadku kosztów operacyjnych widzimy tendencję wzrostową, a w przypadku pozostałych kosztów operacyjnych oraz kosztów finansowych ciężko mówić o wyraźniej tendencji.</t>
  </si>
  <si>
    <t>Struktura i dynamika kosztów operacyjnych</t>
  </si>
  <si>
    <t>Procentowy udział konkretnego kosztu wśród kosztów operacyjnych</t>
  </si>
  <si>
    <t>We wszystkich latach Usługi obce stanowią dużą część wszystkich kosztów operacyjnych, a w roku 2022 widzimy, że niemal polowa wszystkich kosztów to Świadczenia pracownicze - płatności w formie akcji. W przypadku prawie wszystkich kosztów obserwujemy wzrost z roku na rok, oprócz Innych kosztów operacyjnych, których było mniej w 2021 niż w 2020.</t>
  </si>
  <si>
    <t>01.01.2020 - 31.12.2020</t>
  </si>
  <si>
    <t>01.01.2021 - 31.12.2021</t>
  </si>
  <si>
    <t>01.01.2022 - 31.12.2022</t>
  </si>
  <si>
    <t>DANE</t>
  </si>
  <si>
    <t>Przepływy środków pieniężnych z działalności operacyjnej</t>
  </si>
  <si>
    <t>Działalność 
operacyjna</t>
  </si>
  <si>
    <t>Działalność 
inwestycyjna</t>
  </si>
  <si>
    <t>Działalność 
finansowa</t>
  </si>
  <si>
    <t>Wariant</t>
  </si>
  <si>
    <t>III -&gt;Przedstawia sytuację, w której spółka uzyskuje środki z działalności operacyjnej i działalności finansowej. Z tych środków finansuje się działalność inwestycyjną. Spółka osiąga również w ten sposób duże nadwyżki gotówki. Jest to sytuacja charakteryzująca się prawidłowymi źródłami finansowania i umożliwia przedsiębiorstwu dynamiczny rozwój. Wariant ten dotyczy sytuacji typowej dla przedsiębiorstw rozwijających się, a w pokrywaniu wydatków inwestycyjnych angażowane są zarówno środki własne, jak i obce.</t>
  </si>
  <si>
    <t>Korekty o pozycje:</t>
  </si>
  <si>
    <t>III</t>
  </si>
  <si>
    <t>"+"</t>
  </si>
  <si>
    <t>"-"</t>
  </si>
  <si>
    <t>Zyski(straty) z tytułu różnic kursowych</t>
  </si>
  <si>
    <t>Wynik finansowy netto</t>
  </si>
  <si>
    <t>Przepływy pieniężne netto</t>
  </si>
  <si>
    <t>Koszty odsetek</t>
  </si>
  <si>
    <t>Przychody z odsetek i dywiend</t>
  </si>
  <si>
    <t>Zysk (strata) z działalności inwestycyjnej</t>
  </si>
  <si>
    <t>Odpis na utratę wartości inwestycji w jednostkach zależnych</t>
  </si>
  <si>
    <t>Odpis na utratę wartości aktywów niematerialnych</t>
  </si>
  <si>
    <t>Koszt płatności w formie akcji(rozliczany w instrumentach kapitałowych)</t>
  </si>
  <si>
    <t>Koszt płatności w formie akcji(rozliczany w środkach pieniężnych)</t>
  </si>
  <si>
    <t>VIII -&gt;Negatywnie oceniamy fakt, iż przedsiębiorstwo nie potrafi generować dodatniego salda z działalności operacyjnej oraz w celu poprawy efektów działalności  nie posiłkuje się zewnętrznymi źródłami finansowania. W tym kontekście korzystnie należy ocenić fakt, iż spółka nie pozbywa się majątku. Być może zgromadzone wcześniej zasoby gotówki są znaczące, a zarząd posiada pewną koncepcję, która skłania go do dalszego inwestowania w majątek. Jeżeli sytuacja ta utrzyma się dłuższy czas, z pewnością doprowadzi do utraty płynności i bankructwa spółki. Jednak ze względu na nietypowość tej sytuacji, możliwe są rożne scenariusze dalszego rozwoju sytuacji.</t>
  </si>
  <si>
    <t>Koszty płatności w formie akcji (programy motywacyjne)</t>
  </si>
  <si>
    <t>VIII</t>
  </si>
  <si>
    <t>Podatek dochoowy bieżącego okresu</t>
  </si>
  <si>
    <t>Zapłacony podatek dochodowy</t>
  </si>
  <si>
    <t>Zmiana stanu należności</t>
  </si>
  <si>
    <t>IV</t>
  </si>
  <si>
    <t>Zmiana stanu zapasów</t>
  </si>
  <si>
    <t>Zmiana stanu rezerw</t>
  </si>
  <si>
    <t>Zmiana stanu zobowiązań innych niż z tytułu programu motywacyjnego</t>
  </si>
  <si>
    <t>Zmiana stanu rozliczeń międzyokresowych</t>
  </si>
  <si>
    <t>Zmiana stanu aktywów i zobowiązań z tytułu umów</t>
  </si>
  <si>
    <t>Inne korekty</t>
  </si>
  <si>
    <t>VII -&gt;Sytuacja oznaczona numerem 5 jest generalnie negatywna, szczególnie, jeśli utrzymuje się dłuższy okres czasu. Spółka nie uzyskuje dodatnich przepływów z działalności operacyjnej, jednak stara się prowadzić odpowiednią działalność w zakresie inwestycji, w tym celu pozyskując środki finansowe z zewnątrz. Sytuację tę można uznać za względnie neutralną, jeśli utrzymuje się jedynie w krótkim terminie. Może bowiem charakteryzować spółkę w początkowej fazie rozwoju, lub spółkę po głębokiej restrukturyzacji. Ocenia się, że jest to wariant typowy dla nowo powstałych firm, w których bieżąca działalność i inwestycje finansowane są ze źródeł zewnętrznych, emisji akcji itp.</t>
  </si>
  <si>
    <t>Przepływy pieniężne netto z działalności operacyjnej</t>
  </si>
  <si>
    <t>VII</t>
  </si>
  <si>
    <t>Przepływy środków pieniężnych z działalności inwestycyjnej</t>
  </si>
  <si>
    <t xml:space="preserve"> </t>
  </si>
  <si>
    <t>Wydatki na nabycie wartości niematerialnych</t>
  </si>
  <si>
    <t>Wydatki na nabycie rzeczowych aktywów trwałych</t>
  </si>
  <si>
    <t>Wpływy ze sprzeaży rzeczowych aktywów trwałych</t>
  </si>
  <si>
    <t>Wydatki netto na nabycie udziałów jednostek zależnych</t>
  </si>
  <si>
    <t>Przeksięgowanie lokat bankowych powyżej 3 miesięcy</t>
  </si>
  <si>
    <t>Operacyjna</t>
  </si>
  <si>
    <t>Wpływ z tytułu lokat bankowych powyżej 3 miesięcy</t>
  </si>
  <si>
    <t>Inwestycyjna</t>
  </si>
  <si>
    <t>Wypływ z tytułu lokat bankowych powyżej 3 miesięcy</t>
  </si>
  <si>
    <t>Finansowa</t>
  </si>
  <si>
    <t>Wpływy z otrzymanych ddotacji rząddowych</t>
  </si>
  <si>
    <t>Otrzymane odsetki</t>
  </si>
  <si>
    <t>WPŁYWY</t>
  </si>
  <si>
    <t>Przepływy
pieniężne netto</t>
  </si>
  <si>
    <t>WYDATKI</t>
  </si>
  <si>
    <t>Przepływy pieniężne netto z działalności inwestycyjnej</t>
  </si>
  <si>
    <t>Przepływy środków pieniężnych z działalności finansowej</t>
  </si>
  <si>
    <t>Wpływ netto z tytułu emisji akcji</t>
  </si>
  <si>
    <t>Spłata zobowiązań z tytułu leasingu finansowego</t>
  </si>
  <si>
    <t>Odsetki zapłacone</t>
  </si>
  <si>
    <t>Środki pieniężne netto z działalności finansowej</t>
  </si>
  <si>
    <t>Zmiana netto stanu środków pieniężnych i ich ekwiwalentów</t>
  </si>
  <si>
    <t>Środki pieniężne i ich ekwiwalenty na początek okresu</t>
  </si>
  <si>
    <t>Zmiana stanu z tytułu różnic kursowych</t>
  </si>
  <si>
    <t>Środki pieniężne i ich ekwiwalenty na koniec okresu</t>
  </si>
  <si>
    <t>Analiza wskaźników finansowych</t>
  </si>
  <si>
    <t>Branża IT (oprogramowania)</t>
  </si>
  <si>
    <t>Wnioski</t>
  </si>
  <si>
    <t>Wskaźniki rentowności</t>
  </si>
  <si>
    <t>Wskaźnik rentowności majątku</t>
  </si>
  <si>
    <t>Można zauważyć, że na tle branży IT firma Datawalk nie wykorzystuje efektywnie swojego majątku. Ponadto wyraźnie widać, że kapitał własny nie jest wykorzystywany w dobry sposób. Rentowność Datawalk również znacząco odstaje od średniej branżowej, a dodatkowo pojawia się tendencja spadkowa. Może to oznaczać, że firma boryka się z problemami finansowymi.</t>
  </si>
  <si>
    <t>Wskaźnik rentowności kapitału własnego</t>
  </si>
  <si>
    <t>Rentowność netto</t>
  </si>
  <si>
    <t>Wskaźnik rentowności sprzedaży</t>
  </si>
  <si>
    <t>Rentowność ekonomiczna sprzedaży</t>
  </si>
  <si>
    <t>Wskaźniki płynności</t>
  </si>
  <si>
    <t>Wskaźnik bieżącej płynności finansowej</t>
  </si>
  <si>
    <t xml:space="preserve">Wskaźnik bieżącej płynności finansowej (będący prawie dwukrotnie większy niż w branży) wskazuje, iż firma posiada duże możliwości do pokrycia zobowiązań,jednak może to również świadczyć o nadpłynności. Wartość wskaźnika szybkiej płynności finansowej pokazuje, że przedsiębiorstwo ma wystarczające środki płynne, aby spłacić 7,46 raza swoje zobowiązania krótkoterminowe.  Wydawać by się mogło, że firma nie ma natychmiastowej potrzeby finansowania.  Wskaźnik natychmiastowej płynności finansowej informuje, że firma ma bardzo solidną zdolność do szybkiej spłaty bieżących zobowiązań w porównaniu do średniej branżowej.                                                                                                                Widać, że z roku na rok wartości wskaźników płynności systematycznie maleją. </t>
  </si>
  <si>
    <t>Wskaźnik szybkiej płynności finansowej</t>
  </si>
  <si>
    <t>Wskaźnik natychmiastowej płynności finansowej</t>
  </si>
  <si>
    <t>Wskaźnik płynności gotówkowej</t>
  </si>
  <si>
    <t>Wskaźnik wystarczalności gotówki</t>
  </si>
  <si>
    <t>Wskaźnik spłaty zobowiązań</t>
  </si>
  <si>
    <t>Wskaźnik pokrycia wydatków inwestycyjnych</t>
  </si>
  <si>
    <t>Wskaźnik pokrycia dywidend</t>
  </si>
  <si>
    <t>Wskaźnik wydajności gotówkowej</t>
  </si>
  <si>
    <t>Wskaźnik okresu bezpieczeństwa gotówkowego</t>
  </si>
  <si>
    <t>Analiza sprawności działania</t>
  </si>
  <si>
    <t>Wskaźnik rotacji aktywów</t>
  </si>
  <si>
    <t>Niższa wartość wskaźników dotyczących zapasów w porównaniu do średniej branżowej może wskazywać na efektywne zarządzanie zapasami, które minimalizuje ryzyko utraty wartości zapasów i koszty składowania. Wartość powyżej średniej branżowej wskaźników dotyczących należności sugeruje, że przedsiębiorstwo potrzebuje więcej czasu na przekształcenie należności na gotówkę niż średnia branżowa. Może to oznaczać dłuższe terminy płatności od klientów lub wyższe ryzyko niewypłacalności. Wartość wskaźnika dotyczącego zobowiązań bliska średniej branżowej informuje, że firma płaci dostawcom w podobnym tempie co średnia branżowa. Wartość tego wskaźnika z roku 2022 natomiast wskazuje iż firma potrzebuje więcej czasu na spłatę zobowiązań niż to wynika z średniej branżowej.</t>
  </si>
  <si>
    <t>Wskaźnik rotacji aktywów trwałych</t>
  </si>
  <si>
    <t>Wskażnik rotacji aktywów obrotowych</t>
  </si>
  <si>
    <t>Wskaźnik rotacji zapasów w dniach</t>
  </si>
  <si>
    <t xml:space="preserve">Wskaźnik rotacji należności </t>
  </si>
  <si>
    <t>Wskaźnik rotacji należności w dniach</t>
  </si>
  <si>
    <t>Wskaźnik rotacji zobowiązań</t>
  </si>
  <si>
    <t xml:space="preserve">Wskaźnik rotacji zobowiązań w dniach </t>
  </si>
  <si>
    <t>Cykl (w dniach)</t>
  </si>
  <si>
    <t>Przedsiębiorstwo miało znacznie niższy stopień zadłużenia w porównaniu do przeciętnej firmy w branży. Wartość tą można uznać za pozytywną, choć widoczna jest tendencja wzrostowa na przestrzeni lat.</t>
  </si>
  <si>
    <t>Wskaźniki zadłużenia</t>
  </si>
  <si>
    <t>Wskaźnik ogólnego zadłużenia</t>
  </si>
  <si>
    <t>Wskaźnik zadłużenia długoterminowego</t>
  </si>
  <si>
    <t>Wskaźnik zadłużenia kapitału własnego</t>
  </si>
  <si>
    <t>Wskaźnik niezależności finansowej</t>
  </si>
  <si>
    <t>Wskaźnik pokrycia odsetek</t>
  </si>
  <si>
    <t xml:space="preserve">Podsumowanie: </t>
  </si>
  <si>
    <t xml:space="preserve">W obliczu narastających trudności finansowych, priorytetem dla firmy Datawalk powinno być przeprowadzenie gruntownego przeglądu swojego modelu operacyjnego. Pomimo obiecującego wzrostu aktywów trwałych, spadek wyniku finansowego jest niepokojący.
Malejąca różnica między kapitałem własnym a zobowiązaniami wskazuje na potrzebę zrównoważonego zarządzania strukturą kapitałową, minimalizując ryzyko nadmiernego obciążenia zadłużeniem. Ważne jest także monitorowanie wskaźników płynności, aby zapewnić stabilność finansową w dłuższej perspektywie.
Analiza scenariuszy (III, VIII, VII) sugeruje, że firma może korzystać z różnych źródeł finansowania, ale konieczne jest dostosowanie strategii w zależności od zmieniających się warunków rynkowych. Niemożność generowania dodatnich przepływów z działalności operacyjnej wymaga szczególnej uwagi, zwłaszcza jeśli firma dąży do utrzymania płynności bez korzystania z zewnętrznych źródeł finansowania.
W kontekście konkurencji w branży IT, firma powinna aktywnie dostosowywać swoje strategie do zmieniającego się otoczenia rynkowego. Poprawa efektywności operacyjnej, zwiększenie rentowności i skuteczne wykorzystanie kapitału są kluczowe dla utrzymania konkurencyjności.
Podsumowując, Datawalk stoi przed ważnym zadaniem dostosowania się do dynamicznych warunków rynkowych. Firma powinna skoordynować kompleksowe działania obejmujące analizę operacyjną, strategiczne zarządzanie kapitałem i skupienie się na poprawie płynności finansowej.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</si>
</sst>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3">
    <font>
      <sz val="10.0"/>
      <color rgb="FF000000"/>
      <name val="Arial"/>
      <scheme val="minor"/>
    </font>
    <font>
      <color theme="1"/>
      <name val="Arial"/>
      <scheme val="minor"/>
    </font>
    <font/>
    <font>
      <u/>
      <color rgb="FF0000FF"/>
    </font>
    <font>
      <u/>
      <color rgb="FF0000FF"/>
    </font>
    <font>
      <sz val="11.0"/>
      <color theme="1"/>
      <name val="Arial"/>
      <scheme val="minor"/>
    </font>
    <font>
      <sz val="11.0"/>
      <color rgb="FF000000"/>
      <name val="Calibri"/>
    </font>
    <font>
      <b/>
      <sz val="11.0"/>
      <color rgb="FF000000"/>
      <name val="Calibri"/>
    </font>
    <font>
      <sz val="11.0"/>
      <color rgb="FF3F3F3F"/>
      <name val="Calibri"/>
    </font>
    <font>
      <b/>
      <sz val="11.0"/>
      <color theme="1"/>
      <name val="Calibri"/>
    </font>
    <font>
      <b/>
      <sz val="11.0"/>
      <color rgb="FF3F3F3F"/>
      <name val="Calibri"/>
    </font>
    <font>
      <b/>
      <color theme="1"/>
      <name val="Arial"/>
      <scheme val="minor"/>
    </font>
    <font>
      <i/>
      <sz val="11.0"/>
      <color rgb="FF3F3F3F"/>
      <name val="Calibri"/>
    </font>
    <font>
      <i/>
      <color theme="1"/>
      <name val="Arial"/>
      <scheme val="minor"/>
    </font>
    <font>
      <b/>
      <i/>
      <sz val="11.0"/>
      <color rgb="FF000000"/>
      <name val="Calibri"/>
    </font>
    <font>
      <b/>
      <sz val="11.0"/>
      <color rgb="FFF2F2F2"/>
      <name val="Calibri"/>
    </font>
    <font>
      <sz val="9.0"/>
      <color rgb="FF7E3794"/>
      <name val="&quot;Google Sans Mono&quot;"/>
    </font>
    <font>
      <b/>
      <sz val="20.0"/>
      <color theme="1"/>
      <name val="Arial"/>
      <scheme val="minor"/>
    </font>
    <font>
      <sz val="11.0"/>
      <color theme="1"/>
      <name val="Calibri"/>
    </font>
    <font>
      <color rgb="FF000000"/>
      <name val="Arial"/>
    </font>
    <font>
      <color theme="1"/>
      <name val="&quot;Times New Roman&quot;"/>
    </font>
    <font>
      <color rgb="FF000000"/>
      <name val="Arial"/>
      <scheme val="minor"/>
    </font>
    <font>
      <sz val="9.0"/>
      <color rgb="FF000000"/>
      <name val="&quot;Google Sans Mono&quot;"/>
    </font>
  </fonts>
  <fills count="13">
    <fill>
      <patternFill patternType="none"/>
    </fill>
    <fill>
      <patternFill patternType="lightGray"/>
    </fill>
    <fill>
      <patternFill patternType="solid">
        <fgColor rgb="FF9FC5E8"/>
        <bgColor rgb="FF9FC5E8"/>
      </patternFill>
    </fill>
    <fill>
      <patternFill patternType="solid">
        <fgColor rgb="FFCFE2F3"/>
        <bgColor rgb="FFCFE2F3"/>
      </patternFill>
    </fill>
    <fill>
      <patternFill patternType="solid">
        <fgColor rgb="FFC9DAF8"/>
        <bgColor rgb="FFC9DAF8"/>
      </patternFill>
    </fill>
    <fill>
      <patternFill patternType="solid">
        <fgColor rgb="FFF2F2F2"/>
        <bgColor rgb="FFF2F2F2"/>
      </patternFill>
    </fill>
    <fill>
      <patternFill patternType="solid">
        <fgColor rgb="FFD6E2FB"/>
        <bgColor rgb="FFD6E2FB"/>
      </patternFill>
    </fill>
    <fill>
      <patternFill patternType="solid">
        <fgColor rgb="FFFFFFFF"/>
        <bgColor rgb="FFFFFFFF"/>
      </patternFill>
    </fill>
    <fill>
      <patternFill patternType="solid">
        <fgColor rgb="FF6D9EEB"/>
        <bgColor rgb="FF6D9EEB"/>
      </patternFill>
    </fill>
    <fill>
      <patternFill patternType="solid">
        <fgColor rgb="FFA4C2F4"/>
        <bgColor rgb="FFA4C2F4"/>
      </patternFill>
    </fill>
    <fill>
      <patternFill patternType="solid">
        <fgColor rgb="FF6FA8DC"/>
        <bgColor rgb="FF6FA8DC"/>
      </patternFill>
    </fill>
    <fill>
      <patternFill patternType="solid">
        <fgColor rgb="FFD9D9D9"/>
        <bgColor rgb="FFD9D9D9"/>
      </patternFill>
    </fill>
    <fill>
      <patternFill patternType="solid">
        <fgColor rgb="FFEFEFEF"/>
        <bgColor rgb="FFEFEFEF"/>
      </patternFill>
    </fill>
  </fills>
  <borders count="4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3F3F3F"/>
      </left>
      <top style="thin">
        <color rgb="FF3F3F3F"/>
      </top>
      <bottom style="thin">
        <color rgb="FF3F3F3F"/>
      </bottom>
    </border>
    <border>
      <top style="thin">
        <color rgb="FF3F3F3F"/>
      </top>
      <bottom style="thin">
        <color rgb="FF3F3F3F"/>
      </bottom>
    </border>
    <border>
      <right style="thin">
        <color rgb="FF3F3F3F"/>
      </right>
      <top style="thin">
        <color rgb="FF3F3F3F"/>
      </top>
      <bottom style="thin">
        <color rgb="FF3F3F3F"/>
      </bottom>
    </border>
    <border>
      <left style="thin">
        <color rgb="FF000000"/>
      </left>
      <top style="thin">
        <color rgb="FF3F3F3F"/>
      </top>
    </border>
    <border>
      <right style="thin">
        <color rgb="FF000000"/>
      </right>
      <top style="thin">
        <color rgb="FF3F3F3F"/>
      </top>
    </border>
    <border>
      <top style="thin">
        <color rgb="FF3F3F3F"/>
      </top>
    </border>
    <border>
      <right style="thin">
        <color rgb="FF3F3F3F"/>
      </right>
      <top style="thin">
        <color rgb="FF3F3F3F"/>
      </top>
    </border>
    <border>
      <left style="thin">
        <color rgb="FF000000"/>
      </left>
      <top style="thin">
        <color rgb="FF3F3F3F"/>
      </top>
      <bottom style="thin">
        <color rgb="FF3F3F3F"/>
      </bottom>
    </border>
    <border>
      <right style="thin">
        <color rgb="FF000000"/>
      </right>
      <top style="thin">
        <color rgb="FF3F3F3F"/>
      </top>
      <bottom style="thin">
        <color rgb="FF3F3F3F"/>
      </bottom>
    </border>
    <border>
      <right style="thin">
        <color rgb="FF3F3F3F"/>
      </right>
    </border>
    <border>
      <bottom style="thin">
        <color rgb="FF3F3F3F"/>
      </bottom>
    </border>
    <border>
      <right style="thin">
        <color rgb="FF3F3F3F"/>
      </right>
      <bottom style="thin">
        <color rgb="FF3F3F3F"/>
      </bottom>
    </border>
    <border>
      <right style="thin">
        <color rgb="FF3F3F3F"/>
      </right>
      <top style="thin">
        <color rgb="FF000000"/>
      </top>
      <bottom style="thin">
        <color rgb="FF000000"/>
      </bottom>
    </border>
    <border>
      <right style="thin">
        <color rgb="FF3F3F3F"/>
      </right>
      <bottom style="thin">
        <color rgb="FF000000"/>
      </bottom>
    </border>
    <border>
      <top style="thin">
        <color rgb="FF3F3F3F"/>
      </top>
      <bottom style="thin">
        <color rgb="FF000000"/>
      </bottom>
    </border>
    <border>
      <right style="thin">
        <color rgb="FF3F3F3F"/>
      </right>
      <top style="thin">
        <color rgb="FF3F3F3F"/>
      </top>
      <bottom style="thin">
        <color rgb="FF000000"/>
      </bottom>
    </border>
    <border>
      <left style="thin">
        <color rgb="FF3F3F3F"/>
      </left>
      <bottom style="thin">
        <color rgb="FF3F3F3F"/>
      </bottom>
    </border>
    <border>
      <right style="thin">
        <color rgb="FF000000"/>
      </right>
      <bottom style="thin">
        <color rgb="FF3F3F3F"/>
      </bottom>
    </border>
    <border>
      <left style="thin">
        <color rgb="FF3F3F3F"/>
      </left>
      <top style="thin">
        <color rgb="FF3F3F3F"/>
      </top>
    </border>
    <border>
      <left style="thin">
        <color rgb="FF3F3F3F"/>
      </left>
      <top style="thin">
        <color rgb="FF000000"/>
      </top>
      <bottom style="thin">
        <color rgb="FF000000"/>
      </bottom>
    </border>
    <border>
      <top style="thin">
        <color rgb="FF000000"/>
      </top>
      <bottom style="thin">
        <color rgb="FF3F3F3F"/>
      </bottom>
    </border>
    <border>
      <right style="thin">
        <color rgb="FF3F3F3F"/>
      </right>
      <top style="thin">
        <color rgb="FF000000"/>
      </top>
      <bottom style="thin">
        <color rgb="FF3F3F3F"/>
      </bottom>
    </border>
    <border>
      <right style="thin">
        <color rgb="FF000000"/>
      </right>
      <top style="thin">
        <color rgb="FF000000"/>
      </top>
      <bottom style="thin">
        <color rgb="FF3F3F3F"/>
      </bottom>
    </border>
    <border>
      <left style="thin">
        <color rgb="FF000000"/>
      </left>
      <right style="thin">
        <color rgb="FF000000"/>
      </right>
      <bottom style="thin">
        <color rgb="FF000000"/>
      </bottom>
    </border>
  </borders>
  <cellStyleXfs count="1">
    <xf borderId="0" fillId="0" fontId="0" numFmtId="0" applyAlignment="1" applyFont="1"/>
  </cellStyleXfs>
  <cellXfs count="246">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3" fontId="1" numFmtId="0" xfId="0" applyAlignment="1" applyBorder="1" applyFill="1" applyFont="1">
      <alignment horizontal="left" readingOrder="0" vertical="center"/>
    </xf>
    <xf borderId="0" fillId="0" fontId="1" numFmtId="0" xfId="0" applyAlignment="1" applyFont="1">
      <alignment horizontal="left"/>
    </xf>
    <xf borderId="2" fillId="3" fontId="1" numFmtId="0" xfId="0" applyAlignment="1" applyBorder="1" applyFont="1">
      <alignment horizontal="center" readingOrder="0"/>
    </xf>
    <xf borderId="3" fillId="0" fontId="2" numFmtId="0" xfId="0" applyBorder="1" applyFont="1"/>
    <xf borderId="4" fillId="0" fontId="2" numFmtId="0" xfId="0" applyBorder="1" applyFont="1"/>
    <xf borderId="1" fillId="4" fontId="1" numFmtId="0" xfId="0" applyAlignment="1" applyBorder="1" applyFill="1" applyFont="1">
      <alignment readingOrder="0"/>
    </xf>
    <xf borderId="2" fillId="5" fontId="3" numFmtId="0" xfId="0" applyAlignment="1" applyBorder="1" applyFill="1" applyFont="1">
      <alignment readingOrder="0"/>
    </xf>
    <xf borderId="2" fillId="5" fontId="4" numFmtId="0" xfId="0" applyAlignment="1" applyBorder="1" applyFont="1">
      <alignment readingOrder="0"/>
    </xf>
    <xf borderId="2" fillId="5" fontId="1" numFmtId="0" xfId="0" applyAlignment="1" applyBorder="1" applyFont="1">
      <alignment readingOrder="0"/>
    </xf>
    <xf borderId="2" fillId="5" fontId="1" numFmtId="0" xfId="0" applyAlignment="1" applyBorder="1" applyFont="1">
      <alignment readingOrder="0"/>
    </xf>
    <xf borderId="2" fillId="5" fontId="1" numFmtId="0" xfId="0" applyAlignment="1" applyBorder="1" applyFont="1">
      <alignment horizontal="center" readingOrder="0"/>
    </xf>
    <xf borderId="5" fillId="0" fontId="1"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6" fontId="5" numFmtId="0" xfId="0" applyAlignment="1" applyBorder="1" applyFill="1" applyFont="1">
      <alignment horizontal="center" readingOrder="0" shrinkToFit="0" vertical="top"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 fillId="5" fontId="2" numFmtId="0" xfId="0" applyAlignment="1" applyBorder="1" applyFont="1">
      <alignment readingOrder="0"/>
    </xf>
    <xf borderId="0" fillId="0" fontId="6" numFmtId="0" xfId="0" applyAlignment="1" applyFont="1">
      <alignment shrinkToFit="0" vertical="bottom" wrapText="0"/>
    </xf>
    <xf borderId="21" fillId="7" fontId="7" numFmtId="0" xfId="0" applyAlignment="1" applyBorder="1" applyFill="1" applyFont="1">
      <alignment horizontal="center" readingOrder="0" shrinkToFit="0" wrapText="0"/>
    </xf>
    <xf borderId="22" fillId="0" fontId="2" numFmtId="0" xfId="0" applyBorder="1" applyFont="1"/>
    <xf borderId="23" fillId="0" fontId="2" numFmtId="0" xfId="0" applyBorder="1" applyFont="1"/>
    <xf borderId="14" fillId="8" fontId="7" numFmtId="0" xfId="0" applyAlignment="1" applyBorder="1" applyFill="1" applyFont="1">
      <alignment horizontal="center" readingOrder="0" shrinkToFit="0" vertical="center" wrapText="0"/>
    </xf>
    <xf borderId="13" fillId="8" fontId="7" numFmtId="164" xfId="0" applyAlignment="1" applyBorder="1" applyFont="1" applyNumberFormat="1">
      <alignment horizontal="center" readingOrder="0" shrinkToFit="0" vertical="center" wrapText="0"/>
    </xf>
    <xf borderId="14" fillId="8" fontId="7" numFmtId="0" xfId="0" applyAlignment="1" applyBorder="1" applyFont="1">
      <alignment horizontal="center" readingOrder="0" shrinkToFit="0" vertical="bottom" wrapText="0"/>
    </xf>
    <xf borderId="13" fillId="8" fontId="7" numFmtId="0" xfId="0" applyAlignment="1" applyBorder="1" applyFont="1">
      <alignment horizontal="center" readingOrder="0" shrinkToFit="0" vertical="bottom" wrapText="0"/>
    </xf>
    <xf borderId="3" fillId="8" fontId="7" numFmtId="0" xfId="0" applyAlignment="1" applyBorder="1" applyFont="1">
      <alignment horizontal="center" readingOrder="0" shrinkToFit="0" wrapText="0"/>
    </xf>
    <xf borderId="2" fillId="8" fontId="7" numFmtId="0" xfId="0" applyAlignment="1" applyBorder="1" applyFont="1">
      <alignment horizontal="center" readingOrder="0" shrinkToFit="0" wrapText="0"/>
    </xf>
    <xf borderId="3" fillId="3" fontId="7" numFmtId="0" xfId="0" applyAlignment="1" applyBorder="1" applyFont="1">
      <alignment readingOrder="0" shrinkToFit="0" wrapText="0"/>
    </xf>
    <xf borderId="2" fillId="3" fontId="7" numFmtId="3" xfId="0" applyAlignment="1" applyBorder="1" applyFont="1" applyNumberFormat="1">
      <alignment horizontal="right" readingOrder="0" shrinkToFit="0" wrapText="0"/>
    </xf>
    <xf borderId="3" fillId="3" fontId="7" numFmtId="3" xfId="0" applyAlignment="1" applyBorder="1" applyFont="1" applyNumberFormat="1">
      <alignment horizontal="right" readingOrder="0" shrinkToFit="0" wrapText="0"/>
    </xf>
    <xf borderId="13" fillId="3" fontId="7" numFmtId="3" xfId="0" applyAlignment="1" applyBorder="1" applyFont="1" applyNumberFormat="1">
      <alignment horizontal="right" readingOrder="0" shrinkToFit="0" wrapText="0"/>
    </xf>
    <xf borderId="14" fillId="3" fontId="7" numFmtId="10" xfId="0" applyAlignment="1" applyBorder="1" applyFont="1" applyNumberFormat="1">
      <alignment horizontal="right" readingOrder="0" shrinkToFit="0" wrapText="0"/>
    </xf>
    <xf borderId="3" fillId="3" fontId="7" numFmtId="10" xfId="0" applyAlignment="1" applyBorder="1" applyFont="1" applyNumberFormat="1">
      <alignment horizontal="right" readingOrder="0" shrinkToFit="0" wrapText="0"/>
    </xf>
    <xf borderId="0" fillId="4" fontId="1" numFmtId="164" xfId="0" applyAlignment="1" applyFont="1" applyNumberFormat="1">
      <alignment readingOrder="0"/>
    </xf>
    <xf borderId="24" fillId="5" fontId="8" numFmtId="0" xfId="0" applyAlignment="1" applyBorder="1" applyFont="1">
      <alignment readingOrder="0" shrinkToFit="0" wrapText="0"/>
    </xf>
    <xf borderId="25" fillId="0" fontId="2" numFmtId="0" xfId="0" applyBorder="1" applyFont="1"/>
    <xf borderId="26" fillId="0" fontId="2" numFmtId="0" xfId="0" applyBorder="1" applyFont="1"/>
    <xf borderId="25" fillId="5" fontId="8" numFmtId="3" xfId="0" applyAlignment="1" applyBorder="1" applyFont="1" applyNumberFormat="1">
      <alignment horizontal="right" readingOrder="0" shrinkToFit="0" vertical="bottom" wrapText="0"/>
    </xf>
    <xf borderId="27" fillId="5" fontId="8" numFmtId="3" xfId="0" applyAlignment="1" applyBorder="1" applyFont="1" applyNumberFormat="1">
      <alignment horizontal="right" readingOrder="0" shrinkToFit="0" wrapText="0"/>
    </xf>
    <xf borderId="28" fillId="0" fontId="2" numFmtId="0" xfId="0" applyBorder="1" applyFont="1"/>
    <xf borderId="29" fillId="5" fontId="8" numFmtId="3" xfId="0" applyAlignment="1" applyBorder="1" applyFont="1" applyNumberFormat="1">
      <alignment horizontal="right" readingOrder="0" shrinkToFit="0" wrapText="0"/>
    </xf>
    <xf borderId="30" fillId="0" fontId="2" numFmtId="0" xfId="0" applyBorder="1" applyFont="1"/>
    <xf borderId="13" fillId="5" fontId="6" numFmtId="3" xfId="0" applyAlignment="1" applyBorder="1" applyFont="1" applyNumberFormat="1">
      <alignment horizontal="right" readingOrder="0" shrinkToFit="0" wrapText="0"/>
    </xf>
    <xf borderId="25" fillId="5" fontId="8" numFmtId="3" xfId="0" applyAlignment="1" applyBorder="1" applyFont="1" applyNumberFormat="1">
      <alignment horizontal="right" readingOrder="0" shrinkToFit="0" wrapText="0"/>
    </xf>
    <xf borderId="31" fillId="5" fontId="8" numFmtId="10" xfId="0" applyAlignment="1" applyBorder="1" applyFont="1" applyNumberFormat="1">
      <alignment horizontal="right" readingOrder="0" shrinkToFit="0" wrapText="0"/>
    </xf>
    <xf borderId="25" fillId="5" fontId="8" numFmtId="10" xfId="0" applyAlignment="1" applyBorder="1" applyFont="1" applyNumberFormat="1">
      <alignment horizontal="right" readingOrder="0" shrinkToFit="0" wrapText="0"/>
    </xf>
    <xf borderId="32" fillId="0" fontId="2" numFmtId="0" xfId="0" applyBorder="1" applyFont="1"/>
    <xf borderId="0" fillId="4" fontId="1" numFmtId="0" xfId="0" applyAlignment="1" applyFont="1">
      <alignment readingOrder="0"/>
    </xf>
    <xf borderId="0" fillId="0" fontId="1" numFmtId="0" xfId="0" applyAlignment="1" applyFont="1">
      <alignment readingOrder="0"/>
    </xf>
    <xf borderId="2" fillId="5" fontId="8" numFmtId="3" xfId="0" applyAlignment="1" applyBorder="1" applyFont="1" applyNumberFormat="1">
      <alignment horizontal="right" readingOrder="0" shrinkToFit="0" wrapText="0"/>
    </xf>
    <xf borderId="0" fillId="5" fontId="8" numFmtId="3" xfId="0" applyAlignment="1" applyFont="1" applyNumberFormat="1">
      <alignment horizontal="right" readingOrder="0" shrinkToFit="0" wrapText="0"/>
    </xf>
    <xf borderId="33" fillId="0" fontId="2" numFmtId="0" xfId="0" applyBorder="1" applyFont="1"/>
    <xf borderId="31" fillId="5" fontId="8" numFmtId="0" xfId="0" applyAlignment="1" applyBorder="1" applyFont="1">
      <alignment horizontal="right" readingOrder="0" shrinkToFit="0" wrapText="0"/>
    </xf>
    <xf borderId="25" fillId="5" fontId="8" numFmtId="0" xfId="0" applyAlignment="1" applyBorder="1" applyFont="1">
      <alignment horizontal="right" readingOrder="0" shrinkToFit="0" wrapText="0"/>
    </xf>
    <xf borderId="16" fillId="5" fontId="8" numFmtId="3" xfId="0" applyAlignment="1" applyBorder="1" applyFont="1" applyNumberFormat="1">
      <alignment horizontal="right" readingOrder="0" shrinkToFit="0" wrapText="0"/>
    </xf>
    <xf borderId="34" fillId="5" fontId="8" numFmtId="3" xfId="0" applyAlignment="1" applyBorder="1" applyFont="1" applyNumberFormat="1">
      <alignment horizontal="right" readingOrder="0" shrinkToFit="0" wrapText="0"/>
    </xf>
    <xf borderId="35" fillId="0" fontId="2" numFmtId="0" xfId="0" applyBorder="1" applyFont="1"/>
    <xf borderId="36" fillId="0" fontId="2" numFmtId="0" xfId="0" applyBorder="1" applyFont="1"/>
    <xf borderId="19" fillId="3" fontId="7" numFmtId="3" xfId="0" applyAlignment="1" applyBorder="1" applyFont="1" applyNumberFormat="1">
      <alignment horizontal="right" readingOrder="0" shrinkToFit="0" wrapText="0"/>
    </xf>
    <xf borderId="18" fillId="3" fontId="7" numFmtId="10" xfId="0" applyAlignment="1" applyBorder="1" applyFont="1" applyNumberFormat="1">
      <alignment horizontal="right" readingOrder="0" shrinkToFit="0" wrapText="0"/>
    </xf>
    <xf borderId="19" fillId="3" fontId="7" numFmtId="10" xfId="0" applyAlignment="1" applyBorder="1" applyFont="1" applyNumberFormat="1">
      <alignment horizontal="right" readingOrder="0" shrinkToFit="0" wrapText="0"/>
    </xf>
    <xf borderId="37" fillId="0" fontId="2" numFmtId="0" xfId="0" applyBorder="1" applyFont="1"/>
    <xf borderId="0" fillId="0" fontId="1" numFmtId="0" xfId="0" applyFont="1"/>
    <xf borderId="31" fillId="5" fontId="8" numFmtId="3" xfId="0" applyAlignment="1" applyBorder="1" applyFont="1" applyNumberFormat="1">
      <alignment horizontal="right" readingOrder="0" shrinkToFit="0" wrapText="0"/>
    </xf>
    <xf borderId="24" fillId="5" fontId="8" numFmtId="0" xfId="0" applyAlignment="1" applyBorder="1" applyFont="1">
      <alignment readingOrder="0" shrinkToFit="0" vertical="bottom" wrapText="0"/>
    </xf>
    <xf borderId="38" fillId="5" fontId="8" numFmtId="3" xfId="0" applyAlignment="1" applyBorder="1" applyFont="1" applyNumberFormat="1">
      <alignment horizontal="right" readingOrder="0" shrinkToFit="0" wrapText="0"/>
    </xf>
    <xf borderId="39" fillId="0" fontId="2" numFmtId="0" xfId="0" applyBorder="1" applyFont="1"/>
    <xf borderId="18" fillId="5" fontId="8" numFmtId="3" xfId="0" applyAlignment="1" applyBorder="1" applyFont="1" applyNumberFormat="1">
      <alignment horizontal="right" readingOrder="0" shrinkToFit="0" wrapText="0"/>
    </xf>
    <xf borderId="19" fillId="5" fontId="8" numFmtId="3" xfId="0" applyAlignment="1" applyBorder="1" applyFont="1" applyNumberFormat="1">
      <alignment horizontal="right" readingOrder="0" shrinkToFit="0" wrapText="0"/>
    </xf>
    <xf borderId="3" fillId="9" fontId="7" numFmtId="0" xfId="0" applyAlignment="1" applyBorder="1" applyFill="1" applyFont="1">
      <alignment horizontal="left" readingOrder="0" shrinkToFit="0" wrapText="0"/>
    </xf>
    <xf borderId="3" fillId="9" fontId="7" numFmtId="3" xfId="0" applyAlignment="1" applyBorder="1" applyFont="1" applyNumberFormat="1">
      <alignment horizontal="right" readingOrder="0" shrinkToFit="0" wrapText="0"/>
    </xf>
    <xf borderId="2" fillId="9" fontId="7" numFmtId="3" xfId="0" applyAlignment="1" applyBorder="1" applyFont="1" applyNumberFormat="1">
      <alignment horizontal="right" readingOrder="0" shrinkToFit="0" wrapText="0"/>
    </xf>
    <xf borderId="19" fillId="9" fontId="7" numFmtId="3" xfId="0" applyAlignment="1" applyBorder="1" applyFont="1" applyNumberFormat="1">
      <alignment horizontal="right" readingOrder="0" shrinkToFit="0" wrapText="0"/>
    </xf>
    <xf borderId="18" fillId="9" fontId="7" numFmtId="10" xfId="0" applyAlignment="1" applyBorder="1" applyFont="1" applyNumberFormat="1">
      <alignment horizontal="right" readingOrder="0" shrinkToFit="0" wrapText="0"/>
    </xf>
    <xf borderId="19" fillId="9" fontId="7" numFmtId="10" xfId="0" applyAlignment="1" applyBorder="1" applyFont="1" applyNumberFormat="1">
      <alignment horizontal="right" readingOrder="0" shrinkToFit="0" wrapText="0"/>
    </xf>
    <xf borderId="0" fillId="0" fontId="1" numFmtId="3" xfId="0" applyFont="1" applyNumberFormat="1"/>
    <xf borderId="19" fillId="8" fontId="9" numFmtId="0" xfId="0" applyAlignment="1" applyBorder="1" applyFont="1">
      <alignment horizontal="center" readingOrder="0" shrinkToFit="0" wrapText="0"/>
    </xf>
    <xf borderId="18" fillId="8" fontId="9" numFmtId="0" xfId="0" applyAlignment="1" applyBorder="1" applyFont="1">
      <alignment horizontal="center" readingOrder="0" shrinkToFit="0" wrapText="0"/>
    </xf>
    <xf borderId="19" fillId="8" fontId="9" numFmtId="0" xfId="0" applyAlignment="1" applyBorder="1" applyFont="1">
      <alignment horizontal="center" readingOrder="0" shrinkToFit="0" vertical="bottom" wrapText="0"/>
    </xf>
    <xf borderId="40" fillId="4" fontId="10" numFmtId="0" xfId="0" applyAlignment="1" applyBorder="1" applyFont="1">
      <alignment horizontal="left" readingOrder="0"/>
    </xf>
    <xf borderId="34" fillId="0" fontId="2" numFmtId="0" xfId="0" applyBorder="1" applyFont="1"/>
    <xf borderId="41" fillId="0" fontId="2" numFmtId="0" xfId="0" applyBorder="1" applyFont="1"/>
    <xf borderId="34" fillId="4" fontId="10" numFmtId="10" xfId="0" applyAlignment="1" applyBorder="1" applyFont="1" applyNumberFormat="1">
      <alignment horizontal="right" readingOrder="0" shrinkToFit="0" wrapText="0"/>
    </xf>
    <xf borderId="0" fillId="0" fontId="11" numFmtId="0" xfId="0" applyFont="1"/>
    <xf borderId="24" fillId="5" fontId="8" numFmtId="0" xfId="0" applyAlignment="1" applyBorder="1" applyFont="1">
      <alignment horizontal="left" readingOrder="0" shrinkToFit="0" wrapText="0"/>
    </xf>
    <xf borderId="24" fillId="4" fontId="10" numFmtId="0" xfId="0" applyAlignment="1" applyBorder="1" applyFont="1">
      <alignment horizontal="left" readingOrder="0" shrinkToFit="0" wrapText="0"/>
    </xf>
    <xf borderId="25" fillId="4" fontId="10" numFmtId="10" xfId="0" applyAlignment="1" applyBorder="1" applyFont="1" applyNumberFormat="1">
      <alignment horizontal="right" readingOrder="0" shrinkToFit="0" wrapText="0"/>
    </xf>
    <xf borderId="42" fillId="5" fontId="8" numFmtId="0" xfId="0" applyAlignment="1" applyBorder="1" applyFont="1">
      <alignment horizontal="left" readingOrder="0" shrinkToFit="0" wrapText="0"/>
    </xf>
    <xf borderId="29" fillId="0" fontId="2" numFmtId="0" xfId="0" applyBorder="1" applyFont="1"/>
    <xf borderId="29" fillId="5" fontId="8" numFmtId="10" xfId="0" applyAlignment="1" applyBorder="1" applyFont="1" applyNumberFormat="1">
      <alignment horizontal="right" readingOrder="0" shrinkToFit="0" wrapText="0"/>
    </xf>
    <xf borderId="2" fillId="5" fontId="8" numFmtId="0" xfId="0" applyAlignment="1" applyBorder="1" applyFont="1">
      <alignment horizontal="left" readingOrder="0" shrinkToFit="0" wrapText="0"/>
    </xf>
    <xf borderId="43" fillId="5" fontId="8" numFmtId="0" xfId="0" applyAlignment="1" applyBorder="1" applyFont="1">
      <alignment horizontal="left" readingOrder="0" shrinkToFit="0" wrapText="0"/>
    </xf>
    <xf borderId="13" fillId="5" fontId="1" numFmtId="0" xfId="0" applyAlignment="1" applyBorder="1" applyFont="1">
      <alignment horizontal="center" readingOrder="0" shrinkToFit="0" vertical="center" wrapText="1"/>
    </xf>
    <xf borderId="3" fillId="5" fontId="8" numFmtId="10" xfId="0" applyAlignment="1" applyBorder="1" applyFont="1" applyNumberFormat="1">
      <alignment horizontal="right" readingOrder="0" shrinkToFit="0" wrapText="0"/>
    </xf>
    <xf borderId="14" fillId="3" fontId="7" numFmtId="0" xfId="0" applyAlignment="1" applyBorder="1" applyFont="1">
      <alignment readingOrder="0" shrinkToFit="0" wrapText="0"/>
    </xf>
    <xf borderId="14" fillId="3" fontId="7" numFmtId="3" xfId="0" applyAlignment="1" applyBorder="1" applyFont="1" applyNumberFormat="1">
      <alignment horizontal="right" readingOrder="0" shrinkToFit="0" wrapText="0"/>
    </xf>
    <xf borderId="24" fillId="5" fontId="8" numFmtId="10" xfId="0" applyAlignment="1" applyBorder="1" applyFont="1" applyNumberFormat="1">
      <alignment horizontal="right" readingOrder="0" shrinkToFit="0" wrapText="0"/>
    </xf>
    <xf borderId="24" fillId="5" fontId="8" numFmtId="3" xfId="0" applyAlignment="1" applyBorder="1" applyFont="1" applyNumberFormat="1">
      <alignment horizontal="right" readingOrder="0" shrinkToFit="0" vertical="bottom" wrapText="0"/>
    </xf>
    <xf borderId="0" fillId="3" fontId="7" numFmtId="3" xfId="0" applyAlignment="1" applyFont="1" applyNumberFormat="1">
      <alignment horizontal="right" readingOrder="0" shrinkToFit="0" wrapText="0"/>
    </xf>
    <xf borderId="0" fillId="3" fontId="7" numFmtId="10" xfId="0" applyAlignment="1" applyFont="1" applyNumberFormat="1">
      <alignment horizontal="right" readingOrder="0" shrinkToFit="0" wrapText="0"/>
    </xf>
    <xf borderId="24" fillId="5" fontId="8" numFmtId="3" xfId="0" applyAlignment="1" applyBorder="1" applyFont="1" applyNumberFormat="1">
      <alignment horizontal="right" readingOrder="0" shrinkToFit="0" wrapText="0"/>
    </xf>
    <xf borderId="24" fillId="5" fontId="8" numFmtId="0" xfId="0" applyAlignment="1" applyBorder="1" applyFont="1">
      <alignment horizontal="right" readingOrder="0" shrinkToFit="0" wrapText="0"/>
    </xf>
    <xf borderId="42" fillId="5" fontId="8" numFmtId="0" xfId="0" applyAlignment="1" applyBorder="1" applyFont="1">
      <alignment readingOrder="0" shrinkToFit="0" wrapText="0"/>
    </xf>
    <xf borderId="3" fillId="9" fontId="7" numFmtId="0" xfId="0" applyAlignment="1" applyBorder="1" applyFont="1">
      <alignment readingOrder="0" shrinkToFit="0" wrapText="0"/>
    </xf>
    <xf borderId="19" fillId="8" fontId="7" numFmtId="0" xfId="0" applyAlignment="1" applyBorder="1" applyFont="1">
      <alignment horizontal="center" readingOrder="0" shrinkToFit="0" wrapText="0"/>
    </xf>
    <xf borderId="18" fillId="8" fontId="7" numFmtId="0" xfId="0" applyAlignment="1" applyBorder="1" applyFont="1">
      <alignment horizontal="center" readingOrder="0" shrinkToFit="0" wrapText="0"/>
    </xf>
    <xf borderId="19" fillId="8" fontId="7" numFmtId="0" xfId="0" applyAlignment="1" applyBorder="1" applyFont="1">
      <alignment horizontal="center" readingOrder="0" shrinkToFit="0" vertical="bottom" wrapText="0"/>
    </xf>
    <xf borderId="19" fillId="3" fontId="7" numFmtId="0" xfId="0" applyAlignment="1" applyBorder="1" applyFont="1">
      <alignment horizontal="left" readingOrder="0" shrinkToFit="0" wrapText="0"/>
    </xf>
    <xf borderId="44" fillId="5" fontId="8" numFmtId="10" xfId="0" applyAlignment="1" applyBorder="1" applyFont="1" applyNumberFormat="1">
      <alignment horizontal="right" readingOrder="0" shrinkToFit="0" wrapText="0"/>
    </xf>
    <xf borderId="45" fillId="0" fontId="2" numFmtId="0" xfId="0" applyBorder="1" applyFont="1"/>
    <xf borderId="46" fillId="0" fontId="2" numFmtId="0" xfId="0" applyBorder="1" applyFont="1"/>
    <xf borderId="2" fillId="6" fontId="12" numFmtId="0" xfId="0" applyAlignment="1" applyBorder="1" applyFont="1">
      <alignment horizontal="left" readingOrder="0" shrinkToFit="0" wrapText="0"/>
    </xf>
    <xf borderId="2" fillId="6" fontId="12" numFmtId="10" xfId="0" applyAlignment="1" applyBorder="1" applyFont="1" applyNumberFormat="1">
      <alignment horizontal="right" readingOrder="0" shrinkToFit="0" wrapText="0"/>
    </xf>
    <xf borderId="0" fillId="6" fontId="12" numFmtId="10" xfId="0" applyAlignment="1" applyFont="1" applyNumberFormat="1">
      <alignment horizontal="right" readingOrder="0" shrinkToFit="0" wrapText="0"/>
    </xf>
    <xf borderId="0" fillId="0" fontId="13" numFmtId="0" xfId="0" applyFont="1"/>
    <xf borderId="40" fillId="5" fontId="8" numFmtId="0" xfId="0" applyAlignment="1" applyBorder="1" applyFont="1">
      <alignment horizontal="left" readingOrder="0" shrinkToFit="0" wrapText="0"/>
    </xf>
    <xf borderId="0" fillId="5" fontId="8" numFmtId="10" xfId="0" applyAlignment="1" applyFont="1" applyNumberFormat="1">
      <alignment horizontal="right" readingOrder="0" shrinkToFit="0" wrapText="0"/>
    </xf>
    <xf borderId="2" fillId="5" fontId="8" numFmtId="10" xfId="0" applyAlignment="1" applyBorder="1" applyFont="1" applyNumberFormat="1">
      <alignment horizontal="right" readingOrder="0" shrinkToFit="0" wrapText="0"/>
    </xf>
    <xf borderId="25" fillId="6" fontId="12" numFmtId="10" xfId="0" applyAlignment="1" applyBorder="1" applyFont="1" applyNumberFormat="1">
      <alignment horizontal="right" readingOrder="0" shrinkToFit="0" wrapText="0"/>
    </xf>
    <xf borderId="34" fillId="5" fontId="8" numFmtId="10" xfId="0" applyAlignment="1" applyBorder="1" applyFont="1" applyNumberFormat="1">
      <alignment horizontal="right" readingOrder="0" shrinkToFit="0" wrapText="0"/>
    </xf>
    <xf borderId="13" fillId="5" fontId="1" numFmtId="0" xfId="0" applyAlignment="1" applyBorder="1" applyFont="1">
      <alignment horizontal="center" readingOrder="0" shrinkToFit="0" vertical="top" wrapText="1"/>
    </xf>
    <xf borderId="19" fillId="5" fontId="6" numFmtId="0" xfId="0" applyAlignment="1" applyBorder="1" applyFont="1">
      <alignment horizontal="left" readingOrder="0" shrinkToFit="0" wrapText="0"/>
    </xf>
    <xf borderId="19" fillId="5" fontId="6" numFmtId="10" xfId="0" applyAlignment="1" applyBorder="1" applyFont="1" applyNumberFormat="1">
      <alignment horizontal="right" readingOrder="0" shrinkToFit="0" wrapText="0"/>
    </xf>
    <xf borderId="3" fillId="5" fontId="6" numFmtId="10" xfId="0" applyAlignment="1" applyBorder="1" applyFont="1" applyNumberFormat="1">
      <alignment horizontal="right" readingOrder="0" shrinkToFit="0" wrapText="0"/>
    </xf>
    <xf borderId="2" fillId="5" fontId="6" numFmtId="0" xfId="0" applyAlignment="1" applyBorder="1" applyFont="1">
      <alignment horizontal="left" readingOrder="0" shrinkToFit="0" wrapText="0"/>
    </xf>
    <xf borderId="2" fillId="5" fontId="6" numFmtId="10" xfId="0" applyAlignment="1" applyBorder="1" applyFont="1" applyNumberFormat="1">
      <alignment horizontal="right" readingOrder="0" shrinkToFit="0" wrapText="0"/>
    </xf>
    <xf borderId="0" fillId="7" fontId="6" numFmtId="0" xfId="0" applyAlignment="1" applyFont="1">
      <alignment horizontal="center" readingOrder="0" shrinkToFit="0" vertical="center" wrapText="0"/>
    </xf>
    <xf borderId="0" fillId="7" fontId="7" numFmtId="0" xfId="0" applyAlignment="1" applyFont="1">
      <alignment horizontal="center" readingOrder="0" shrinkToFit="0" wrapText="0"/>
    </xf>
    <xf borderId="0" fillId="7" fontId="6" numFmtId="0" xfId="0" applyAlignment="1" applyFont="1">
      <alignment horizontal="center" readingOrder="0" shrinkToFit="0" vertical="bottom" wrapText="0"/>
    </xf>
    <xf borderId="0" fillId="7" fontId="1" numFmtId="0" xfId="0" applyFont="1"/>
    <xf borderId="0" fillId="7" fontId="7" numFmtId="0" xfId="0" applyAlignment="1" applyFont="1">
      <alignment horizontal="center" readingOrder="0" shrinkToFit="0" vertical="center" wrapText="0"/>
    </xf>
    <xf borderId="0" fillId="7" fontId="7" numFmtId="0" xfId="0" applyAlignment="1" applyFont="1">
      <alignment horizontal="center" readingOrder="0" shrinkToFit="0" vertical="bottom" wrapText="0"/>
    </xf>
    <xf borderId="14" fillId="10" fontId="7" numFmtId="0" xfId="0" applyAlignment="1" applyBorder="1" applyFill="1" applyFont="1">
      <alignment horizontal="center" readingOrder="0" shrinkToFit="0" vertical="center" wrapText="0"/>
    </xf>
    <xf borderId="13" fillId="10" fontId="7" numFmtId="0" xfId="0" applyAlignment="1" applyBorder="1" applyFont="1">
      <alignment horizontal="center" readingOrder="0" shrinkToFit="0" vertical="center" wrapText="0"/>
    </xf>
    <xf borderId="2" fillId="10" fontId="7" numFmtId="0" xfId="0" applyAlignment="1" applyBorder="1" applyFont="1">
      <alignment horizontal="center" readingOrder="0" shrinkToFit="0" vertical="bottom" wrapText="0"/>
    </xf>
    <xf borderId="16" fillId="7" fontId="7" numFmtId="0" xfId="0" applyAlignment="1" applyBorder="1" applyFont="1">
      <alignment horizontal="center" readingOrder="0" shrinkToFit="0" vertical="bottom" wrapText="0"/>
    </xf>
    <xf borderId="2" fillId="10" fontId="7" numFmtId="0" xfId="0" applyAlignment="1" applyBorder="1" applyFont="1">
      <alignment horizontal="center" readingOrder="0" shrinkToFit="0" wrapText="0"/>
    </xf>
    <xf borderId="1" fillId="5" fontId="7" numFmtId="0" xfId="0" applyAlignment="1" applyBorder="1" applyFont="1">
      <alignment readingOrder="0" shrinkToFit="0" wrapText="0"/>
    </xf>
    <xf borderId="2" fillId="5" fontId="14" numFmtId="0" xfId="0" applyAlignment="1" applyBorder="1" applyFont="1">
      <alignment readingOrder="0" shrinkToFit="0" wrapText="0"/>
    </xf>
    <xf borderId="2" fillId="5" fontId="7" numFmtId="0" xfId="0" applyAlignment="1" applyBorder="1" applyFont="1">
      <alignment horizontal="right" readingOrder="0" shrinkToFit="0" wrapText="0"/>
    </xf>
    <xf borderId="2" fillId="5" fontId="15" numFmtId="0" xfId="0" applyAlignment="1" applyBorder="1" applyFont="1">
      <alignment horizontal="right" readingOrder="0" shrinkToFit="0" wrapText="0"/>
    </xf>
    <xf borderId="1" fillId="3" fontId="7" numFmtId="0" xfId="0" applyAlignment="1" applyBorder="1" applyFont="1">
      <alignment readingOrder="0" shrinkToFit="0" wrapText="0"/>
    </xf>
    <xf borderId="2" fillId="3" fontId="7" numFmtId="0" xfId="0" applyAlignment="1" applyBorder="1" applyFont="1">
      <alignment readingOrder="0" shrinkToFit="0" wrapText="0"/>
    </xf>
    <xf borderId="2" fillId="3" fontId="7" numFmtId="3" xfId="0" applyAlignment="1" applyBorder="1" applyFont="1" applyNumberFormat="1">
      <alignment horizontal="right" readingOrder="0" shrinkToFit="0" wrapText="0"/>
    </xf>
    <xf borderId="2" fillId="3" fontId="11" numFmtId="3" xfId="0" applyBorder="1" applyFont="1" applyNumberFormat="1"/>
    <xf borderId="2" fillId="3" fontId="11" numFmtId="10" xfId="0" applyBorder="1" applyFont="1" applyNumberFormat="1"/>
    <xf borderId="1" fillId="5" fontId="8" numFmtId="0" xfId="0" applyAlignment="1" applyBorder="1" applyFont="1">
      <alignment readingOrder="0" shrinkToFit="0" wrapText="0"/>
    </xf>
    <xf borderId="2" fillId="5" fontId="8" numFmtId="0" xfId="0" applyAlignment="1" applyBorder="1" applyFont="1">
      <alignment readingOrder="0" shrinkToFit="0" wrapText="0"/>
    </xf>
    <xf borderId="2" fillId="5" fontId="8" numFmtId="3" xfId="0" applyAlignment="1" applyBorder="1" applyFont="1" applyNumberFormat="1">
      <alignment horizontal="right" readingOrder="0" shrinkToFit="0" vertical="bottom" wrapText="0"/>
    </xf>
    <xf borderId="2" fillId="5" fontId="8" numFmtId="3" xfId="0" applyAlignment="1" applyBorder="1" applyFont="1" applyNumberFormat="1">
      <alignment horizontal="right" readingOrder="0" shrinkToFit="0" wrapText="0"/>
    </xf>
    <xf borderId="2" fillId="5" fontId="1" numFmtId="3" xfId="0" applyBorder="1" applyFont="1" applyNumberFormat="1"/>
    <xf borderId="2" fillId="5" fontId="1" numFmtId="10" xfId="0" applyBorder="1" applyFont="1" applyNumberFormat="1"/>
    <xf borderId="2" fillId="5" fontId="1" numFmtId="0" xfId="0" applyAlignment="1" applyBorder="1" applyFont="1">
      <alignment horizontal="right" readingOrder="0"/>
    </xf>
    <xf borderId="2" fillId="5" fontId="6" numFmtId="3" xfId="0" applyAlignment="1" applyBorder="1" applyFont="1" applyNumberFormat="1">
      <alignment horizontal="right" readingOrder="0" shrinkToFit="0" wrapText="0"/>
    </xf>
    <xf borderId="2" fillId="5" fontId="6" numFmtId="0" xfId="0" applyAlignment="1" applyBorder="1" applyFont="1">
      <alignment readingOrder="0" shrinkToFit="0" wrapText="0"/>
    </xf>
    <xf borderId="19" fillId="5" fontId="6" numFmtId="3" xfId="0" applyAlignment="1" applyBorder="1" applyFont="1" applyNumberFormat="1">
      <alignment horizontal="right" readingOrder="0" shrinkToFit="0" wrapText="0"/>
    </xf>
    <xf borderId="34" fillId="3" fontId="7" numFmtId="3" xfId="0" applyAlignment="1" applyBorder="1" applyFont="1" applyNumberFormat="1">
      <alignment horizontal="right" readingOrder="0" shrinkToFit="0" wrapText="0"/>
    </xf>
    <xf borderId="38" fillId="5" fontId="6" numFmtId="3" xfId="0" applyAlignment="1" applyBorder="1" applyFont="1" applyNumberFormat="1">
      <alignment horizontal="right" readingOrder="0" shrinkToFit="0" wrapText="0"/>
    </xf>
    <xf borderId="2" fillId="5" fontId="11" numFmtId="0" xfId="0" applyBorder="1" applyFont="1"/>
    <xf borderId="2" fillId="5" fontId="11" numFmtId="10" xfId="0" applyAlignment="1" applyBorder="1" applyFont="1" applyNumberFormat="1">
      <alignment horizontal="right"/>
    </xf>
    <xf borderId="2" fillId="5" fontId="1" numFmtId="0" xfId="0" applyAlignment="1" applyBorder="1" applyFont="1">
      <alignment horizontal="right" readingOrder="0"/>
    </xf>
    <xf borderId="1" fillId="10" fontId="7" numFmtId="0" xfId="0" applyAlignment="1" applyBorder="1" applyFont="1">
      <alignment readingOrder="0" shrinkToFit="0" wrapText="0"/>
    </xf>
    <xf borderId="2" fillId="10" fontId="7" numFmtId="0" xfId="0" applyAlignment="1" applyBorder="1" applyFont="1">
      <alignment readingOrder="0" shrinkToFit="0" wrapText="0"/>
    </xf>
    <xf borderId="2" fillId="10" fontId="7" numFmtId="3" xfId="0" applyAlignment="1" applyBorder="1" applyFont="1" applyNumberFormat="1">
      <alignment horizontal="right" readingOrder="0" shrinkToFit="0" wrapText="0"/>
    </xf>
    <xf borderId="2" fillId="10" fontId="11" numFmtId="3" xfId="0" applyBorder="1" applyFont="1" applyNumberFormat="1"/>
    <xf borderId="2" fillId="10" fontId="11" numFmtId="10" xfId="0" applyBorder="1" applyFont="1" applyNumberFormat="1"/>
    <xf borderId="18" fillId="10" fontId="7" numFmtId="0" xfId="0" applyAlignment="1" applyBorder="1" applyFont="1">
      <alignment horizontal="center" readingOrder="0" shrinkToFit="0" wrapText="0"/>
    </xf>
    <xf borderId="19" fillId="10" fontId="7" numFmtId="0" xfId="0" applyAlignment="1" applyBorder="1" applyFont="1">
      <alignment horizontal="center" readingOrder="0" shrinkToFit="0" wrapText="0"/>
    </xf>
    <xf borderId="19" fillId="10" fontId="7" numFmtId="0" xfId="0" applyAlignment="1" applyBorder="1" applyFont="1">
      <alignment horizontal="center" readingOrder="0" shrinkToFit="0" vertical="bottom" wrapText="0"/>
    </xf>
    <xf borderId="2" fillId="5" fontId="8" numFmtId="0" xfId="0" applyAlignment="1" applyBorder="1" applyFont="1">
      <alignment horizontal="left" readingOrder="0" shrinkToFit="0" wrapText="0"/>
    </xf>
    <xf borderId="2" fillId="5" fontId="8" numFmtId="10" xfId="0" applyAlignment="1" applyBorder="1" applyFont="1" applyNumberFormat="1">
      <alignment horizontal="right" readingOrder="0" shrinkToFit="0" wrapText="0"/>
    </xf>
    <xf borderId="0" fillId="7" fontId="16" numFmtId="0" xfId="0" applyFont="1"/>
    <xf borderId="2" fillId="10" fontId="11" numFmtId="0" xfId="0" applyAlignment="1" applyBorder="1" applyFont="1">
      <alignment horizontal="center" readingOrder="0"/>
    </xf>
    <xf borderId="2" fillId="5" fontId="6" numFmtId="10" xfId="0" applyAlignment="1" applyBorder="1" applyFont="1" applyNumberFormat="1">
      <alignment horizontal="right" readingOrder="0" shrinkToFit="0" wrapText="0"/>
    </xf>
    <xf borderId="14" fillId="7" fontId="1" numFmtId="10" xfId="0" applyBorder="1" applyFont="1" applyNumberFormat="1"/>
    <xf borderId="0" fillId="7" fontId="8" numFmtId="3" xfId="0" applyAlignment="1" applyFont="1" applyNumberFormat="1">
      <alignment horizontal="right" readingOrder="0" shrinkToFit="0" wrapText="0"/>
    </xf>
    <xf borderId="0" fillId="7" fontId="6" numFmtId="10" xfId="0" applyAlignment="1" applyFont="1" applyNumberFormat="1">
      <alignment horizontal="right" readingOrder="0" shrinkToFit="0" wrapText="0"/>
    </xf>
    <xf borderId="0" fillId="7" fontId="8" numFmtId="10" xfId="0" applyAlignment="1" applyFont="1" applyNumberFormat="1">
      <alignment horizontal="right" readingOrder="0" shrinkToFit="0" wrapText="0"/>
    </xf>
    <xf borderId="0" fillId="7" fontId="8" numFmtId="0" xfId="0" applyAlignment="1" applyFont="1">
      <alignment readingOrder="0" shrinkToFit="0" wrapText="0"/>
    </xf>
    <xf borderId="3" fillId="5" fontId="6" numFmtId="10" xfId="0" applyAlignment="1" applyBorder="1" applyFont="1" applyNumberFormat="1">
      <alignment horizontal="right" readingOrder="0" shrinkToFit="0" wrapText="0"/>
    </xf>
    <xf borderId="2" fillId="5" fontId="6" numFmtId="0" xfId="0" applyAlignment="1" applyBorder="1" applyFont="1">
      <alignment horizontal="right" readingOrder="0" shrinkToFit="0" wrapText="0"/>
    </xf>
    <xf borderId="19" fillId="0" fontId="1" numFmtId="0" xfId="0" applyBorder="1" applyFont="1"/>
    <xf borderId="1" fillId="10" fontId="1" numFmtId="0" xfId="0" applyAlignment="1" applyBorder="1" applyFont="1">
      <alignment readingOrder="0" shrinkToFit="0" wrapText="1"/>
    </xf>
    <xf borderId="47" fillId="8" fontId="11" numFmtId="0" xfId="0" applyAlignment="1" applyBorder="1" applyFont="1">
      <alignment horizontal="center" readingOrder="0"/>
    </xf>
    <xf borderId="47" fillId="8" fontId="11" numFmtId="0" xfId="0" applyAlignment="1" applyBorder="1" applyFont="1">
      <alignment readingOrder="0"/>
    </xf>
    <xf borderId="0" fillId="7" fontId="1" numFmtId="0" xfId="0" applyAlignment="1" applyFont="1">
      <alignment readingOrder="0"/>
    </xf>
    <xf borderId="2" fillId="10" fontId="17" numFmtId="0" xfId="0" applyAlignment="1" applyBorder="1" applyFont="1">
      <alignment horizontal="center" readingOrder="0"/>
    </xf>
    <xf borderId="1" fillId="7" fontId="11" numFmtId="0" xfId="0" applyAlignment="1" applyBorder="1" applyFont="1">
      <alignment readingOrder="0"/>
    </xf>
    <xf borderId="1" fillId="7" fontId="1" numFmtId="0" xfId="0" applyBorder="1" applyFont="1"/>
    <xf borderId="0" fillId="7" fontId="11" numFmtId="0" xfId="0" applyAlignment="1" applyFont="1">
      <alignment readingOrder="0"/>
    </xf>
    <xf borderId="1" fillId="5" fontId="1" numFmtId="0" xfId="0" applyBorder="1" applyFont="1"/>
    <xf borderId="1" fillId="3" fontId="11" numFmtId="0" xfId="0" applyAlignment="1" applyBorder="1" applyFont="1">
      <alignment readingOrder="0"/>
    </xf>
    <xf borderId="0" fillId="7" fontId="11" numFmtId="0" xfId="0" applyAlignment="1" applyFont="1">
      <alignment horizontal="center" readingOrder="0"/>
    </xf>
    <xf borderId="13" fillId="5" fontId="6" numFmtId="0" xfId="0" applyAlignment="1" applyBorder="1" applyFont="1">
      <alignment horizontal="center" readingOrder="0" shrinkToFit="0" vertical="center" wrapText="1"/>
    </xf>
    <xf borderId="1" fillId="5" fontId="18" numFmtId="3" xfId="0" applyAlignment="1" applyBorder="1" applyFont="1" applyNumberFormat="1">
      <alignment horizontal="center"/>
    </xf>
    <xf borderId="1" fillId="5" fontId="9" numFmtId="0" xfId="0" applyAlignment="1" applyBorder="1" applyFont="1">
      <alignment horizontal="center" readingOrder="0"/>
    </xf>
    <xf borderId="1" fillId="5" fontId="1" numFmtId="0" xfId="0" applyAlignment="1" applyBorder="1" applyFont="1">
      <alignment readingOrder="0"/>
    </xf>
    <xf borderId="1" fillId="5" fontId="1" numFmtId="0" xfId="0" applyAlignment="1" applyBorder="1" applyFont="1">
      <alignment horizontal="center" readingOrder="0"/>
    </xf>
    <xf borderId="1" fillId="5" fontId="9" numFmtId="3" xfId="0" applyAlignment="1" applyBorder="1" applyFont="1" applyNumberFormat="1">
      <alignment horizontal="center"/>
    </xf>
    <xf borderId="1" fillId="5" fontId="1" numFmtId="0" xfId="0" applyAlignment="1" applyBorder="1" applyFont="1">
      <alignment horizontal="center"/>
    </xf>
    <xf borderId="1" fillId="3" fontId="11" numFmtId="0" xfId="0" applyAlignment="1" applyBorder="1" applyFont="1">
      <alignment horizontal="center" readingOrder="0"/>
    </xf>
    <xf borderId="13" fillId="5" fontId="18" numFmtId="0" xfId="0" applyAlignment="1" applyBorder="1" applyFont="1">
      <alignment horizontal="center" readingOrder="0" shrinkToFit="0" vertical="center" wrapText="1"/>
    </xf>
    <xf borderId="0" fillId="5" fontId="19" numFmtId="0" xfId="0" applyAlignment="1" applyFont="1">
      <alignment horizontal="center" readingOrder="0"/>
    </xf>
    <xf borderId="1" fillId="10" fontId="11" numFmtId="0" xfId="0" applyAlignment="1" applyBorder="1" applyFont="1">
      <alignment horizontal="center" readingOrder="0"/>
    </xf>
    <xf borderId="17" fillId="0" fontId="18" numFmtId="0" xfId="0" applyAlignment="1" applyBorder="1" applyFont="1">
      <alignment vertical="top"/>
    </xf>
    <xf borderId="4" fillId="3" fontId="11" numFmtId="0" xfId="0" applyAlignment="1" applyBorder="1" applyFont="1">
      <alignment horizontal="center" readingOrder="0"/>
    </xf>
    <xf borderId="0" fillId="5" fontId="20" numFmtId="3" xfId="0" applyAlignment="1" applyFont="1" applyNumberFormat="1">
      <alignment horizontal="center" shrinkToFit="0" wrapText="1"/>
    </xf>
    <xf borderId="1" fillId="5" fontId="20" numFmtId="3" xfId="0" applyAlignment="1" applyBorder="1" applyFont="1" applyNumberFormat="1">
      <alignment horizontal="center" shrinkToFit="0" wrapText="1"/>
    </xf>
    <xf borderId="2" fillId="11" fontId="18" numFmtId="0" xfId="0" applyAlignment="1" applyBorder="1" applyFill="1" applyFont="1">
      <alignment vertical="top"/>
    </xf>
    <xf borderId="1" fillId="3" fontId="11" numFmtId="0" xfId="0" applyBorder="1" applyFont="1"/>
    <xf borderId="1" fillId="4" fontId="11" numFmtId="0" xfId="0" applyAlignment="1" applyBorder="1" applyFont="1">
      <alignment readingOrder="0"/>
    </xf>
    <xf borderId="0" fillId="0" fontId="11" numFmtId="0" xfId="0" applyAlignment="1" applyFont="1">
      <alignment readingOrder="0"/>
    </xf>
    <xf borderId="0" fillId="7" fontId="21" numFmtId="0" xfId="0" applyAlignment="1" applyFont="1">
      <alignment readingOrder="0"/>
    </xf>
    <xf borderId="0" fillId="7" fontId="21" numFmtId="0" xfId="0" applyFont="1"/>
    <xf borderId="1" fillId="10" fontId="11" numFmtId="0" xfId="0" applyAlignment="1" applyBorder="1" applyFont="1">
      <alignment readingOrder="0"/>
    </xf>
    <xf borderId="1" fillId="10" fontId="1" numFmtId="0" xfId="0" applyBorder="1" applyFont="1"/>
    <xf borderId="0" fillId="8" fontId="7" numFmtId="0" xfId="0" applyAlignment="1" applyFont="1">
      <alignment horizontal="center" readingOrder="0" shrinkToFit="0" wrapText="0"/>
    </xf>
    <xf borderId="16" fillId="8" fontId="7" numFmtId="0" xfId="0" applyAlignment="1" applyBorder="1" applyFont="1">
      <alignment horizontal="center" readingOrder="0" shrinkToFit="0" wrapText="0"/>
    </xf>
    <xf borderId="0" fillId="8" fontId="7" numFmtId="0" xfId="0" applyAlignment="1" applyFont="1">
      <alignment horizontal="center" readingOrder="0" shrinkToFit="0" vertical="bottom" wrapText="0"/>
    </xf>
    <xf borderId="0" fillId="8" fontId="11" numFmtId="0" xfId="0" applyAlignment="1" applyFont="1">
      <alignment horizontal="center" readingOrder="0"/>
    </xf>
    <xf borderId="13" fillId="3" fontId="1" numFmtId="0" xfId="0" applyAlignment="1" applyBorder="1" applyFont="1">
      <alignment horizontal="center" readingOrder="0" shrinkToFit="0" textRotation="90" vertical="center" wrapText="1"/>
    </xf>
    <xf borderId="2" fillId="5" fontId="6" numFmtId="4" xfId="0" applyAlignment="1" applyBorder="1" applyFont="1" applyNumberFormat="1">
      <alignment horizontal="right" readingOrder="0" shrinkToFit="0" wrapText="0"/>
    </xf>
    <xf borderId="13" fillId="3" fontId="1" numFmtId="0" xfId="0" applyAlignment="1" applyBorder="1" applyFont="1">
      <alignment horizontal="center" readingOrder="0" shrinkToFit="0" vertical="center" wrapText="1"/>
    </xf>
    <xf borderId="2" fillId="12" fontId="8" numFmtId="0" xfId="0" applyAlignment="1" applyBorder="1" applyFill="1" applyFont="1">
      <alignment horizontal="left" readingOrder="0" shrinkToFit="0" wrapText="0"/>
    </xf>
    <xf borderId="2" fillId="5" fontId="8" numFmtId="4" xfId="0" applyAlignment="1" applyBorder="1" applyFont="1" applyNumberFormat="1">
      <alignment horizontal="right" readingOrder="0" shrinkToFit="0" wrapText="0"/>
    </xf>
    <xf borderId="13" fillId="3" fontId="1" numFmtId="0" xfId="0" applyAlignment="1" applyBorder="1" applyFont="1">
      <alignment horizontal="center" readingOrder="0" shrinkToFit="0" textRotation="0" vertical="center" wrapText="1"/>
    </xf>
    <xf borderId="2" fillId="5" fontId="6" numFmtId="4" xfId="0" applyBorder="1" applyFont="1" applyNumberFormat="1"/>
    <xf borderId="16" fillId="3" fontId="1" numFmtId="0" xfId="0" applyAlignment="1" applyBorder="1" applyFont="1">
      <alignment horizontal="center" readingOrder="0" shrinkToFit="0" textRotation="90" vertical="center" wrapText="1"/>
    </xf>
    <xf borderId="2" fillId="5" fontId="18" numFmtId="0" xfId="0" applyAlignment="1" applyBorder="1" applyFont="1">
      <alignment readingOrder="0"/>
    </xf>
    <xf borderId="0" fillId="7" fontId="22" numFmtId="3" xfId="0" applyFont="1" applyNumberFormat="1"/>
    <xf borderId="0" fillId="7" fontId="1" numFmtId="3" xfId="0" applyFont="1" applyNumberFormat="1"/>
    <xf borderId="0" fillId="7" fontId="22" numFmtId="0" xfId="0" applyAlignment="1" applyFont="1">
      <alignment readingOrder="0"/>
    </xf>
    <xf borderId="0" fillId="0" fontId="1" numFmtId="0" xfId="0" applyAlignment="1" applyFont="1">
      <alignment textRotation="135"/>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Aktywa w latach 2020, 2021 i 2022</a:t>
            </a:r>
          </a:p>
        </c:rich>
      </c:tx>
      <c:overlay val="0"/>
    </c:title>
    <c:plotArea>
      <c:layout/>
      <c:barChart>
        <c:barDir val="bar"/>
        <c:ser>
          <c:idx val="0"/>
          <c:order val="0"/>
          <c:tx>
            <c:strRef>
              <c:f>Bilans!$A$30</c:f>
            </c:strRef>
          </c:tx>
          <c:spPr>
            <a:solidFill>
              <a:schemeClr val="accent1"/>
            </a:solidFill>
            <a:ln cmpd="sng">
              <a:solidFill>
                <a:srgbClr val="000000"/>
              </a:solidFill>
            </a:ln>
          </c:spPr>
          <c:val>
            <c:numRef>
              <c:f>Bilans!$B$30:$L$30</c:f>
              <c:numCache/>
            </c:numRef>
          </c:val>
        </c:ser>
        <c:ser>
          <c:idx val="1"/>
          <c:order val="1"/>
          <c:tx>
            <c:strRef>
              <c:f>Bilans!$A$39</c:f>
            </c:strRef>
          </c:tx>
          <c:spPr>
            <a:solidFill>
              <a:srgbClr val="D6E2FB"/>
            </a:solidFill>
            <a:ln cmpd="sng">
              <a:solidFill>
                <a:srgbClr val="000000"/>
              </a:solidFill>
            </a:ln>
          </c:spPr>
          <c:val>
            <c:numRef>
              <c:f>Bilans!$B$39:$L$39</c:f>
              <c:numCache/>
            </c:numRef>
          </c:val>
        </c:ser>
        <c:axId val="1838461134"/>
        <c:axId val="93235586"/>
      </c:barChart>
      <c:catAx>
        <c:axId val="183846113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2022                 2021                 2020</a:t>
                </a:r>
              </a:p>
            </c:rich>
          </c:tx>
          <c:overlay val="0"/>
        </c:title>
        <c:numFmt formatCode="General" sourceLinked="1"/>
        <c:majorTickMark val="none"/>
        <c:minorTickMark val="none"/>
        <c:spPr/>
        <c:txPr>
          <a:bodyPr/>
          <a:lstStyle/>
          <a:p>
            <a:pPr lvl="0">
              <a:defRPr b="0">
                <a:solidFill>
                  <a:srgbClr val="000000"/>
                </a:solidFill>
                <a:latin typeface="+mn-lt"/>
              </a:defRPr>
            </a:pPr>
          </a:p>
        </c:txPr>
        <c:crossAx val="93235586"/>
      </c:catAx>
      <c:valAx>
        <c:axId val="9323558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8461134"/>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Struktura pasywów w latach 2020, 2021 i 2022</a:t>
            </a:r>
          </a:p>
        </c:rich>
      </c:tx>
      <c:overlay val="0"/>
    </c:title>
    <c:plotArea>
      <c:layout/>
      <c:barChart>
        <c:barDir val="bar"/>
        <c:ser>
          <c:idx val="0"/>
          <c:order val="0"/>
          <c:tx>
            <c:strRef>
              <c:f>Bilans!$A$81</c:f>
            </c:strRef>
          </c:tx>
          <c:spPr>
            <a:solidFill>
              <a:schemeClr val="accent1"/>
            </a:solidFill>
            <a:ln cmpd="sng">
              <a:solidFill>
                <a:srgbClr val="000000"/>
              </a:solidFill>
            </a:ln>
          </c:spPr>
          <c:val>
            <c:numRef>
              <c:f>Bilans!$B$81:$L$81</c:f>
              <c:numCache/>
            </c:numRef>
          </c:val>
        </c:ser>
        <c:ser>
          <c:idx val="1"/>
          <c:order val="1"/>
          <c:tx>
            <c:strRef>
              <c:f>Bilans!$A$88</c:f>
            </c:strRef>
          </c:tx>
          <c:spPr>
            <a:solidFill>
              <a:srgbClr val="D6E2FB"/>
            </a:solidFill>
            <a:ln cmpd="sng">
              <a:solidFill>
                <a:srgbClr val="000000"/>
              </a:solidFill>
            </a:ln>
          </c:spPr>
          <c:val>
            <c:numRef>
              <c:f>Bilans!$B$88:$L$88</c:f>
              <c:numCache/>
            </c:numRef>
          </c:val>
        </c:ser>
        <c:axId val="1875326345"/>
        <c:axId val="1627826239"/>
      </c:barChart>
      <c:catAx>
        <c:axId val="187532634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2022                 2021                 2020</a:t>
                </a:r>
              </a:p>
            </c:rich>
          </c:tx>
          <c:overlay val="0"/>
        </c:title>
        <c:numFmt formatCode="General" sourceLinked="1"/>
        <c:majorTickMark val="none"/>
        <c:minorTickMark val="none"/>
        <c:spPr/>
        <c:txPr>
          <a:bodyPr/>
          <a:lstStyle/>
          <a:p>
            <a:pPr lvl="0">
              <a:defRPr b="0">
                <a:solidFill>
                  <a:srgbClr val="000000"/>
                </a:solidFill>
                <a:latin typeface="+mn-lt"/>
              </a:defRPr>
            </a:pPr>
          </a:p>
        </c:txPr>
        <c:crossAx val="1627826239"/>
      </c:catAx>
      <c:valAx>
        <c:axId val="162782623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75326345"/>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Przepływy pieniężne </a:t>
            </a:r>
          </a:p>
        </c:rich>
      </c:tx>
      <c:overlay val="0"/>
    </c:title>
    <c:plotArea>
      <c:layout/>
      <c:barChart>
        <c:barDir val="bar"/>
        <c:ser>
          <c:idx val="0"/>
          <c:order val="0"/>
          <c:tx>
            <c:strRef>
              <c:f>'Przepływy pieniężne'!$J$32</c:f>
            </c:strRef>
          </c:tx>
          <c:spPr>
            <a:solidFill>
              <a:schemeClr val="accent1"/>
            </a:solidFill>
            <a:ln cmpd="sng">
              <a:solidFill>
                <a:srgbClr val="000000"/>
              </a:solidFill>
            </a:ln>
          </c:spPr>
          <c:dPt>
            <c:idx val="0"/>
          </c:dPt>
          <c:cat>
            <c:strRef>
              <c:f>'Przepływy pieniężne'!$I$33:$I$35</c:f>
            </c:strRef>
          </c:cat>
          <c:val>
            <c:numRef>
              <c:f>'Przepływy pieniężne'!$J$33:$J$35</c:f>
              <c:numCache/>
            </c:numRef>
          </c:val>
        </c:ser>
        <c:ser>
          <c:idx val="1"/>
          <c:order val="1"/>
          <c:tx>
            <c:strRef>
              <c:f>'Przepływy pieniężne'!$K$32</c:f>
            </c:strRef>
          </c:tx>
          <c:spPr>
            <a:solidFill>
              <a:srgbClr val="A4C2F4"/>
            </a:solidFill>
            <a:ln cmpd="sng">
              <a:solidFill>
                <a:srgbClr val="000000"/>
              </a:solidFill>
            </a:ln>
          </c:spPr>
          <c:cat>
            <c:strRef>
              <c:f>'Przepływy pieniężne'!$I$33:$I$35</c:f>
            </c:strRef>
          </c:cat>
          <c:val>
            <c:numRef>
              <c:f>'Przepływy pieniężne'!$K$33:$K$35</c:f>
              <c:numCache/>
            </c:numRef>
          </c:val>
        </c:ser>
        <c:ser>
          <c:idx val="2"/>
          <c:order val="2"/>
          <c:tx>
            <c:strRef>
              <c:f>'Przepływy pieniężne'!$L$32</c:f>
            </c:strRef>
          </c:tx>
          <c:spPr>
            <a:solidFill>
              <a:srgbClr val="D6E2FB"/>
            </a:solidFill>
            <a:ln cmpd="sng">
              <a:solidFill>
                <a:srgbClr val="000000"/>
              </a:solidFill>
            </a:ln>
          </c:spPr>
          <c:cat>
            <c:strRef>
              <c:f>'Przepływy pieniężne'!$I$33:$I$35</c:f>
            </c:strRef>
          </c:cat>
          <c:val>
            <c:numRef>
              <c:f>'Przepływy pieniężne'!$L$33:$L$35</c:f>
              <c:numCache/>
            </c:numRef>
          </c:val>
        </c:ser>
        <c:axId val="1151561312"/>
        <c:axId val="597516587"/>
      </c:barChart>
      <c:catAx>
        <c:axId val="115156131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597516587"/>
      </c:catAx>
      <c:valAx>
        <c:axId val="59751658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1561312"/>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0</xdr:row>
      <xdr:rowOff>0</xdr:rowOff>
    </xdr:from>
    <xdr:ext cx="4762500" cy="1190625"/>
    <xdr:pic>
      <xdr:nvPicPr>
        <xdr:cNvPr id="0" name="image1.png" title="Obraz"/>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104775</xdr:colOff>
      <xdr:row>27</xdr:row>
      <xdr:rowOff>200025</xdr:rowOff>
    </xdr:from>
    <xdr:ext cx="5715000" cy="3533775"/>
    <xdr:graphicFrame>
      <xdr:nvGraphicFramePr>
        <xdr:cNvPr id="1" name="Chart 1" title="Wykres"/>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514350</xdr:colOff>
      <xdr:row>79</xdr:row>
      <xdr:rowOff>209550</xdr:rowOff>
    </xdr:from>
    <xdr:ext cx="7124700" cy="3533775"/>
    <xdr:graphicFrame>
      <xdr:nvGraphicFramePr>
        <xdr:cNvPr id="2" name="Chart 2" title="Wykres"/>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485775</xdr:colOff>
      <xdr:row>28</xdr:row>
      <xdr:rowOff>180975</xdr:rowOff>
    </xdr:from>
    <xdr:ext cx="9572625" cy="4371975"/>
    <xdr:graphicFrame>
      <xdr:nvGraphicFramePr>
        <xdr:cNvPr id="3" name="Chart 3" title="Wykres"/>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dn.fbsbx.com/v/t59.2708-21/271256841_664012948130362_6667919469347054169_n.xhtml/20210430_064936_1112372333_Sprawozdanie_finansowe_DataWalk_SA_2020.xhtml?_nc_cat=109&amp;ccb=1-7&amp;_nc_sid=2b0e22&amp;_nc_ohc=Ys-qZEPy-RYAX_X9tsb&amp;_nc_ht=cdn.fbsbx.com&amp;oh=03_AdRrw2EP1JA4LjnW3ELvl9FtOTFSi99wM4ob4GISktSOYA&amp;oe=6596D982&amp;dl=1" TargetMode="External"/><Relationship Id="rId2" Type="http://schemas.openxmlformats.org/officeDocument/2006/relationships/hyperlink" Target="https://cdn.fbsbx.com/v/t59.2708-21/318108421_715566156434738_3511448482740236765_n.xhtml/20220427_000259_1990766386_DAT_JSF_2021-12-31_pl.xhtml?_nc_cat=108&amp;ccb=1-7&amp;_nc_sid=2b0e22&amp;_nc_ohc=04juJS3EBbUAX-LFUF1&amp;_nc_ht=cdn.fbsbx.com&amp;oh=03_AdSLXcwHwCo9k5EVeMf66BLuGWS_VN5kGKJOxm-6vT5hMA&amp;oe=6596D180&amp;dl=1" TargetMode="External"/><Relationship Id="rId3" Type="http://schemas.openxmlformats.org/officeDocument/2006/relationships/hyperlink" Target="https://cdn.fbsbx.com/v/t59.2708-21/415042913_1040396100609704_4105192557318860435_n.xhtml/20230413_170830_0388318173_DAT_JSF_2022-12-31_pl.xhtml?_nc_cat=102&amp;ccb=1-7&amp;_nc_sid=2b0e22&amp;_nc_ohc=23RPUgpRLJMAX-46EJJ&amp;_nc_ht=cdn.fbsbx.com&amp;oh=03_AdRlJNHmqZkY6CIy-eLrwPrwK3QEqJZDQehI1h4cVEKx0A&amp;oe=65972F3C&amp;dl=1"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atawalk.com/p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 customWidth="1" min="2" max="2" width="38.13"/>
    <col customWidth="1" min="4" max="4" width="5.0"/>
  </cols>
  <sheetData>
    <row r="1" ht="30.0" customHeight="1">
      <c r="A1" s="1" t="s">
        <v>0</v>
      </c>
      <c r="B1" s="1" t="s">
        <v>1</v>
      </c>
    </row>
    <row r="2" ht="30.0" customHeight="1">
      <c r="A2" s="2" t="s">
        <v>2</v>
      </c>
      <c r="B2" s="2" t="s">
        <v>3</v>
      </c>
      <c r="F2" s="3"/>
    </row>
    <row r="3" ht="30.0" customHeight="1">
      <c r="A3" s="1" t="s">
        <v>4</v>
      </c>
      <c r="B3" s="1" t="s">
        <v>5</v>
      </c>
    </row>
    <row r="4" ht="30.0" customHeight="1">
      <c r="A4" s="2" t="s">
        <v>6</v>
      </c>
      <c r="B4" s="2" t="s">
        <v>7</v>
      </c>
    </row>
    <row r="6">
      <c r="A6" s="4" t="s">
        <v>8</v>
      </c>
      <c r="B6" s="5"/>
      <c r="C6" s="5"/>
      <c r="D6" s="6"/>
    </row>
    <row r="7">
      <c r="A7" s="7">
        <v>2020.0</v>
      </c>
      <c r="B7" s="8" t="s">
        <v>9</v>
      </c>
      <c r="C7" s="5"/>
      <c r="D7" s="6"/>
    </row>
    <row r="8">
      <c r="A8" s="7">
        <v>2021.0</v>
      </c>
      <c r="B8" s="9" t="s">
        <v>10</v>
      </c>
      <c r="C8" s="5"/>
      <c r="D8" s="6"/>
    </row>
    <row r="9">
      <c r="A9" s="7">
        <v>2022.0</v>
      </c>
      <c r="B9" s="8" t="s">
        <v>11</v>
      </c>
      <c r="C9" s="5"/>
      <c r="D9" s="6"/>
    </row>
    <row r="11">
      <c r="A11" s="4" t="s">
        <v>12</v>
      </c>
      <c r="B11" s="5"/>
      <c r="C11" s="5"/>
      <c r="D11" s="6"/>
    </row>
    <row r="12">
      <c r="A12" s="7" t="s">
        <v>13</v>
      </c>
      <c r="B12" s="10" t="s">
        <v>14</v>
      </c>
      <c r="C12" s="5"/>
      <c r="D12" s="6"/>
    </row>
    <row r="13">
      <c r="A13" s="7" t="s">
        <v>15</v>
      </c>
      <c r="B13" s="11" t="s">
        <v>16</v>
      </c>
      <c r="C13" s="5"/>
      <c r="D13" s="6"/>
    </row>
    <row r="14">
      <c r="A14" s="7" t="s">
        <v>17</v>
      </c>
      <c r="B14" s="10" t="s">
        <v>18</v>
      </c>
      <c r="C14" s="5"/>
      <c r="D14" s="6"/>
    </row>
    <row r="15">
      <c r="A15" s="12" t="s">
        <v>19</v>
      </c>
      <c r="B15" s="5"/>
      <c r="C15" s="5"/>
      <c r="D15" s="6"/>
    </row>
  </sheetData>
  <mergeCells count="9">
    <mergeCell ref="B14:D14"/>
    <mergeCell ref="A15:D15"/>
    <mergeCell ref="A6:D6"/>
    <mergeCell ref="B7:D7"/>
    <mergeCell ref="B8:D8"/>
    <mergeCell ref="B9:D9"/>
    <mergeCell ref="A11:D11"/>
    <mergeCell ref="B12:D12"/>
    <mergeCell ref="B13:D13"/>
  </mergeCells>
  <hyperlinks>
    <hyperlink r:id="rId1" ref="B7"/>
    <hyperlink r:id="rId2" ref="B8"/>
    <hyperlink r:id="rId3" ref="B9"/>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D1" s="13"/>
      <c r="E1" s="14"/>
      <c r="F1" s="14"/>
      <c r="G1" s="14"/>
      <c r="H1" s="15"/>
    </row>
    <row r="2">
      <c r="D2" s="16"/>
      <c r="H2" s="17"/>
    </row>
    <row r="3">
      <c r="D3" s="16"/>
      <c r="H3" s="17"/>
    </row>
    <row r="4">
      <c r="D4" s="16"/>
      <c r="H4" s="17"/>
    </row>
    <row r="5">
      <c r="D5" s="16"/>
      <c r="H5" s="17"/>
    </row>
    <row r="6">
      <c r="D6" s="18"/>
      <c r="E6" s="19"/>
      <c r="F6" s="19"/>
      <c r="G6" s="19"/>
      <c r="H6" s="20"/>
    </row>
    <row r="8">
      <c r="B8" s="21" t="s">
        <v>20</v>
      </c>
      <c r="C8" s="22"/>
      <c r="D8" s="22"/>
      <c r="E8" s="22"/>
      <c r="F8" s="22"/>
      <c r="G8" s="22"/>
      <c r="H8" s="22"/>
      <c r="I8" s="22"/>
      <c r="J8" s="23"/>
    </row>
    <row r="9">
      <c r="B9" s="24"/>
      <c r="J9" s="25"/>
    </row>
    <row r="10">
      <c r="B10" s="24"/>
      <c r="J10" s="25"/>
    </row>
    <row r="11">
      <c r="B11" s="24"/>
      <c r="J11" s="25"/>
    </row>
    <row r="12">
      <c r="B12" s="24"/>
      <c r="J12" s="25"/>
    </row>
    <row r="13">
      <c r="B13" s="24"/>
      <c r="J13" s="25"/>
    </row>
    <row r="14">
      <c r="B14" s="26"/>
      <c r="C14" s="27"/>
      <c r="D14" s="27"/>
      <c r="E14" s="27"/>
      <c r="F14" s="27"/>
      <c r="G14" s="27"/>
      <c r="H14" s="27"/>
      <c r="I14" s="27"/>
      <c r="J14" s="28"/>
    </row>
    <row r="16">
      <c r="B16" s="10" t="s">
        <v>21</v>
      </c>
      <c r="C16" s="6"/>
      <c r="D16" s="29" t="s">
        <v>22</v>
      </c>
      <c r="E16" s="5"/>
      <c r="F16" s="5"/>
      <c r="G16" s="5"/>
      <c r="H16" s="5"/>
      <c r="I16" s="5"/>
      <c r="J16" s="6"/>
    </row>
  </sheetData>
  <mergeCells count="4">
    <mergeCell ref="D1:H6"/>
    <mergeCell ref="B8:J14"/>
    <mergeCell ref="B16:C16"/>
    <mergeCell ref="D16:J16"/>
  </mergeCells>
  <hyperlinks>
    <hyperlink r:id="rId1" ref="D1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4" max="24" width="31.88"/>
    <col customWidth="1" min="25" max="25" width="43.0"/>
  </cols>
  <sheetData>
    <row r="1">
      <c r="H1" s="30"/>
      <c r="I1" s="30"/>
      <c r="J1" s="30"/>
      <c r="K1" s="30"/>
      <c r="L1" s="30"/>
      <c r="M1" s="30"/>
      <c r="N1" s="30"/>
      <c r="O1" s="30"/>
      <c r="P1" s="30"/>
      <c r="Q1" s="30"/>
      <c r="R1" s="30"/>
      <c r="S1" s="30"/>
      <c r="T1" s="30"/>
      <c r="U1" s="30"/>
      <c r="V1" s="30"/>
    </row>
    <row r="2">
      <c r="B2" s="31" t="s">
        <v>23</v>
      </c>
      <c r="C2" s="32"/>
      <c r="D2" s="32"/>
      <c r="E2" s="32"/>
      <c r="F2" s="32"/>
      <c r="G2" s="32"/>
      <c r="H2" s="33"/>
      <c r="P2" s="30"/>
      <c r="Q2" s="30"/>
      <c r="R2" s="30"/>
      <c r="S2" s="30"/>
      <c r="T2" s="30"/>
      <c r="U2" s="30"/>
      <c r="V2" s="30"/>
    </row>
    <row r="3">
      <c r="A3" s="30"/>
      <c r="B3" s="30"/>
      <c r="C3" s="30"/>
      <c r="D3" s="30"/>
      <c r="E3" s="30"/>
      <c r="F3" s="30"/>
      <c r="G3" s="30"/>
      <c r="H3" s="30"/>
      <c r="I3" s="30"/>
      <c r="J3" s="30"/>
      <c r="K3" s="30"/>
      <c r="L3" s="30"/>
      <c r="M3" s="30"/>
      <c r="N3" s="30"/>
      <c r="O3" s="30"/>
      <c r="P3" s="30"/>
      <c r="Q3" s="30"/>
      <c r="R3" s="30"/>
      <c r="S3" s="30"/>
      <c r="T3" s="30"/>
      <c r="U3" s="30"/>
      <c r="V3" s="30"/>
    </row>
    <row r="4">
      <c r="A4" s="34" t="s">
        <v>24</v>
      </c>
      <c r="B4" s="22"/>
      <c r="C4" s="22"/>
      <c r="D4" s="22"/>
      <c r="E4" s="35">
        <v>44196.0</v>
      </c>
      <c r="F4" s="23"/>
      <c r="G4" s="35">
        <v>44561.0</v>
      </c>
      <c r="H4" s="23"/>
      <c r="I4" s="35">
        <v>44926.0</v>
      </c>
      <c r="J4" s="23"/>
      <c r="K4" s="36" t="s">
        <v>25</v>
      </c>
      <c r="L4" s="22"/>
      <c r="M4" s="22"/>
      <c r="N4" s="22"/>
      <c r="O4" s="37" t="s">
        <v>26</v>
      </c>
      <c r="P4" s="22"/>
      <c r="Q4" s="22"/>
      <c r="R4" s="23"/>
      <c r="S4" s="36" t="s">
        <v>27</v>
      </c>
      <c r="T4" s="22"/>
      <c r="U4" s="22"/>
      <c r="V4" s="23"/>
      <c r="Y4" s="4" t="s">
        <v>28</v>
      </c>
      <c r="Z4" s="5"/>
      <c r="AA4" s="5"/>
      <c r="AB4" s="6"/>
    </row>
    <row r="5">
      <c r="A5" s="27"/>
      <c r="B5" s="27"/>
      <c r="C5" s="27"/>
      <c r="D5" s="27"/>
      <c r="E5" s="26"/>
      <c r="F5" s="28"/>
      <c r="G5" s="26"/>
      <c r="H5" s="28"/>
      <c r="I5" s="26"/>
      <c r="J5" s="28"/>
      <c r="K5" s="38" t="s">
        <v>29</v>
      </c>
      <c r="L5" s="5"/>
      <c r="M5" s="39" t="s">
        <v>30</v>
      </c>
      <c r="N5" s="6"/>
      <c r="O5" s="38" t="s">
        <v>29</v>
      </c>
      <c r="P5" s="5"/>
      <c r="Q5" s="39" t="s">
        <v>30</v>
      </c>
      <c r="R5" s="6"/>
      <c r="S5" s="38" t="s">
        <v>29</v>
      </c>
      <c r="T5" s="5"/>
      <c r="U5" s="39" t="s">
        <v>30</v>
      </c>
      <c r="V5" s="6"/>
    </row>
    <row r="6">
      <c r="A6" s="40" t="s">
        <v>31</v>
      </c>
      <c r="B6" s="5"/>
      <c r="C6" s="5"/>
      <c r="D6" s="5"/>
      <c r="E6" s="41">
        <v>11241.0</v>
      </c>
      <c r="F6" s="5"/>
      <c r="G6" s="41">
        <v>21172.0</v>
      </c>
      <c r="H6" s="6"/>
      <c r="I6" s="42">
        <v>22186.0</v>
      </c>
      <c r="J6" s="5"/>
      <c r="K6" s="43">
        <f t="shared" ref="K6:K24" si="1">G6-E6</f>
        <v>9931</v>
      </c>
      <c r="L6" s="23"/>
      <c r="M6" s="42">
        <f t="shared" ref="M6:M24" si="2">I6-G6</f>
        <v>1014</v>
      </c>
      <c r="N6" s="6"/>
      <c r="O6" s="44">
        <f t="shared" ref="O6:O10" si="3">K6/E6</f>
        <v>0.8834623254</v>
      </c>
      <c r="P6" s="23"/>
      <c r="Q6" s="44">
        <f t="shared" ref="Q6:Q10" si="4">M6/G6</f>
        <v>0.04789344417</v>
      </c>
      <c r="R6" s="23"/>
      <c r="S6" s="45">
        <f t="shared" ref="S6:S10" si="5">G6/E6</f>
        <v>1.883462325</v>
      </c>
      <c r="T6" s="6"/>
      <c r="U6" s="45">
        <f t="shared" ref="U6:U10" si="6">I6/G6</f>
        <v>1.047893444</v>
      </c>
      <c r="V6" s="6"/>
      <c r="Z6" s="46">
        <v>43830.0</v>
      </c>
    </row>
    <row r="7">
      <c r="A7" s="47" t="s">
        <v>32</v>
      </c>
      <c r="B7" s="48"/>
      <c r="C7" s="48"/>
      <c r="D7" s="49"/>
      <c r="E7" s="50">
        <v>238.0</v>
      </c>
      <c r="F7" s="49"/>
      <c r="G7" s="51">
        <v>407.0</v>
      </c>
      <c r="H7" s="52"/>
      <c r="I7" s="53">
        <v>455.0</v>
      </c>
      <c r="J7" s="54"/>
      <c r="K7" s="55">
        <f t="shared" si="1"/>
        <v>169</v>
      </c>
      <c r="L7" s="23"/>
      <c r="M7" s="56">
        <f t="shared" si="2"/>
        <v>48</v>
      </c>
      <c r="N7" s="49"/>
      <c r="O7" s="57">
        <f t="shared" si="3"/>
        <v>0.7100840336</v>
      </c>
      <c r="P7" s="49"/>
      <c r="Q7" s="58">
        <f t="shared" si="4"/>
        <v>0.1179361179</v>
      </c>
      <c r="R7" s="59"/>
      <c r="S7" s="58">
        <f t="shared" si="5"/>
        <v>1.710084034</v>
      </c>
      <c r="T7" s="49"/>
      <c r="U7" s="58">
        <f t="shared" si="6"/>
        <v>1.117936118</v>
      </c>
      <c r="V7" s="49"/>
      <c r="Y7" s="60" t="s">
        <v>33</v>
      </c>
      <c r="Z7" s="61">
        <v>22988.0</v>
      </c>
    </row>
    <row r="8">
      <c r="A8" s="47" t="s">
        <v>34</v>
      </c>
      <c r="B8" s="48"/>
      <c r="C8" s="48"/>
      <c r="D8" s="49"/>
      <c r="E8" s="50">
        <v>390.0</v>
      </c>
      <c r="F8" s="49"/>
      <c r="G8" s="62">
        <v>390.0</v>
      </c>
      <c r="H8" s="6"/>
      <c r="I8" s="62">
        <v>0.0</v>
      </c>
      <c r="J8" s="6"/>
      <c r="K8" s="55">
        <f t="shared" si="1"/>
        <v>0</v>
      </c>
      <c r="L8" s="23"/>
      <c r="M8" s="56">
        <f t="shared" si="2"/>
        <v>-390</v>
      </c>
      <c r="N8" s="49"/>
      <c r="O8" s="57">
        <f t="shared" si="3"/>
        <v>0</v>
      </c>
      <c r="P8" s="49"/>
      <c r="Q8" s="58">
        <f t="shared" si="4"/>
        <v>-1</v>
      </c>
      <c r="R8" s="59"/>
      <c r="S8" s="58">
        <f t="shared" si="5"/>
        <v>1</v>
      </c>
      <c r="T8" s="49"/>
      <c r="U8" s="58">
        <f t="shared" si="6"/>
        <v>0</v>
      </c>
      <c r="V8" s="49"/>
      <c r="Y8" s="60" t="s">
        <v>35</v>
      </c>
      <c r="Z8" s="61">
        <v>20638.0</v>
      </c>
    </row>
    <row r="9">
      <c r="A9" s="47" t="s">
        <v>36</v>
      </c>
      <c r="B9" s="48"/>
      <c r="C9" s="48"/>
      <c r="D9" s="49"/>
      <c r="E9" s="50">
        <v>9373.0</v>
      </c>
      <c r="F9" s="49"/>
      <c r="G9" s="62">
        <v>15496.0</v>
      </c>
      <c r="H9" s="6"/>
      <c r="I9" s="62">
        <v>19530.0</v>
      </c>
      <c r="J9" s="6"/>
      <c r="K9" s="55">
        <f t="shared" si="1"/>
        <v>6123</v>
      </c>
      <c r="L9" s="23"/>
      <c r="M9" s="56">
        <f t="shared" si="2"/>
        <v>4034</v>
      </c>
      <c r="N9" s="49"/>
      <c r="O9" s="57">
        <f t="shared" si="3"/>
        <v>0.653259362</v>
      </c>
      <c r="P9" s="49"/>
      <c r="Q9" s="58">
        <f t="shared" si="4"/>
        <v>0.2603252452</v>
      </c>
      <c r="R9" s="59"/>
      <c r="S9" s="58">
        <f t="shared" si="5"/>
        <v>1.653259362</v>
      </c>
      <c r="T9" s="49"/>
      <c r="U9" s="58">
        <f t="shared" si="6"/>
        <v>1.260325245</v>
      </c>
      <c r="V9" s="49"/>
    </row>
    <row r="10">
      <c r="A10" s="47" t="s">
        <v>37</v>
      </c>
      <c r="B10" s="48"/>
      <c r="C10" s="48"/>
      <c r="D10" s="49"/>
      <c r="E10" s="56">
        <v>1159.0</v>
      </c>
      <c r="F10" s="49"/>
      <c r="G10" s="63">
        <v>698.0</v>
      </c>
      <c r="H10" s="64"/>
      <c r="I10" s="63">
        <v>1075.0</v>
      </c>
      <c r="J10" s="64"/>
      <c r="K10" s="55">
        <f t="shared" si="1"/>
        <v>-461</v>
      </c>
      <c r="L10" s="23"/>
      <c r="M10" s="56">
        <f t="shared" si="2"/>
        <v>377</v>
      </c>
      <c r="N10" s="49"/>
      <c r="O10" s="57">
        <f t="shared" si="3"/>
        <v>-0.3977566868</v>
      </c>
      <c r="P10" s="49"/>
      <c r="Q10" s="58">
        <f t="shared" si="4"/>
        <v>0.5401146132</v>
      </c>
      <c r="R10" s="59"/>
      <c r="S10" s="58">
        <f t="shared" si="5"/>
        <v>0.6022433132</v>
      </c>
      <c r="T10" s="49"/>
      <c r="U10" s="58">
        <f t="shared" si="6"/>
        <v>1.540114613</v>
      </c>
      <c r="V10" s="49"/>
      <c r="Z10" s="46">
        <v>43830.0</v>
      </c>
    </row>
    <row r="11">
      <c r="A11" s="47" t="s">
        <v>38</v>
      </c>
      <c r="B11" s="48"/>
      <c r="C11" s="48"/>
      <c r="D11" s="49"/>
      <c r="E11" s="56">
        <v>0.0</v>
      </c>
      <c r="F11" s="49"/>
      <c r="G11" s="62">
        <v>0.0</v>
      </c>
      <c r="H11" s="6"/>
      <c r="I11" s="62">
        <v>0.0</v>
      </c>
      <c r="J11" s="6"/>
      <c r="K11" s="55">
        <f t="shared" si="1"/>
        <v>0</v>
      </c>
      <c r="L11" s="23"/>
      <c r="M11" s="56">
        <f t="shared" si="2"/>
        <v>0</v>
      </c>
      <c r="N11" s="49"/>
      <c r="O11" s="65" t="s">
        <v>39</v>
      </c>
      <c r="P11" s="49"/>
      <c r="Q11" s="66" t="s">
        <v>39</v>
      </c>
      <c r="R11" s="59"/>
      <c r="S11" s="66" t="s">
        <v>39</v>
      </c>
      <c r="T11" s="49"/>
      <c r="U11" s="66" t="s">
        <v>39</v>
      </c>
      <c r="V11" s="49"/>
      <c r="Y11" s="60" t="s">
        <v>40</v>
      </c>
      <c r="Z11" s="61">
        <v>2014.0</v>
      </c>
    </row>
    <row r="12">
      <c r="A12" s="47" t="s">
        <v>41</v>
      </c>
      <c r="B12" s="48"/>
      <c r="C12" s="48"/>
      <c r="D12" s="49"/>
      <c r="E12" s="56">
        <v>41.0</v>
      </c>
      <c r="F12" s="49"/>
      <c r="G12" s="67">
        <v>0.0</v>
      </c>
      <c r="H12" s="25"/>
      <c r="I12" s="63">
        <v>152.0</v>
      </c>
      <c r="J12" s="64"/>
      <c r="K12" s="55">
        <f t="shared" si="1"/>
        <v>-41</v>
      </c>
      <c r="L12" s="23"/>
      <c r="M12" s="56">
        <f t="shared" si="2"/>
        <v>152</v>
      </c>
      <c r="N12" s="49"/>
      <c r="O12" s="57">
        <f>K12/E12</f>
        <v>-1</v>
      </c>
      <c r="P12" s="49"/>
      <c r="Q12" s="66" t="s">
        <v>39</v>
      </c>
      <c r="R12" s="59"/>
      <c r="S12" s="58">
        <f>G12/E12</f>
        <v>0</v>
      </c>
      <c r="T12" s="49"/>
      <c r="U12" s="66" t="s">
        <v>39</v>
      </c>
      <c r="V12" s="49"/>
      <c r="Y12" s="60" t="s">
        <v>42</v>
      </c>
      <c r="Z12" s="61">
        <v>0.0</v>
      </c>
    </row>
    <row r="13">
      <c r="A13" s="47" t="s">
        <v>43</v>
      </c>
      <c r="B13" s="48"/>
      <c r="C13" s="48"/>
      <c r="D13" s="49"/>
      <c r="E13" s="56">
        <v>0.0</v>
      </c>
      <c r="F13" s="49"/>
      <c r="G13" s="62">
        <v>617.0</v>
      </c>
      <c r="H13" s="6"/>
      <c r="I13" s="62">
        <v>260.0</v>
      </c>
      <c r="J13" s="6"/>
      <c r="K13" s="55">
        <f t="shared" si="1"/>
        <v>617</v>
      </c>
      <c r="L13" s="23"/>
      <c r="M13" s="56">
        <f t="shared" si="2"/>
        <v>-357</v>
      </c>
      <c r="N13" s="49"/>
      <c r="O13" s="65" t="s">
        <v>39</v>
      </c>
      <c r="P13" s="49"/>
      <c r="Q13" s="58">
        <f t="shared" ref="Q13:Q15" si="7">M13/G13</f>
        <v>-0.5786061588</v>
      </c>
      <c r="R13" s="59"/>
      <c r="S13" s="66" t="s">
        <v>39</v>
      </c>
      <c r="T13" s="49"/>
      <c r="U13" s="58">
        <f t="shared" ref="U13:U15" si="8">I13/G13</f>
        <v>0.4213938412</v>
      </c>
      <c r="V13" s="49"/>
      <c r="Y13" s="60" t="s">
        <v>44</v>
      </c>
      <c r="Z13" s="61">
        <v>820.0</v>
      </c>
    </row>
    <row r="14">
      <c r="A14" s="47" t="s">
        <v>45</v>
      </c>
      <c r="B14" s="48"/>
      <c r="C14" s="48"/>
      <c r="D14" s="49"/>
      <c r="E14" s="56">
        <v>40.0</v>
      </c>
      <c r="F14" s="49"/>
      <c r="G14" s="68">
        <v>3565.0</v>
      </c>
      <c r="H14" s="69"/>
      <c r="I14" s="68">
        <v>715.0</v>
      </c>
      <c r="J14" s="69"/>
      <c r="K14" s="55">
        <f t="shared" si="1"/>
        <v>3525</v>
      </c>
      <c r="L14" s="23"/>
      <c r="M14" s="56">
        <f t="shared" si="2"/>
        <v>-2850</v>
      </c>
      <c r="N14" s="49"/>
      <c r="O14" s="57">
        <f t="shared" ref="O14:O15" si="9">K14/E14</f>
        <v>88.125</v>
      </c>
      <c r="P14" s="49"/>
      <c r="Q14" s="58">
        <f t="shared" si="7"/>
        <v>-0.7994389902</v>
      </c>
      <c r="R14" s="59"/>
      <c r="S14" s="58">
        <f t="shared" ref="S14:S15" si="10">G14/E14</f>
        <v>89.125</v>
      </c>
      <c r="T14" s="49"/>
      <c r="U14" s="58">
        <f t="shared" si="8"/>
        <v>0.2005610098</v>
      </c>
      <c r="V14" s="49"/>
      <c r="Y14" s="60" t="s">
        <v>41</v>
      </c>
      <c r="Z14" s="61">
        <v>41.0</v>
      </c>
    </row>
    <row r="15">
      <c r="A15" s="40" t="s">
        <v>46</v>
      </c>
      <c r="B15" s="5"/>
      <c r="C15" s="5"/>
      <c r="D15" s="70"/>
      <c r="E15" s="42">
        <v>77791.0</v>
      </c>
      <c r="F15" s="5"/>
      <c r="G15" s="41">
        <v>56851.0</v>
      </c>
      <c r="H15" s="6"/>
      <c r="I15" s="42">
        <v>64053.0</v>
      </c>
      <c r="J15" s="70"/>
      <c r="K15" s="41">
        <f t="shared" si="1"/>
        <v>-20940</v>
      </c>
      <c r="L15" s="6"/>
      <c r="M15" s="71">
        <f t="shared" si="2"/>
        <v>7202</v>
      </c>
      <c r="N15" s="28"/>
      <c r="O15" s="72">
        <f t="shared" si="9"/>
        <v>-0.2691828104</v>
      </c>
      <c r="P15" s="28"/>
      <c r="Q15" s="73">
        <f t="shared" si="7"/>
        <v>0.1266820285</v>
      </c>
      <c r="R15" s="28"/>
      <c r="S15" s="73">
        <f t="shared" si="10"/>
        <v>0.7308171896</v>
      </c>
      <c r="T15" s="28"/>
      <c r="U15" s="73">
        <f t="shared" si="8"/>
        <v>1.126682028</v>
      </c>
      <c r="V15" s="74"/>
      <c r="Z15" s="75">
        <f>SUM(Z11:Z14)</f>
        <v>2875</v>
      </c>
    </row>
    <row r="16">
      <c r="A16" s="47" t="s">
        <v>47</v>
      </c>
      <c r="B16" s="48"/>
      <c r="C16" s="48"/>
      <c r="D16" s="49"/>
      <c r="E16" s="56">
        <v>0.0</v>
      </c>
      <c r="F16" s="49"/>
      <c r="G16" s="51">
        <v>0.0</v>
      </c>
      <c r="H16" s="52"/>
      <c r="I16" s="53">
        <v>0.0</v>
      </c>
      <c r="J16" s="54"/>
      <c r="K16" s="68">
        <f t="shared" si="1"/>
        <v>0</v>
      </c>
      <c r="L16" s="69"/>
      <c r="M16" s="56">
        <f t="shared" si="2"/>
        <v>0</v>
      </c>
      <c r="N16" s="49"/>
      <c r="O16" s="65" t="s">
        <v>39</v>
      </c>
      <c r="P16" s="49"/>
      <c r="Q16" s="66" t="s">
        <v>39</v>
      </c>
      <c r="R16" s="59"/>
      <c r="S16" s="66" t="s">
        <v>39</v>
      </c>
      <c r="T16" s="49"/>
      <c r="U16" s="66" t="s">
        <v>39</v>
      </c>
      <c r="V16" s="49"/>
    </row>
    <row r="17">
      <c r="A17" s="47" t="s">
        <v>48</v>
      </c>
      <c r="B17" s="48"/>
      <c r="C17" s="48"/>
      <c r="D17" s="49"/>
      <c r="E17" s="56">
        <v>272.0</v>
      </c>
      <c r="F17" s="49"/>
      <c r="G17" s="62">
        <v>309.0</v>
      </c>
      <c r="H17" s="6"/>
      <c r="I17" s="62">
        <v>641.0</v>
      </c>
      <c r="J17" s="6"/>
      <c r="K17" s="56">
        <f t="shared" si="1"/>
        <v>37</v>
      </c>
      <c r="L17" s="49"/>
      <c r="M17" s="56">
        <f t="shared" si="2"/>
        <v>332</v>
      </c>
      <c r="N17" s="49"/>
      <c r="O17" s="57">
        <f t="shared" ref="O17:O18" si="11">K17/E17</f>
        <v>0.1360294118</v>
      </c>
      <c r="P17" s="49"/>
      <c r="Q17" s="58">
        <f t="shared" ref="Q17:Q18" si="12">M17/G17</f>
        <v>1.074433657</v>
      </c>
      <c r="R17" s="59"/>
      <c r="S17" s="58">
        <f t="shared" ref="S17:S18" si="13">G17/E17</f>
        <v>1.136029412</v>
      </c>
      <c r="T17" s="49"/>
      <c r="U17" s="58">
        <f t="shared" ref="U17:U18" si="14">I17/G17</f>
        <v>2.074433657</v>
      </c>
      <c r="V17" s="49"/>
      <c r="Z17" s="46">
        <v>43830.0</v>
      </c>
    </row>
    <row r="18">
      <c r="A18" s="47" t="s">
        <v>40</v>
      </c>
      <c r="B18" s="48"/>
      <c r="C18" s="48"/>
      <c r="D18" s="49"/>
      <c r="E18" s="56">
        <v>4648.0</v>
      </c>
      <c r="F18" s="49"/>
      <c r="G18" s="68">
        <v>5590.0</v>
      </c>
      <c r="H18" s="69"/>
      <c r="I18" s="68">
        <v>8510.0</v>
      </c>
      <c r="J18" s="69"/>
      <c r="K18" s="56">
        <f t="shared" si="1"/>
        <v>942</v>
      </c>
      <c r="L18" s="49"/>
      <c r="M18" s="56">
        <f t="shared" si="2"/>
        <v>2920</v>
      </c>
      <c r="N18" s="49"/>
      <c r="O18" s="57">
        <f t="shared" si="11"/>
        <v>0.2026678141</v>
      </c>
      <c r="P18" s="49"/>
      <c r="Q18" s="58">
        <f t="shared" si="12"/>
        <v>0.5223613596</v>
      </c>
      <c r="R18" s="59"/>
      <c r="S18" s="58">
        <f t="shared" si="13"/>
        <v>1.202667814</v>
      </c>
      <c r="T18" s="49"/>
      <c r="U18" s="58">
        <f t="shared" si="14"/>
        <v>1.52236136</v>
      </c>
      <c r="V18" s="49"/>
      <c r="Y18" s="60" t="s">
        <v>49</v>
      </c>
      <c r="Z18" s="61">
        <v>641.0</v>
      </c>
    </row>
    <row r="19">
      <c r="A19" s="47" t="s">
        <v>42</v>
      </c>
      <c r="B19" s="48"/>
      <c r="C19" s="48"/>
      <c r="D19" s="49"/>
      <c r="E19" s="56">
        <v>0.0</v>
      </c>
      <c r="F19" s="49"/>
      <c r="G19" s="76">
        <v>0.0</v>
      </c>
      <c r="H19" s="59"/>
      <c r="I19" s="56">
        <v>0.0</v>
      </c>
      <c r="J19" s="49"/>
      <c r="K19" s="56">
        <f t="shared" si="1"/>
        <v>0</v>
      </c>
      <c r="L19" s="49"/>
      <c r="M19" s="56">
        <f t="shared" si="2"/>
        <v>0</v>
      </c>
      <c r="N19" s="49"/>
      <c r="O19" s="65" t="s">
        <v>39</v>
      </c>
      <c r="P19" s="49"/>
      <c r="Q19" s="66" t="s">
        <v>39</v>
      </c>
      <c r="R19" s="59"/>
      <c r="S19" s="66" t="s">
        <v>39</v>
      </c>
      <c r="T19" s="49"/>
      <c r="U19" s="66" t="s">
        <v>39</v>
      </c>
      <c r="V19" s="49"/>
      <c r="Y19" s="60" t="s">
        <v>50</v>
      </c>
      <c r="Z19" s="61">
        <v>2179.0</v>
      </c>
    </row>
    <row r="20">
      <c r="A20" s="77" t="s">
        <v>44</v>
      </c>
      <c r="B20" s="48"/>
      <c r="C20" s="48"/>
      <c r="D20" s="49"/>
      <c r="E20" s="56">
        <v>1048.0</v>
      </c>
      <c r="F20" s="49"/>
      <c r="G20" s="53">
        <v>2498.0</v>
      </c>
      <c r="H20" s="54"/>
      <c r="I20" s="53">
        <v>1472.0</v>
      </c>
      <c r="J20" s="54"/>
      <c r="K20" s="56">
        <f t="shared" si="1"/>
        <v>1450</v>
      </c>
      <c r="L20" s="49"/>
      <c r="M20" s="56">
        <f t="shared" si="2"/>
        <v>-1026</v>
      </c>
      <c r="N20" s="49"/>
      <c r="O20" s="57">
        <f>K20/E20</f>
        <v>1.383587786</v>
      </c>
      <c r="P20" s="49"/>
      <c r="Q20" s="58">
        <f>M20/G20</f>
        <v>-0.4107285829</v>
      </c>
      <c r="R20" s="59"/>
      <c r="S20" s="58">
        <f>G20/E20</f>
        <v>2.383587786</v>
      </c>
      <c r="T20" s="49"/>
      <c r="U20" s="58">
        <f>I20/G20</f>
        <v>0.5892714171</v>
      </c>
      <c r="V20" s="49"/>
    </row>
    <row r="21">
      <c r="A21" s="47" t="s">
        <v>51</v>
      </c>
      <c r="B21" s="48"/>
      <c r="C21" s="48"/>
      <c r="D21" s="49"/>
      <c r="E21" s="53">
        <v>0.0</v>
      </c>
      <c r="F21" s="54"/>
      <c r="G21" s="62">
        <v>0.0</v>
      </c>
      <c r="H21" s="6"/>
      <c r="I21" s="62">
        <v>0.0</v>
      </c>
      <c r="J21" s="6"/>
      <c r="K21" s="56">
        <f t="shared" si="1"/>
        <v>0</v>
      </c>
      <c r="L21" s="49"/>
      <c r="M21" s="56">
        <f t="shared" si="2"/>
        <v>0</v>
      </c>
      <c r="N21" s="49"/>
      <c r="O21" s="65" t="s">
        <v>39</v>
      </c>
      <c r="P21" s="49"/>
      <c r="Q21" s="66" t="s">
        <v>39</v>
      </c>
      <c r="R21" s="59"/>
      <c r="S21" s="66" t="s">
        <v>39</v>
      </c>
      <c r="T21" s="49"/>
      <c r="U21" s="66" t="s">
        <v>39</v>
      </c>
      <c r="V21" s="49"/>
    </row>
    <row r="22">
      <c r="A22" s="47" t="s">
        <v>52</v>
      </c>
      <c r="B22" s="48"/>
      <c r="C22" s="48"/>
      <c r="D22" s="49"/>
      <c r="E22" s="53">
        <v>199.0</v>
      </c>
      <c r="F22" s="54"/>
      <c r="G22" s="62">
        <v>800.0</v>
      </c>
      <c r="H22" s="6"/>
      <c r="I22" s="62">
        <v>1156.0</v>
      </c>
      <c r="J22" s="6"/>
      <c r="K22" s="56">
        <f t="shared" si="1"/>
        <v>601</v>
      </c>
      <c r="L22" s="49"/>
      <c r="M22" s="56">
        <f t="shared" si="2"/>
        <v>356</v>
      </c>
      <c r="N22" s="49"/>
      <c r="O22" s="57">
        <f t="shared" ref="O22:O24" si="15">K22/E22</f>
        <v>3.020100503</v>
      </c>
      <c r="P22" s="49"/>
      <c r="Q22" s="58">
        <f t="shared" ref="Q22:Q24" si="16">M22/G22</f>
        <v>0.445</v>
      </c>
      <c r="R22" s="59"/>
      <c r="S22" s="58">
        <f t="shared" ref="S22:S24" si="17">G22/E22</f>
        <v>4.020100503</v>
      </c>
      <c r="T22" s="49"/>
      <c r="U22" s="58">
        <f t="shared" ref="U22:U24" si="18">I22/G22</f>
        <v>1.445</v>
      </c>
      <c r="V22" s="49"/>
    </row>
    <row r="23">
      <c r="A23" s="47" t="s">
        <v>53</v>
      </c>
      <c r="B23" s="48"/>
      <c r="C23" s="48"/>
      <c r="D23" s="49"/>
      <c r="E23" s="78">
        <v>71624.0</v>
      </c>
      <c r="F23" s="79"/>
      <c r="G23" s="80">
        <v>47655.0</v>
      </c>
      <c r="H23" s="28"/>
      <c r="I23" s="81">
        <v>52274.0</v>
      </c>
      <c r="J23" s="74"/>
      <c r="K23" s="56">
        <f t="shared" si="1"/>
        <v>-23969</v>
      </c>
      <c r="L23" s="49"/>
      <c r="M23" s="56">
        <f t="shared" si="2"/>
        <v>4619</v>
      </c>
      <c r="N23" s="49"/>
      <c r="O23" s="57">
        <f t="shared" si="15"/>
        <v>-0.3346503965</v>
      </c>
      <c r="P23" s="49"/>
      <c r="Q23" s="58">
        <f t="shared" si="16"/>
        <v>0.09692582101</v>
      </c>
      <c r="R23" s="59"/>
      <c r="S23" s="58">
        <f t="shared" si="17"/>
        <v>0.6653496035</v>
      </c>
      <c r="T23" s="49"/>
      <c r="U23" s="58">
        <f t="shared" si="18"/>
        <v>1.096925821</v>
      </c>
      <c r="V23" s="49"/>
    </row>
    <row r="24">
      <c r="A24" s="82" t="s">
        <v>33</v>
      </c>
      <c r="B24" s="5"/>
      <c r="C24" s="5"/>
      <c r="D24" s="6"/>
      <c r="E24" s="83">
        <v>89032.0</v>
      </c>
      <c r="F24" s="5"/>
      <c r="G24" s="84">
        <v>78023.0</v>
      </c>
      <c r="H24" s="6"/>
      <c r="I24" s="83">
        <v>86239.0</v>
      </c>
      <c r="J24" s="6"/>
      <c r="K24" s="85">
        <f t="shared" si="1"/>
        <v>-11009</v>
      </c>
      <c r="L24" s="28"/>
      <c r="M24" s="85">
        <f t="shared" si="2"/>
        <v>8216</v>
      </c>
      <c r="N24" s="28"/>
      <c r="O24" s="86">
        <f t="shared" si="15"/>
        <v>-0.12365217</v>
      </c>
      <c r="P24" s="28"/>
      <c r="Q24" s="87">
        <f t="shared" si="16"/>
        <v>0.1053022827</v>
      </c>
      <c r="R24" s="28"/>
      <c r="S24" s="87">
        <f t="shared" si="17"/>
        <v>0.87634783</v>
      </c>
      <c r="T24" s="28"/>
      <c r="U24" s="87">
        <f t="shared" si="18"/>
        <v>1.105302283</v>
      </c>
      <c r="V24" s="28"/>
    </row>
    <row r="25" hidden="1">
      <c r="D25" s="61" t="s">
        <v>54</v>
      </c>
      <c r="F25" s="88">
        <f>SUM(E18:F20)+E12</f>
        <v>5737</v>
      </c>
      <c r="H25" s="88">
        <f>SUM(G18:H20)+G12</f>
        <v>8088</v>
      </c>
      <c r="J25" s="88">
        <f>SUM(I18:J20)+I12</f>
        <v>10134</v>
      </c>
    </row>
    <row r="27">
      <c r="B27" s="31" t="s">
        <v>55</v>
      </c>
      <c r="C27" s="32"/>
      <c r="D27" s="32"/>
      <c r="E27" s="32"/>
      <c r="F27" s="32"/>
      <c r="G27" s="32"/>
      <c r="H27" s="33"/>
    </row>
    <row r="29">
      <c r="A29" s="89" t="s">
        <v>56</v>
      </c>
      <c r="B29" s="27"/>
      <c r="C29" s="27"/>
      <c r="D29" s="27"/>
      <c r="E29" s="27"/>
      <c r="F29" s="28"/>
      <c r="G29" s="89">
        <v>2020.0</v>
      </c>
      <c r="H29" s="28"/>
      <c r="I29" s="90">
        <v>2021.0</v>
      </c>
      <c r="J29" s="28"/>
      <c r="K29" s="91">
        <v>2022.0</v>
      </c>
      <c r="L29" s="28"/>
    </row>
    <row r="30">
      <c r="A30" s="92" t="s">
        <v>57</v>
      </c>
      <c r="B30" s="93"/>
      <c r="C30" s="93"/>
      <c r="D30" s="93"/>
      <c r="E30" s="93"/>
      <c r="F30" s="94"/>
      <c r="G30" s="95">
        <f>E6/E24</f>
        <v>0.1262579747</v>
      </c>
      <c r="H30" s="69"/>
      <c r="I30" s="95">
        <f t="shared" ref="I30:I38" si="19">G6/$G$24</f>
        <v>0.2713558822</v>
      </c>
      <c r="J30" s="69"/>
      <c r="K30" s="95">
        <f>I6/I24</f>
        <v>0.2572617957</v>
      </c>
      <c r="L30" s="94"/>
      <c r="M30" s="96"/>
      <c r="N30" s="96"/>
      <c r="O30" s="96"/>
      <c r="P30" s="96"/>
      <c r="Q30" s="96"/>
      <c r="R30" s="96"/>
      <c r="S30" s="96"/>
      <c r="T30" s="96"/>
      <c r="U30" s="96"/>
      <c r="V30" s="96"/>
      <c r="W30" s="96"/>
    </row>
    <row r="31">
      <c r="A31" s="97" t="s">
        <v>58</v>
      </c>
      <c r="B31" s="48"/>
      <c r="C31" s="48"/>
      <c r="D31" s="48"/>
      <c r="E31" s="48"/>
      <c r="F31" s="49"/>
      <c r="G31" s="58">
        <f t="shared" ref="G31:G38" si="20">E7/$E$24</f>
        <v>0.002673196154</v>
      </c>
      <c r="H31" s="49"/>
      <c r="I31" s="58">
        <f t="shared" si="19"/>
        <v>0.005216410546</v>
      </c>
      <c r="J31" s="49"/>
      <c r="K31" s="58">
        <f t="shared" ref="K31:K38" si="21">I7/$I$24</f>
        <v>0.005276035204</v>
      </c>
      <c r="L31" s="49"/>
    </row>
    <row r="32">
      <c r="A32" s="97" t="s">
        <v>59</v>
      </c>
      <c r="B32" s="48"/>
      <c r="C32" s="48"/>
      <c r="D32" s="48"/>
      <c r="E32" s="48"/>
      <c r="F32" s="49"/>
      <c r="G32" s="58">
        <f t="shared" si="20"/>
        <v>0.00438044748</v>
      </c>
      <c r="H32" s="49"/>
      <c r="I32" s="58">
        <f t="shared" si="19"/>
        <v>0.004998526076</v>
      </c>
      <c r="J32" s="49"/>
      <c r="K32" s="58">
        <f t="shared" si="21"/>
        <v>0</v>
      </c>
      <c r="L32" s="49"/>
    </row>
    <row r="33">
      <c r="A33" s="97" t="s">
        <v>60</v>
      </c>
      <c r="B33" s="48"/>
      <c r="C33" s="48"/>
      <c r="D33" s="48"/>
      <c r="E33" s="48"/>
      <c r="F33" s="49"/>
      <c r="G33" s="58">
        <f t="shared" si="20"/>
        <v>0.1052767544</v>
      </c>
      <c r="H33" s="49"/>
      <c r="I33" s="58">
        <f t="shared" si="19"/>
        <v>0.1986081027</v>
      </c>
      <c r="J33" s="49"/>
      <c r="K33" s="58">
        <f t="shared" si="21"/>
        <v>0.2264636649</v>
      </c>
      <c r="L33" s="49"/>
    </row>
    <row r="34">
      <c r="A34" s="97" t="s">
        <v>61</v>
      </c>
      <c r="B34" s="48"/>
      <c r="C34" s="48"/>
      <c r="D34" s="48"/>
      <c r="E34" s="48"/>
      <c r="F34" s="49"/>
      <c r="G34" s="58">
        <f t="shared" si="20"/>
        <v>0.01301779136</v>
      </c>
      <c r="H34" s="49"/>
      <c r="I34" s="58">
        <f t="shared" si="19"/>
        <v>0.008946080002</v>
      </c>
      <c r="J34" s="49"/>
      <c r="K34" s="58">
        <f t="shared" si="21"/>
        <v>0.0124653579</v>
      </c>
      <c r="L34" s="49"/>
    </row>
    <row r="35">
      <c r="A35" s="97" t="s">
        <v>62</v>
      </c>
      <c r="B35" s="48"/>
      <c r="C35" s="48"/>
      <c r="D35" s="48"/>
      <c r="E35" s="48"/>
      <c r="F35" s="49"/>
      <c r="G35" s="58">
        <f t="shared" si="20"/>
        <v>0</v>
      </c>
      <c r="H35" s="49"/>
      <c r="I35" s="58">
        <f t="shared" si="19"/>
        <v>0</v>
      </c>
      <c r="J35" s="49"/>
      <c r="K35" s="58">
        <f t="shared" si="21"/>
        <v>0</v>
      </c>
      <c r="L35" s="49"/>
    </row>
    <row r="36">
      <c r="A36" s="97" t="s">
        <v>63</v>
      </c>
      <c r="B36" s="48"/>
      <c r="C36" s="48"/>
      <c r="D36" s="48"/>
      <c r="E36" s="48"/>
      <c r="F36" s="49"/>
      <c r="G36" s="58">
        <f t="shared" si="20"/>
        <v>0.0004605085812</v>
      </c>
      <c r="H36" s="49"/>
      <c r="I36" s="58">
        <f t="shared" si="19"/>
        <v>0</v>
      </c>
      <c r="J36" s="49"/>
      <c r="K36" s="58">
        <f t="shared" si="21"/>
        <v>0.001762543629</v>
      </c>
      <c r="L36" s="49"/>
    </row>
    <row r="37">
      <c r="A37" s="97" t="s">
        <v>64</v>
      </c>
      <c r="B37" s="48"/>
      <c r="C37" s="48"/>
      <c r="D37" s="48"/>
      <c r="E37" s="48"/>
      <c r="F37" s="49"/>
      <c r="G37" s="58">
        <f t="shared" si="20"/>
        <v>0</v>
      </c>
      <c r="H37" s="49"/>
      <c r="I37" s="58">
        <f t="shared" si="19"/>
        <v>0.007907924586</v>
      </c>
      <c r="J37" s="49"/>
      <c r="K37" s="58">
        <f t="shared" si="21"/>
        <v>0.00301487726</v>
      </c>
      <c r="L37" s="49"/>
    </row>
    <row r="38">
      <c r="A38" s="97" t="s">
        <v>65</v>
      </c>
      <c r="B38" s="48"/>
      <c r="C38" s="48"/>
      <c r="D38" s="48"/>
      <c r="E38" s="48"/>
      <c r="F38" s="49"/>
      <c r="G38" s="58">
        <f t="shared" si="20"/>
        <v>0.0004492766646</v>
      </c>
      <c r="H38" s="49"/>
      <c r="I38" s="58">
        <f t="shared" si="19"/>
        <v>0.04569165502</v>
      </c>
      <c r="J38" s="49"/>
      <c r="K38" s="58">
        <f t="shared" si="21"/>
        <v>0.008290912464</v>
      </c>
      <c r="L38" s="49"/>
    </row>
    <row r="39">
      <c r="A39" s="98" t="s">
        <v>66</v>
      </c>
      <c r="B39" s="48"/>
      <c r="C39" s="48"/>
      <c r="D39" s="48"/>
      <c r="E39" s="48"/>
      <c r="F39" s="49"/>
      <c r="G39" s="99">
        <f>E15/E24</f>
        <v>0.8737420253</v>
      </c>
      <c r="H39" s="49"/>
      <c r="I39" s="99">
        <f>G15/G24</f>
        <v>0.7286441178</v>
      </c>
      <c r="J39" s="49"/>
      <c r="K39" s="99">
        <f>I15/I24</f>
        <v>0.7427382043</v>
      </c>
      <c r="L39" s="49"/>
      <c r="M39" s="96"/>
      <c r="N39" s="96"/>
      <c r="O39" s="96"/>
      <c r="P39" s="96"/>
      <c r="Q39" s="96"/>
      <c r="R39" s="96"/>
      <c r="S39" s="96"/>
      <c r="T39" s="96"/>
      <c r="U39" s="96"/>
      <c r="V39" s="96"/>
      <c r="W39" s="96"/>
      <c r="X39" s="96"/>
      <c r="Y39" s="96"/>
      <c r="Z39" s="96"/>
      <c r="AA39" s="96"/>
      <c r="AB39" s="96"/>
    </row>
    <row r="40">
      <c r="A40" s="100" t="s">
        <v>67</v>
      </c>
      <c r="B40" s="101"/>
      <c r="C40" s="101"/>
      <c r="D40" s="101"/>
      <c r="E40" s="101"/>
      <c r="F40" s="54"/>
      <c r="G40" s="102">
        <f t="shared" ref="G40:G47" si="22">E16/$E$24</f>
        <v>0</v>
      </c>
      <c r="H40" s="54"/>
      <c r="I40" s="58">
        <f t="shared" ref="I40:I47" si="23">G16/$G$24</f>
        <v>0</v>
      </c>
      <c r="J40" s="49"/>
      <c r="K40" s="58">
        <f t="shared" ref="K40:K47" si="24">I16/$I$24</f>
        <v>0</v>
      </c>
      <c r="L40" s="49"/>
    </row>
    <row r="41">
      <c r="A41" s="103" t="s">
        <v>68</v>
      </c>
      <c r="B41" s="5"/>
      <c r="C41" s="5"/>
      <c r="D41" s="5"/>
      <c r="E41" s="5"/>
      <c r="F41" s="6"/>
      <c r="G41" s="102">
        <f t="shared" si="22"/>
        <v>0.003055081319</v>
      </c>
      <c r="H41" s="54"/>
      <c r="I41" s="58">
        <f t="shared" si="23"/>
        <v>0.00396037066</v>
      </c>
      <c r="J41" s="49"/>
      <c r="K41" s="58">
        <f t="shared" si="24"/>
        <v>0.007432832013</v>
      </c>
      <c r="L41" s="49"/>
    </row>
    <row r="42">
      <c r="A42" s="104" t="s">
        <v>69</v>
      </c>
      <c r="B42" s="5"/>
      <c r="C42" s="5"/>
      <c r="D42" s="5"/>
      <c r="E42" s="5"/>
      <c r="F42" s="6"/>
      <c r="G42" s="102">
        <f t="shared" si="22"/>
        <v>0.05220594842</v>
      </c>
      <c r="H42" s="54"/>
      <c r="I42" s="58">
        <f t="shared" si="23"/>
        <v>0.07164554042</v>
      </c>
      <c r="J42" s="49"/>
      <c r="K42" s="58">
        <f t="shared" si="24"/>
        <v>0.09867925185</v>
      </c>
      <c r="L42" s="49"/>
    </row>
    <row r="43">
      <c r="A43" s="100" t="s">
        <v>70</v>
      </c>
      <c r="B43" s="101"/>
      <c r="C43" s="101"/>
      <c r="D43" s="101"/>
      <c r="E43" s="101"/>
      <c r="F43" s="54"/>
      <c r="G43" s="102">
        <f t="shared" si="22"/>
        <v>0</v>
      </c>
      <c r="H43" s="54"/>
      <c r="I43" s="58">
        <f t="shared" si="23"/>
        <v>0</v>
      </c>
      <c r="J43" s="49"/>
      <c r="K43" s="58">
        <f t="shared" si="24"/>
        <v>0</v>
      </c>
      <c r="L43" s="49"/>
    </row>
    <row r="44">
      <c r="A44" s="103" t="s">
        <v>71</v>
      </c>
      <c r="B44" s="5"/>
      <c r="C44" s="5"/>
      <c r="D44" s="5"/>
      <c r="E44" s="5"/>
      <c r="F44" s="6"/>
      <c r="G44" s="102">
        <f t="shared" si="22"/>
        <v>0.01177104861</v>
      </c>
      <c r="H44" s="54"/>
      <c r="I44" s="58">
        <f t="shared" si="23"/>
        <v>0.03201620035</v>
      </c>
      <c r="J44" s="49"/>
      <c r="K44" s="58">
        <f t="shared" si="24"/>
        <v>0.01706884356</v>
      </c>
      <c r="L44" s="49"/>
    </row>
    <row r="45">
      <c r="A45" s="103" t="s">
        <v>72</v>
      </c>
      <c r="B45" s="5"/>
      <c r="C45" s="5"/>
      <c r="D45" s="5"/>
      <c r="E45" s="5"/>
      <c r="F45" s="6"/>
      <c r="G45" s="102">
        <f t="shared" si="22"/>
        <v>0</v>
      </c>
      <c r="H45" s="54"/>
      <c r="I45" s="58">
        <f t="shared" si="23"/>
        <v>0</v>
      </c>
      <c r="J45" s="49"/>
      <c r="K45" s="58">
        <f t="shared" si="24"/>
        <v>0</v>
      </c>
      <c r="L45" s="49"/>
    </row>
    <row r="46">
      <c r="A46" s="103" t="s">
        <v>73</v>
      </c>
      <c r="B46" s="5"/>
      <c r="C46" s="5"/>
      <c r="D46" s="5"/>
      <c r="E46" s="5"/>
      <c r="F46" s="6"/>
      <c r="G46" s="102">
        <f t="shared" si="22"/>
        <v>0.002235151406</v>
      </c>
      <c r="H46" s="54"/>
      <c r="I46" s="58">
        <f t="shared" si="23"/>
        <v>0.01025338682</v>
      </c>
      <c r="J46" s="49"/>
      <c r="K46" s="58">
        <f t="shared" si="24"/>
        <v>0.01340460812</v>
      </c>
      <c r="L46" s="49"/>
      <c r="N46" s="105" t="s">
        <v>74</v>
      </c>
      <c r="O46" s="22"/>
      <c r="P46" s="22"/>
      <c r="Q46" s="22"/>
      <c r="R46" s="22"/>
      <c r="S46" s="22"/>
      <c r="T46" s="23"/>
    </row>
    <row r="47">
      <c r="A47" s="103" t="s">
        <v>75</v>
      </c>
      <c r="B47" s="5"/>
      <c r="C47" s="5"/>
      <c r="D47" s="5"/>
      <c r="E47" s="5"/>
      <c r="F47" s="6"/>
      <c r="G47" s="106">
        <f t="shared" si="22"/>
        <v>0.8044747956</v>
      </c>
      <c r="H47" s="6"/>
      <c r="I47" s="58">
        <f t="shared" si="23"/>
        <v>0.6107814362</v>
      </c>
      <c r="J47" s="49"/>
      <c r="K47" s="58">
        <f t="shared" si="24"/>
        <v>0.6061526687</v>
      </c>
      <c r="L47" s="49"/>
      <c r="N47" s="24"/>
      <c r="T47" s="25"/>
    </row>
    <row r="48">
      <c r="N48" s="24"/>
      <c r="T48" s="25"/>
    </row>
    <row r="49">
      <c r="N49" s="26"/>
      <c r="O49" s="27"/>
      <c r="P49" s="27"/>
      <c r="Q49" s="27"/>
      <c r="R49" s="27"/>
      <c r="S49" s="27"/>
      <c r="T49" s="28"/>
    </row>
    <row r="53">
      <c r="B53" s="31" t="s">
        <v>76</v>
      </c>
      <c r="C53" s="32"/>
      <c r="D53" s="32"/>
      <c r="E53" s="32"/>
      <c r="F53" s="32"/>
      <c r="G53" s="32"/>
      <c r="H53" s="33"/>
    </row>
    <row r="55">
      <c r="A55" s="34" t="s">
        <v>24</v>
      </c>
      <c r="B55" s="22"/>
      <c r="C55" s="22"/>
      <c r="D55" s="22"/>
      <c r="E55" s="35">
        <v>44196.0</v>
      </c>
      <c r="F55" s="23"/>
      <c r="G55" s="35">
        <v>44561.0</v>
      </c>
      <c r="H55" s="23"/>
      <c r="I55" s="35">
        <v>44926.0</v>
      </c>
      <c r="J55" s="23"/>
      <c r="K55" s="36" t="s">
        <v>25</v>
      </c>
      <c r="L55" s="22"/>
      <c r="M55" s="22"/>
      <c r="N55" s="22"/>
      <c r="O55" s="37" t="s">
        <v>26</v>
      </c>
      <c r="P55" s="22"/>
      <c r="Q55" s="22"/>
      <c r="R55" s="23"/>
      <c r="S55" s="36" t="s">
        <v>27</v>
      </c>
      <c r="T55" s="22"/>
      <c r="U55" s="22"/>
      <c r="V55" s="23"/>
    </row>
    <row r="56">
      <c r="A56" s="27"/>
      <c r="B56" s="27"/>
      <c r="C56" s="27"/>
      <c r="D56" s="27"/>
      <c r="E56" s="26"/>
      <c r="F56" s="28"/>
      <c r="G56" s="26"/>
      <c r="H56" s="28"/>
      <c r="I56" s="26"/>
      <c r="J56" s="28"/>
      <c r="K56" s="38" t="s">
        <v>29</v>
      </c>
      <c r="L56" s="5"/>
      <c r="M56" s="39" t="s">
        <v>30</v>
      </c>
      <c r="N56" s="6"/>
      <c r="O56" s="38" t="s">
        <v>29</v>
      </c>
      <c r="P56" s="5"/>
      <c r="Q56" s="39" t="s">
        <v>30</v>
      </c>
      <c r="R56" s="6"/>
      <c r="S56" s="38" t="s">
        <v>29</v>
      </c>
      <c r="T56" s="5"/>
      <c r="U56" s="39" t="s">
        <v>30</v>
      </c>
      <c r="V56" s="6"/>
    </row>
    <row r="57">
      <c r="A57" s="107" t="s">
        <v>35</v>
      </c>
      <c r="B57" s="22"/>
      <c r="C57" s="22"/>
      <c r="D57" s="22"/>
      <c r="E57" s="43">
        <v>81337.0</v>
      </c>
      <c r="F57" s="23"/>
      <c r="G57" s="108">
        <v>70440.0</v>
      </c>
      <c r="H57" s="23"/>
      <c r="I57" s="108">
        <v>75483.0</v>
      </c>
      <c r="J57" s="23"/>
      <c r="K57" s="108">
        <f t="shared" ref="K57:K75" si="25">G57-E57</f>
        <v>-10897</v>
      </c>
      <c r="L57" s="23"/>
      <c r="M57" s="108">
        <f t="shared" ref="M57:M75" si="26">I57-G57</f>
        <v>5043</v>
      </c>
      <c r="N57" s="23"/>
      <c r="O57" s="44">
        <f t="shared" ref="O57:O66" si="27">K57/E57</f>
        <v>-0.1339734684</v>
      </c>
      <c r="P57" s="23"/>
      <c r="Q57" s="44">
        <f t="shared" ref="Q57:Q64" si="28">M57/G57</f>
        <v>0.07159284497</v>
      </c>
      <c r="R57" s="23"/>
      <c r="S57" s="44">
        <f t="shared" ref="S57:S66" si="29">G57/E57</f>
        <v>0.8660265316</v>
      </c>
      <c r="T57" s="23"/>
      <c r="U57" s="44">
        <f t="shared" ref="U57:U64" si="30">I57/G57</f>
        <v>1.071592845</v>
      </c>
      <c r="V57" s="23"/>
    </row>
    <row r="58">
      <c r="A58" s="47" t="s">
        <v>77</v>
      </c>
      <c r="B58" s="48"/>
      <c r="C58" s="48"/>
      <c r="D58" s="49"/>
      <c r="E58" s="56">
        <v>489.0</v>
      </c>
      <c r="F58" s="49"/>
      <c r="G58" s="56">
        <v>489.0</v>
      </c>
      <c r="H58" s="49"/>
      <c r="I58" s="56">
        <v>513.0</v>
      </c>
      <c r="J58" s="49"/>
      <c r="K58" s="56">
        <f t="shared" si="25"/>
        <v>0</v>
      </c>
      <c r="L58" s="49"/>
      <c r="M58" s="56">
        <f t="shared" si="26"/>
        <v>24</v>
      </c>
      <c r="N58" s="59"/>
      <c r="O58" s="109">
        <f t="shared" si="27"/>
        <v>0</v>
      </c>
      <c r="P58" s="49"/>
      <c r="Q58" s="58">
        <f t="shared" si="28"/>
        <v>0.0490797546</v>
      </c>
      <c r="R58" s="59"/>
      <c r="S58" s="58">
        <f t="shared" si="29"/>
        <v>1</v>
      </c>
      <c r="T58" s="49"/>
      <c r="U58" s="58">
        <f t="shared" si="30"/>
        <v>1.049079755</v>
      </c>
      <c r="V58" s="59"/>
    </row>
    <row r="59">
      <c r="A59" s="47" t="s">
        <v>78</v>
      </c>
      <c r="B59" s="48"/>
      <c r="C59" s="48"/>
      <c r="D59" s="49"/>
      <c r="E59" s="56">
        <v>133859.0</v>
      </c>
      <c r="F59" s="49"/>
      <c r="G59" s="56">
        <v>133859.0</v>
      </c>
      <c r="H59" s="49"/>
      <c r="I59" s="56">
        <v>171968.0</v>
      </c>
      <c r="J59" s="49"/>
      <c r="K59" s="56">
        <f t="shared" si="25"/>
        <v>0</v>
      </c>
      <c r="L59" s="49"/>
      <c r="M59" s="56">
        <f t="shared" si="26"/>
        <v>38109</v>
      </c>
      <c r="N59" s="59"/>
      <c r="O59" s="109">
        <f t="shared" si="27"/>
        <v>0</v>
      </c>
      <c r="P59" s="49"/>
      <c r="Q59" s="58">
        <f t="shared" si="28"/>
        <v>0.2846950896</v>
      </c>
      <c r="R59" s="59"/>
      <c r="S59" s="58">
        <f t="shared" si="29"/>
        <v>1</v>
      </c>
      <c r="T59" s="49"/>
      <c r="U59" s="58">
        <f t="shared" si="30"/>
        <v>1.28469509</v>
      </c>
      <c r="V59" s="59"/>
    </row>
    <row r="60">
      <c r="A60" s="47" t="s">
        <v>79</v>
      </c>
      <c r="B60" s="48"/>
      <c r="C60" s="48"/>
      <c r="D60" s="49"/>
      <c r="E60" s="56">
        <v>9965.0</v>
      </c>
      <c r="F60" s="49"/>
      <c r="G60" s="56">
        <v>9965.0</v>
      </c>
      <c r="H60" s="49"/>
      <c r="I60" s="56">
        <v>9965.0</v>
      </c>
      <c r="J60" s="49"/>
      <c r="K60" s="56">
        <f t="shared" si="25"/>
        <v>0</v>
      </c>
      <c r="L60" s="49"/>
      <c r="M60" s="56">
        <f t="shared" si="26"/>
        <v>0</v>
      </c>
      <c r="N60" s="59"/>
      <c r="O60" s="109">
        <f t="shared" si="27"/>
        <v>0</v>
      </c>
      <c r="P60" s="49"/>
      <c r="Q60" s="58">
        <f t="shared" si="28"/>
        <v>0</v>
      </c>
      <c r="R60" s="59"/>
      <c r="S60" s="58">
        <f t="shared" si="29"/>
        <v>1</v>
      </c>
      <c r="T60" s="49"/>
      <c r="U60" s="58">
        <f t="shared" si="30"/>
        <v>1</v>
      </c>
      <c r="V60" s="59"/>
    </row>
    <row r="61">
      <c r="A61" s="47" t="s">
        <v>80</v>
      </c>
      <c r="B61" s="48"/>
      <c r="C61" s="48"/>
      <c r="D61" s="49"/>
      <c r="E61" s="50">
        <v>-61325.0</v>
      </c>
      <c r="F61" s="49"/>
      <c r="G61" s="110">
        <v>-65746.0</v>
      </c>
      <c r="H61" s="49"/>
      <c r="I61" s="56">
        <v>-76644.0</v>
      </c>
      <c r="J61" s="49"/>
      <c r="K61" s="56">
        <f t="shared" si="25"/>
        <v>-4421</v>
      </c>
      <c r="L61" s="49"/>
      <c r="M61" s="56">
        <f t="shared" si="26"/>
        <v>-10898</v>
      </c>
      <c r="N61" s="59"/>
      <c r="O61" s="109">
        <f t="shared" si="27"/>
        <v>0.07209131675</v>
      </c>
      <c r="P61" s="49"/>
      <c r="Q61" s="58">
        <f t="shared" si="28"/>
        <v>0.1657591336</v>
      </c>
      <c r="R61" s="59"/>
      <c r="S61" s="58">
        <f t="shared" si="29"/>
        <v>1.072091317</v>
      </c>
      <c r="T61" s="49"/>
      <c r="U61" s="58">
        <f t="shared" si="30"/>
        <v>1.165759134</v>
      </c>
      <c r="V61" s="59"/>
    </row>
    <row r="62">
      <c r="A62" s="47" t="s">
        <v>81</v>
      </c>
      <c r="B62" s="48"/>
      <c r="C62" s="48"/>
      <c r="D62" s="49"/>
      <c r="E62" s="56">
        <v>-4421.0</v>
      </c>
      <c r="F62" s="49"/>
      <c r="G62" s="56">
        <v>-10897.0</v>
      </c>
      <c r="H62" s="49"/>
      <c r="I62" s="56">
        <v>-61972.0</v>
      </c>
      <c r="J62" s="49"/>
      <c r="K62" s="56">
        <f t="shared" si="25"/>
        <v>-6476</v>
      </c>
      <c r="L62" s="49"/>
      <c r="M62" s="56">
        <f t="shared" si="26"/>
        <v>-51075</v>
      </c>
      <c r="N62" s="59"/>
      <c r="O62" s="109">
        <f t="shared" si="27"/>
        <v>1.464826962</v>
      </c>
      <c r="P62" s="49"/>
      <c r="Q62" s="58">
        <f t="shared" si="28"/>
        <v>4.687069836</v>
      </c>
      <c r="R62" s="59"/>
      <c r="S62" s="58">
        <f t="shared" si="29"/>
        <v>2.464826962</v>
      </c>
      <c r="T62" s="49"/>
      <c r="U62" s="58">
        <f t="shared" si="30"/>
        <v>5.687069836</v>
      </c>
      <c r="V62" s="59"/>
    </row>
    <row r="63">
      <c r="A63" s="47" t="s">
        <v>82</v>
      </c>
      <c r="B63" s="48"/>
      <c r="C63" s="48"/>
      <c r="D63" s="49"/>
      <c r="E63" s="56">
        <v>2771.0</v>
      </c>
      <c r="F63" s="49"/>
      <c r="G63" s="76">
        <v>2771.0</v>
      </c>
      <c r="H63" s="59"/>
      <c r="I63" s="56">
        <v>31653.0</v>
      </c>
      <c r="J63" s="49"/>
      <c r="K63" s="56">
        <f t="shared" si="25"/>
        <v>0</v>
      </c>
      <c r="L63" s="49"/>
      <c r="M63" s="56">
        <f t="shared" si="26"/>
        <v>28882</v>
      </c>
      <c r="N63" s="59"/>
      <c r="O63" s="109">
        <f t="shared" si="27"/>
        <v>0</v>
      </c>
      <c r="P63" s="49"/>
      <c r="Q63" s="58">
        <f t="shared" si="28"/>
        <v>10.422952</v>
      </c>
      <c r="R63" s="59"/>
      <c r="S63" s="58">
        <f t="shared" si="29"/>
        <v>1</v>
      </c>
      <c r="T63" s="49"/>
      <c r="U63" s="58">
        <f t="shared" si="30"/>
        <v>11.422952</v>
      </c>
      <c r="V63" s="59"/>
    </row>
    <row r="64">
      <c r="A64" s="107" t="s">
        <v>83</v>
      </c>
      <c r="B64" s="22"/>
      <c r="C64" s="22"/>
      <c r="D64" s="22"/>
      <c r="E64" s="43">
        <v>639.0</v>
      </c>
      <c r="F64" s="23"/>
      <c r="G64" s="108">
        <v>67.0</v>
      </c>
      <c r="H64" s="23"/>
      <c r="I64" s="108">
        <v>712.0</v>
      </c>
      <c r="J64" s="23"/>
      <c r="K64" s="111">
        <f t="shared" si="25"/>
        <v>-572</v>
      </c>
      <c r="L64" s="25"/>
      <c r="M64" s="111">
        <f t="shared" si="26"/>
        <v>645</v>
      </c>
      <c r="N64" s="25"/>
      <c r="O64" s="112">
        <f t="shared" si="27"/>
        <v>-0.8951486698</v>
      </c>
      <c r="P64" s="25"/>
      <c r="Q64" s="112">
        <f t="shared" si="28"/>
        <v>9.626865672</v>
      </c>
      <c r="R64" s="25"/>
      <c r="S64" s="112">
        <f t="shared" si="29"/>
        <v>0.1048513302</v>
      </c>
      <c r="T64" s="25"/>
      <c r="U64" s="112">
        <f t="shared" si="30"/>
        <v>10.62686567</v>
      </c>
      <c r="V64" s="25"/>
    </row>
    <row r="65">
      <c r="A65" s="47" t="s">
        <v>84</v>
      </c>
      <c r="B65" s="48"/>
      <c r="C65" s="48"/>
      <c r="D65" s="49"/>
      <c r="E65" s="56">
        <v>40.0</v>
      </c>
      <c r="F65" s="49"/>
      <c r="G65" s="56">
        <v>0.0</v>
      </c>
      <c r="H65" s="49"/>
      <c r="I65" s="56">
        <v>0.0</v>
      </c>
      <c r="J65" s="49"/>
      <c r="K65" s="113">
        <f t="shared" si="25"/>
        <v>-40</v>
      </c>
      <c r="L65" s="49"/>
      <c r="M65" s="56">
        <f t="shared" si="26"/>
        <v>0</v>
      </c>
      <c r="N65" s="59"/>
      <c r="O65" s="109">
        <f t="shared" si="27"/>
        <v>-1</v>
      </c>
      <c r="P65" s="49"/>
      <c r="Q65" s="66" t="s">
        <v>39</v>
      </c>
      <c r="R65" s="59"/>
      <c r="S65" s="58">
        <f t="shared" si="29"/>
        <v>0</v>
      </c>
      <c r="T65" s="49"/>
      <c r="U65" s="66" t="s">
        <v>39</v>
      </c>
      <c r="V65" s="59"/>
    </row>
    <row r="66">
      <c r="A66" s="47" t="s">
        <v>85</v>
      </c>
      <c r="B66" s="48"/>
      <c r="C66" s="48"/>
      <c r="D66" s="49"/>
      <c r="E66" s="56">
        <v>598.0</v>
      </c>
      <c r="F66" s="49"/>
      <c r="G66" s="56">
        <v>67.0</v>
      </c>
      <c r="H66" s="49"/>
      <c r="I66" s="56">
        <v>557.0</v>
      </c>
      <c r="J66" s="49"/>
      <c r="K66" s="113">
        <f t="shared" si="25"/>
        <v>-531</v>
      </c>
      <c r="L66" s="49"/>
      <c r="M66" s="56">
        <f t="shared" si="26"/>
        <v>490</v>
      </c>
      <c r="N66" s="59"/>
      <c r="O66" s="109">
        <f t="shared" si="27"/>
        <v>-0.8879598662</v>
      </c>
      <c r="P66" s="49"/>
      <c r="Q66" s="58">
        <f>M66/G66</f>
        <v>7.313432836</v>
      </c>
      <c r="R66" s="59"/>
      <c r="S66" s="58">
        <f t="shared" si="29"/>
        <v>0.1120401338</v>
      </c>
      <c r="T66" s="49"/>
      <c r="U66" s="58">
        <f>I66/G66</f>
        <v>8.313432836</v>
      </c>
      <c r="V66" s="59"/>
    </row>
    <row r="67">
      <c r="A67" s="47" t="s">
        <v>86</v>
      </c>
      <c r="B67" s="48"/>
      <c r="C67" s="48"/>
      <c r="D67" s="49"/>
      <c r="E67" s="56">
        <v>0.0</v>
      </c>
      <c r="F67" s="49"/>
      <c r="G67" s="56">
        <v>0.0</v>
      </c>
      <c r="H67" s="49"/>
      <c r="I67" s="56">
        <v>155.0</v>
      </c>
      <c r="J67" s="49"/>
      <c r="K67" s="113">
        <f t="shared" si="25"/>
        <v>0</v>
      </c>
      <c r="L67" s="49"/>
      <c r="M67" s="56">
        <f t="shared" si="26"/>
        <v>155</v>
      </c>
      <c r="N67" s="59"/>
      <c r="O67" s="114" t="s">
        <v>39</v>
      </c>
      <c r="P67" s="49"/>
      <c r="Q67" s="66" t="s">
        <v>39</v>
      </c>
      <c r="R67" s="59"/>
      <c r="S67" s="66" t="s">
        <v>39</v>
      </c>
      <c r="T67" s="49"/>
      <c r="U67" s="66" t="s">
        <v>39</v>
      </c>
      <c r="V67" s="59"/>
    </row>
    <row r="68">
      <c r="A68" s="107" t="s">
        <v>87</v>
      </c>
      <c r="B68" s="22"/>
      <c r="C68" s="22"/>
      <c r="D68" s="22"/>
      <c r="E68" s="43">
        <v>7056.0</v>
      </c>
      <c r="F68" s="23"/>
      <c r="G68" s="108">
        <v>7516.0</v>
      </c>
      <c r="H68" s="23"/>
      <c r="I68" s="108">
        <v>10044.0</v>
      </c>
      <c r="J68" s="23"/>
      <c r="K68" s="111">
        <f t="shared" si="25"/>
        <v>460</v>
      </c>
      <c r="L68" s="25"/>
      <c r="M68" s="111">
        <f t="shared" si="26"/>
        <v>2528</v>
      </c>
      <c r="N68" s="25"/>
      <c r="O68" s="112">
        <f t="shared" ref="O68:O69" si="31">K68/E68</f>
        <v>0.06519274376</v>
      </c>
      <c r="P68" s="25"/>
      <c r="Q68" s="112">
        <f t="shared" ref="Q68:Q69" si="32">M68/G68</f>
        <v>0.3363491219</v>
      </c>
      <c r="R68" s="25"/>
      <c r="S68" s="112">
        <f t="shared" ref="S68:S69" si="33">G68/E68</f>
        <v>1.065192744</v>
      </c>
      <c r="T68" s="25"/>
      <c r="U68" s="112">
        <f t="shared" ref="U68:U69" si="34">I68/G68</f>
        <v>1.336349122</v>
      </c>
      <c r="V68" s="25"/>
    </row>
    <row r="69">
      <c r="A69" s="47" t="s">
        <v>49</v>
      </c>
      <c r="B69" s="48"/>
      <c r="C69" s="48"/>
      <c r="D69" s="49"/>
      <c r="E69" s="56">
        <v>1462.0</v>
      </c>
      <c r="F69" s="49"/>
      <c r="G69" s="56">
        <v>1914.0</v>
      </c>
      <c r="H69" s="49"/>
      <c r="I69" s="56">
        <v>4223.0</v>
      </c>
      <c r="J69" s="49"/>
      <c r="K69" s="113">
        <f t="shared" si="25"/>
        <v>452</v>
      </c>
      <c r="L69" s="49"/>
      <c r="M69" s="56">
        <f t="shared" si="26"/>
        <v>2309</v>
      </c>
      <c r="N69" s="59"/>
      <c r="O69" s="109">
        <f t="shared" si="31"/>
        <v>0.3091655267</v>
      </c>
      <c r="P69" s="49"/>
      <c r="Q69" s="58">
        <f t="shared" si="32"/>
        <v>1.206374086</v>
      </c>
      <c r="R69" s="59"/>
      <c r="S69" s="58">
        <f t="shared" si="33"/>
        <v>1.309165527</v>
      </c>
      <c r="T69" s="49"/>
      <c r="U69" s="58">
        <f t="shared" si="34"/>
        <v>2.206374086</v>
      </c>
      <c r="V69" s="59"/>
    </row>
    <row r="70">
      <c r="A70" s="47" t="s">
        <v>88</v>
      </c>
      <c r="B70" s="48"/>
      <c r="C70" s="48"/>
      <c r="D70" s="49"/>
      <c r="E70" s="56">
        <v>0.0</v>
      </c>
      <c r="F70" s="49"/>
      <c r="G70" s="56">
        <v>0.0</v>
      </c>
      <c r="H70" s="49"/>
      <c r="I70" s="56">
        <v>0.0</v>
      </c>
      <c r="J70" s="49"/>
      <c r="K70" s="113">
        <f t="shared" si="25"/>
        <v>0</v>
      </c>
      <c r="L70" s="49"/>
      <c r="M70" s="56">
        <f t="shared" si="26"/>
        <v>0</v>
      </c>
      <c r="N70" s="59"/>
      <c r="O70" s="114" t="s">
        <v>39</v>
      </c>
      <c r="P70" s="49"/>
      <c r="Q70" s="66" t="s">
        <v>39</v>
      </c>
      <c r="R70" s="59"/>
      <c r="S70" s="66" t="s">
        <v>39</v>
      </c>
      <c r="T70" s="49"/>
      <c r="U70" s="66" t="s">
        <v>39</v>
      </c>
      <c r="V70" s="59"/>
    </row>
    <row r="71">
      <c r="A71" s="47" t="s">
        <v>89</v>
      </c>
      <c r="B71" s="48"/>
      <c r="C71" s="48"/>
      <c r="D71" s="49"/>
      <c r="E71" s="56">
        <v>564.0</v>
      </c>
      <c r="F71" s="49"/>
      <c r="G71" s="56">
        <v>644.0</v>
      </c>
      <c r="H71" s="49"/>
      <c r="I71" s="56">
        <v>547.0</v>
      </c>
      <c r="J71" s="49"/>
      <c r="K71" s="113">
        <f t="shared" si="25"/>
        <v>80</v>
      </c>
      <c r="L71" s="49"/>
      <c r="M71" s="56">
        <f t="shared" si="26"/>
        <v>-97</v>
      </c>
      <c r="N71" s="59"/>
      <c r="O71" s="109">
        <f t="shared" ref="O71:O75" si="35">K71/E71</f>
        <v>0.1418439716</v>
      </c>
      <c r="P71" s="49"/>
      <c r="Q71" s="58">
        <f t="shared" ref="Q71:Q75" si="36">M71/G71</f>
        <v>-0.150621118</v>
      </c>
      <c r="R71" s="59"/>
      <c r="S71" s="58">
        <f t="shared" ref="S71:S75" si="37">G71/E71</f>
        <v>1.141843972</v>
      </c>
      <c r="T71" s="49"/>
      <c r="U71" s="58">
        <f t="shared" ref="U71:U75" si="38">I71/G71</f>
        <v>0.849378882</v>
      </c>
      <c r="V71" s="59"/>
    </row>
    <row r="72">
      <c r="A72" s="47" t="s">
        <v>90</v>
      </c>
      <c r="B72" s="48"/>
      <c r="C72" s="48"/>
      <c r="D72" s="49"/>
      <c r="E72" s="56">
        <v>573.0</v>
      </c>
      <c r="F72" s="49"/>
      <c r="G72" s="56">
        <v>746.0</v>
      </c>
      <c r="H72" s="49"/>
      <c r="I72" s="56">
        <v>697.0</v>
      </c>
      <c r="J72" s="49"/>
      <c r="K72" s="113">
        <f t="shared" si="25"/>
        <v>173</v>
      </c>
      <c r="L72" s="49"/>
      <c r="M72" s="56">
        <f t="shared" si="26"/>
        <v>-49</v>
      </c>
      <c r="N72" s="59"/>
      <c r="O72" s="109">
        <f t="shared" si="35"/>
        <v>0.3019197208</v>
      </c>
      <c r="P72" s="49"/>
      <c r="Q72" s="58">
        <f t="shared" si="36"/>
        <v>-0.06568364611</v>
      </c>
      <c r="R72" s="59"/>
      <c r="S72" s="58">
        <f t="shared" si="37"/>
        <v>1.301919721</v>
      </c>
      <c r="T72" s="49"/>
      <c r="U72" s="58">
        <f t="shared" si="38"/>
        <v>0.9343163539</v>
      </c>
      <c r="V72" s="59"/>
    </row>
    <row r="73">
      <c r="A73" s="47" t="s">
        <v>91</v>
      </c>
      <c r="B73" s="48"/>
      <c r="C73" s="48"/>
      <c r="D73" s="49"/>
      <c r="E73" s="56">
        <v>1210.0</v>
      </c>
      <c r="F73" s="49"/>
      <c r="G73" s="56">
        <v>1025.0</v>
      </c>
      <c r="H73" s="49"/>
      <c r="I73" s="56">
        <v>1663.0</v>
      </c>
      <c r="J73" s="49"/>
      <c r="K73" s="113">
        <f t="shared" si="25"/>
        <v>-185</v>
      </c>
      <c r="L73" s="49"/>
      <c r="M73" s="56">
        <f t="shared" si="26"/>
        <v>638</v>
      </c>
      <c r="N73" s="59"/>
      <c r="O73" s="109">
        <f t="shared" si="35"/>
        <v>-0.152892562</v>
      </c>
      <c r="P73" s="49"/>
      <c r="Q73" s="58">
        <f t="shared" si="36"/>
        <v>0.6224390244</v>
      </c>
      <c r="R73" s="59"/>
      <c r="S73" s="58">
        <f t="shared" si="37"/>
        <v>0.847107438</v>
      </c>
      <c r="T73" s="49"/>
      <c r="U73" s="58">
        <f t="shared" si="38"/>
        <v>1.622439024</v>
      </c>
      <c r="V73" s="59"/>
    </row>
    <row r="74">
      <c r="A74" s="115" t="s">
        <v>92</v>
      </c>
      <c r="B74" s="101"/>
      <c r="C74" s="101"/>
      <c r="D74" s="54"/>
      <c r="E74" s="53">
        <v>3247.0</v>
      </c>
      <c r="F74" s="54"/>
      <c r="G74" s="53">
        <v>3187.0</v>
      </c>
      <c r="H74" s="54"/>
      <c r="I74" s="56">
        <v>2914.0</v>
      </c>
      <c r="J74" s="49"/>
      <c r="K74" s="113">
        <f t="shared" si="25"/>
        <v>-60</v>
      </c>
      <c r="L74" s="49"/>
      <c r="M74" s="56">
        <f t="shared" si="26"/>
        <v>-273</v>
      </c>
      <c r="N74" s="59"/>
      <c r="O74" s="109">
        <f t="shared" si="35"/>
        <v>-0.01847859563</v>
      </c>
      <c r="P74" s="49"/>
      <c r="Q74" s="58">
        <f t="shared" si="36"/>
        <v>-0.08566049576</v>
      </c>
      <c r="R74" s="59"/>
      <c r="S74" s="58">
        <f t="shared" si="37"/>
        <v>0.9815214044</v>
      </c>
      <c r="T74" s="49"/>
      <c r="U74" s="58">
        <f t="shared" si="38"/>
        <v>0.9143395042</v>
      </c>
      <c r="V74" s="59"/>
    </row>
    <row r="75">
      <c r="A75" s="116" t="s">
        <v>93</v>
      </c>
      <c r="B75" s="5"/>
      <c r="C75" s="5"/>
      <c r="D75" s="5"/>
      <c r="E75" s="84">
        <v>89032.0</v>
      </c>
      <c r="F75" s="6"/>
      <c r="G75" s="83">
        <v>78023.0</v>
      </c>
      <c r="H75" s="6"/>
      <c r="I75" s="83">
        <v>86239.0</v>
      </c>
      <c r="J75" s="6"/>
      <c r="K75" s="85">
        <f t="shared" si="25"/>
        <v>-11009</v>
      </c>
      <c r="L75" s="28"/>
      <c r="M75" s="85">
        <f t="shared" si="26"/>
        <v>8216</v>
      </c>
      <c r="N75" s="28"/>
      <c r="O75" s="87">
        <f t="shared" si="35"/>
        <v>-0.12365217</v>
      </c>
      <c r="P75" s="28"/>
      <c r="Q75" s="87">
        <f t="shared" si="36"/>
        <v>0.1053022827</v>
      </c>
      <c r="R75" s="28"/>
      <c r="S75" s="87">
        <f t="shared" si="37"/>
        <v>0.87634783</v>
      </c>
      <c r="T75" s="28"/>
      <c r="U75" s="87">
        <f t="shared" si="38"/>
        <v>1.105302283</v>
      </c>
      <c r="V75" s="28"/>
    </row>
    <row r="76" hidden="1">
      <c r="C76" s="61" t="s">
        <v>94</v>
      </c>
      <c r="D76" s="88">
        <f>E68+E64</f>
        <v>7695</v>
      </c>
    </row>
    <row r="78">
      <c r="B78" s="31" t="s">
        <v>95</v>
      </c>
      <c r="C78" s="32"/>
      <c r="D78" s="32"/>
      <c r="E78" s="32"/>
      <c r="F78" s="32"/>
      <c r="G78" s="32"/>
      <c r="H78" s="33"/>
    </row>
    <row r="80">
      <c r="A80" s="117" t="s">
        <v>56</v>
      </c>
      <c r="B80" s="27"/>
      <c r="C80" s="27"/>
      <c r="D80" s="27"/>
      <c r="E80" s="27"/>
      <c r="F80" s="28"/>
      <c r="G80" s="117">
        <v>2020.0</v>
      </c>
      <c r="H80" s="28"/>
      <c r="I80" s="118">
        <v>2021.0</v>
      </c>
      <c r="J80" s="28"/>
      <c r="K80" s="119">
        <v>2022.0</v>
      </c>
      <c r="L80" s="28"/>
    </row>
    <row r="81">
      <c r="A81" s="120" t="s">
        <v>96</v>
      </c>
      <c r="B81" s="27"/>
      <c r="C81" s="27"/>
      <c r="D81" s="27"/>
      <c r="E81" s="27"/>
      <c r="F81" s="28"/>
      <c r="G81" s="73">
        <f>E57/E75</f>
        <v>0.9135704017</v>
      </c>
      <c r="H81" s="28"/>
      <c r="I81" s="73">
        <f>G57/G75</f>
        <v>0.9028107097</v>
      </c>
      <c r="J81" s="28"/>
      <c r="K81" s="45">
        <f>I57/I75</f>
        <v>0.8752768469</v>
      </c>
      <c r="L81" s="6"/>
    </row>
    <row r="82">
      <c r="A82" s="97" t="s">
        <v>97</v>
      </c>
      <c r="B82" s="48"/>
      <c r="C82" s="48"/>
      <c r="D82" s="48"/>
      <c r="E82" s="48"/>
      <c r="F82" s="49"/>
      <c r="G82" s="121">
        <f t="shared" ref="G82:G87" si="39">E58/$E$75</f>
        <v>0.005492407224</v>
      </c>
      <c r="H82" s="122"/>
      <c r="I82" s="121">
        <f t="shared" ref="I82:I87" si="40">G58/$G$75</f>
        <v>0.006267382695</v>
      </c>
      <c r="J82" s="122"/>
      <c r="K82" s="121">
        <f t="shared" ref="K82:K87" si="41">I58/$I$75</f>
        <v>0.005948584747</v>
      </c>
      <c r="L82" s="123"/>
    </row>
    <row r="83">
      <c r="A83" s="97" t="s">
        <v>98</v>
      </c>
      <c r="B83" s="48"/>
      <c r="C83" s="48"/>
      <c r="D83" s="48"/>
      <c r="E83" s="48"/>
      <c r="F83" s="49"/>
      <c r="G83" s="121">
        <f t="shared" si="39"/>
        <v>1.503493126</v>
      </c>
      <c r="H83" s="122"/>
      <c r="I83" s="121">
        <f t="shared" si="40"/>
        <v>1.715635133</v>
      </c>
      <c r="J83" s="122"/>
      <c r="K83" s="121">
        <f t="shared" si="41"/>
        <v>1.994086202</v>
      </c>
      <c r="L83" s="123"/>
    </row>
    <row r="84">
      <c r="A84" s="100" t="s">
        <v>99</v>
      </c>
      <c r="B84" s="101"/>
      <c r="C84" s="101"/>
      <c r="D84" s="101"/>
      <c r="E84" s="101"/>
      <c r="F84" s="54"/>
      <c r="G84" s="121">
        <f t="shared" si="39"/>
        <v>0.1119260491</v>
      </c>
      <c r="H84" s="122"/>
      <c r="I84" s="121">
        <f t="shared" si="40"/>
        <v>0.1277187496</v>
      </c>
      <c r="J84" s="122"/>
      <c r="K84" s="121">
        <f t="shared" si="41"/>
        <v>0.1155509688</v>
      </c>
      <c r="L84" s="123"/>
    </row>
    <row r="85">
      <c r="A85" s="103" t="s">
        <v>100</v>
      </c>
      <c r="B85" s="5"/>
      <c r="C85" s="5"/>
      <c r="D85" s="5"/>
      <c r="E85" s="5"/>
      <c r="F85" s="6"/>
      <c r="G85" s="121">
        <f t="shared" si="39"/>
        <v>-0.6887972864</v>
      </c>
      <c r="H85" s="122"/>
      <c r="I85" s="121">
        <f t="shared" si="40"/>
        <v>-0.8426489625</v>
      </c>
      <c r="J85" s="122"/>
      <c r="K85" s="121">
        <f t="shared" si="41"/>
        <v>-0.8887394334</v>
      </c>
      <c r="L85" s="123"/>
    </row>
    <row r="86">
      <c r="A86" s="103" t="s">
        <v>101</v>
      </c>
      <c r="B86" s="5"/>
      <c r="C86" s="5"/>
      <c r="D86" s="5"/>
      <c r="E86" s="5"/>
      <c r="F86" s="6"/>
      <c r="G86" s="121">
        <f t="shared" si="39"/>
        <v>-0.04965630335</v>
      </c>
      <c r="H86" s="122"/>
      <c r="I86" s="121">
        <f t="shared" si="40"/>
        <v>-0.1396639452</v>
      </c>
      <c r="J86" s="122"/>
      <c r="K86" s="121">
        <f t="shared" si="41"/>
        <v>-0.7186075905</v>
      </c>
      <c r="L86" s="123"/>
    </row>
    <row r="87">
      <c r="A87" s="103" t="s">
        <v>102</v>
      </c>
      <c r="B87" s="5"/>
      <c r="C87" s="5"/>
      <c r="D87" s="5"/>
      <c r="E87" s="5"/>
      <c r="F87" s="6"/>
      <c r="G87" s="121">
        <f t="shared" si="39"/>
        <v>0.03112364094</v>
      </c>
      <c r="H87" s="122"/>
      <c r="I87" s="121">
        <f t="shared" si="40"/>
        <v>0.0355151686</v>
      </c>
      <c r="J87" s="122"/>
      <c r="K87" s="121">
        <f t="shared" si="41"/>
        <v>0.367038115</v>
      </c>
      <c r="L87" s="123"/>
    </row>
    <row r="88">
      <c r="A88" s="120" t="s">
        <v>103</v>
      </c>
      <c r="B88" s="27"/>
      <c r="C88" s="27"/>
      <c r="D88" s="27"/>
      <c r="E88" s="27"/>
      <c r="F88" s="28"/>
      <c r="G88" s="73">
        <f>(E64+E68)/E75</f>
        <v>0.08642959835</v>
      </c>
      <c r="H88" s="28"/>
      <c r="I88" s="73">
        <f>(G64+G68)/G75</f>
        <v>0.09718929034</v>
      </c>
      <c r="J88" s="28"/>
      <c r="K88" s="73">
        <f>(I64+I68)/I75</f>
        <v>0.1247231531</v>
      </c>
      <c r="L88" s="28"/>
    </row>
    <row r="89">
      <c r="A89" s="124" t="s">
        <v>104</v>
      </c>
      <c r="B89" s="5"/>
      <c r="C89" s="5"/>
      <c r="D89" s="5"/>
      <c r="E89" s="5"/>
      <c r="F89" s="6"/>
      <c r="G89" s="125">
        <f>E64/E75</f>
        <v>0.007177194717</v>
      </c>
      <c r="H89" s="6"/>
      <c r="I89" s="125">
        <f>G64/G75</f>
        <v>0.0008587211463</v>
      </c>
      <c r="J89" s="6"/>
      <c r="K89" s="126">
        <f>I64/I75</f>
        <v>0.008256125419</v>
      </c>
      <c r="L89" s="25"/>
      <c r="M89" s="127"/>
      <c r="N89" s="127"/>
      <c r="O89" s="127"/>
      <c r="P89" s="127"/>
      <c r="Q89" s="127"/>
      <c r="R89" s="127"/>
      <c r="S89" s="127"/>
      <c r="T89" s="127"/>
      <c r="U89" s="127"/>
      <c r="V89" s="127"/>
      <c r="W89" s="127"/>
      <c r="X89" s="127"/>
      <c r="Y89" s="127"/>
      <c r="Z89" s="127"/>
      <c r="AA89" s="127"/>
      <c r="AB89" s="127"/>
    </row>
    <row r="90">
      <c r="A90" s="128" t="s">
        <v>105</v>
      </c>
      <c r="B90" s="93"/>
      <c r="C90" s="93"/>
      <c r="D90" s="93"/>
      <c r="E90" s="93"/>
      <c r="F90" s="69"/>
      <c r="G90" s="129">
        <f t="shared" ref="G90:G92" si="42">E65/$E$75</f>
        <v>0.0004492766646</v>
      </c>
      <c r="H90" s="64"/>
      <c r="I90" s="130">
        <f t="shared" ref="I90:I92" si="43">G65/$G$75</f>
        <v>0</v>
      </c>
      <c r="J90" s="6"/>
      <c r="K90" s="102">
        <f t="shared" ref="K90:K92" si="44">I65/$I$75</f>
        <v>0</v>
      </c>
      <c r="L90" s="52"/>
    </row>
    <row r="91">
      <c r="A91" s="97" t="s">
        <v>106</v>
      </c>
      <c r="B91" s="48"/>
      <c r="C91" s="48"/>
      <c r="D91" s="48"/>
      <c r="E91" s="48"/>
      <c r="F91" s="49"/>
      <c r="G91" s="130">
        <f t="shared" si="42"/>
        <v>0.006716686135</v>
      </c>
      <c r="H91" s="6"/>
      <c r="I91" s="130">
        <f t="shared" si="43"/>
        <v>0.0008587211463</v>
      </c>
      <c r="J91" s="6"/>
      <c r="K91" s="102">
        <f t="shared" si="44"/>
        <v>0.006458794745</v>
      </c>
      <c r="L91" s="52"/>
    </row>
    <row r="92">
      <c r="A92" s="97" t="s">
        <v>107</v>
      </c>
      <c r="B92" s="48"/>
      <c r="C92" s="48"/>
      <c r="D92" s="48"/>
      <c r="E92" s="48"/>
      <c r="F92" s="49"/>
      <c r="G92" s="129">
        <f t="shared" si="42"/>
        <v>0</v>
      </c>
      <c r="H92" s="64"/>
      <c r="I92" s="129">
        <f t="shared" si="43"/>
        <v>0</v>
      </c>
      <c r="J92" s="64"/>
      <c r="K92" s="102">
        <f t="shared" si="44"/>
        <v>0.001797330674</v>
      </c>
      <c r="L92" s="52"/>
    </row>
    <row r="93">
      <c r="A93" s="124" t="s">
        <v>108</v>
      </c>
      <c r="B93" s="5"/>
      <c r="C93" s="5"/>
      <c r="D93" s="5"/>
      <c r="E93" s="5"/>
      <c r="F93" s="6"/>
      <c r="G93" s="131">
        <f>E68/E75</f>
        <v>0.07925240363</v>
      </c>
      <c r="H93" s="49"/>
      <c r="I93" s="125">
        <f>G68/G75</f>
        <v>0.09633056919</v>
      </c>
      <c r="J93" s="6"/>
      <c r="K93" s="131">
        <f>I68/I75</f>
        <v>0.1164670277</v>
      </c>
      <c r="L93" s="59"/>
    </row>
    <row r="94">
      <c r="A94" s="97" t="s">
        <v>109</v>
      </c>
      <c r="B94" s="48"/>
      <c r="C94" s="48"/>
      <c r="D94" s="48"/>
      <c r="E94" s="48"/>
      <c r="F94" s="49"/>
      <c r="G94" s="58">
        <f t="shared" ref="G94:G99" si="45">E69/$E$75</f>
        <v>0.01642106209</v>
      </c>
      <c r="H94" s="49"/>
      <c r="I94" s="132">
        <f t="shared" ref="I94:I99" si="46">G69/$G$75</f>
        <v>0.02453122797</v>
      </c>
      <c r="J94" s="69"/>
      <c r="K94" s="58">
        <f t="shared" ref="K94:K99" si="47">I69/$I$75</f>
        <v>0.04896856411</v>
      </c>
      <c r="L94" s="59"/>
    </row>
    <row r="95">
      <c r="A95" s="97" t="s">
        <v>110</v>
      </c>
      <c r="B95" s="48"/>
      <c r="C95" s="48"/>
      <c r="D95" s="48"/>
      <c r="E95" s="48"/>
      <c r="F95" s="49"/>
      <c r="G95" s="58">
        <f t="shared" si="45"/>
        <v>0</v>
      </c>
      <c r="H95" s="49"/>
      <c r="I95" s="132">
        <f t="shared" si="46"/>
        <v>0</v>
      </c>
      <c r="J95" s="69"/>
      <c r="K95" s="58">
        <f t="shared" si="47"/>
        <v>0</v>
      </c>
      <c r="L95" s="59"/>
    </row>
    <row r="96">
      <c r="A96" s="97" t="s">
        <v>111</v>
      </c>
      <c r="B96" s="48"/>
      <c r="C96" s="48"/>
      <c r="D96" s="48"/>
      <c r="E96" s="48"/>
      <c r="F96" s="49"/>
      <c r="G96" s="58">
        <f t="shared" si="45"/>
        <v>0.00633480097</v>
      </c>
      <c r="H96" s="49"/>
      <c r="I96" s="132">
        <f t="shared" si="46"/>
        <v>0.008253976392</v>
      </c>
      <c r="J96" s="69"/>
      <c r="K96" s="58">
        <f t="shared" si="47"/>
        <v>0.006342837927</v>
      </c>
      <c r="L96" s="59"/>
    </row>
    <row r="97">
      <c r="A97" s="97" t="s">
        <v>112</v>
      </c>
      <c r="B97" s="48"/>
      <c r="C97" s="48"/>
      <c r="D97" s="48"/>
      <c r="E97" s="48"/>
      <c r="F97" s="49"/>
      <c r="G97" s="58">
        <f t="shared" si="45"/>
        <v>0.00643588822</v>
      </c>
      <c r="H97" s="49"/>
      <c r="I97" s="132">
        <f t="shared" si="46"/>
        <v>0.009561283211</v>
      </c>
      <c r="J97" s="69"/>
      <c r="K97" s="58">
        <f t="shared" si="47"/>
        <v>0.008082190192</v>
      </c>
      <c r="L97" s="59"/>
    </row>
    <row r="98">
      <c r="A98" s="97" t="s">
        <v>113</v>
      </c>
      <c r="B98" s="48"/>
      <c r="C98" s="48"/>
      <c r="D98" s="48"/>
      <c r="E98" s="48"/>
      <c r="F98" s="49"/>
      <c r="G98" s="58">
        <f t="shared" si="45"/>
        <v>0.0135906191</v>
      </c>
      <c r="H98" s="49"/>
      <c r="I98" s="132">
        <f t="shared" si="46"/>
        <v>0.01313715187</v>
      </c>
      <c r="J98" s="69"/>
      <c r="K98" s="58">
        <f t="shared" si="47"/>
        <v>0.01928361878</v>
      </c>
      <c r="L98" s="59"/>
      <c r="N98" s="133" t="s">
        <v>114</v>
      </c>
      <c r="O98" s="22"/>
      <c r="P98" s="22"/>
      <c r="Q98" s="22"/>
      <c r="R98" s="22"/>
      <c r="S98" s="22"/>
      <c r="T98" s="23"/>
    </row>
    <row r="99">
      <c r="A99" s="97" t="s">
        <v>115</v>
      </c>
      <c r="B99" s="48"/>
      <c r="C99" s="48"/>
      <c r="D99" s="48"/>
      <c r="E99" s="48"/>
      <c r="F99" s="49"/>
      <c r="G99" s="58">
        <f t="shared" si="45"/>
        <v>0.03647003325</v>
      </c>
      <c r="H99" s="49"/>
      <c r="I99" s="132">
        <f t="shared" si="46"/>
        <v>0.04084692975</v>
      </c>
      <c r="J99" s="69"/>
      <c r="K99" s="58">
        <f t="shared" si="47"/>
        <v>0.03378981667</v>
      </c>
      <c r="L99" s="59"/>
      <c r="N99" s="24"/>
      <c r="T99" s="25"/>
    </row>
    <row r="100">
      <c r="N100" s="26"/>
      <c r="O100" s="27"/>
      <c r="P100" s="27"/>
      <c r="Q100" s="27"/>
      <c r="R100" s="27"/>
      <c r="S100" s="27"/>
      <c r="T100" s="28"/>
    </row>
    <row r="101">
      <c r="A101" s="133" t="s">
        <v>116</v>
      </c>
      <c r="B101" s="22"/>
      <c r="C101" s="22"/>
      <c r="D101" s="22"/>
      <c r="E101" s="22"/>
      <c r="F101" s="23"/>
    </row>
    <row r="102">
      <c r="A102" s="26"/>
      <c r="B102" s="27"/>
      <c r="C102" s="27"/>
      <c r="D102" s="27"/>
      <c r="E102" s="27"/>
      <c r="F102" s="28"/>
    </row>
    <row r="105">
      <c r="A105" s="117" t="s">
        <v>56</v>
      </c>
      <c r="B105" s="27"/>
      <c r="C105" s="27"/>
      <c r="D105" s="27"/>
      <c r="E105" s="27"/>
      <c r="F105" s="28"/>
      <c r="G105" s="117">
        <v>2020.0</v>
      </c>
      <c r="H105" s="28"/>
      <c r="I105" s="118">
        <v>2021.0</v>
      </c>
      <c r="J105" s="28"/>
      <c r="K105" s="119">
        <v>2022.0</v>
      </c>
      <c r="L105" s="28"/>
    </row>
    <row r="106">
      <c r="A106" s="134" t="s">
        <v>117</v>
      </c>
      <c r="B106" s="27"/>
      <c r="C106" s="27"/>
      <c r="D106" s="27"/>
      <c r="E106" s="27"/>
      <c r="F106" s="28"/>
      <c r="G106" s="135">
        <f>E57/E6</f>
        <v>7.235744151</v>
      </c>
      <c r="H106" s="28"/>
      <c r="I106" s="135">
        <f>G57/G6</f>
        <v>3.327035708</v>
      </c>
      <c r="J106" s="28"/>
      <c r="K106" s="136">
        <f>I57/I6</f>
        <v>3.402280718</v>
      </c>
      <c r="L106" s="6"/>
    </row>
    <row r="107">
      <c r="A107" s="137" t="s">
        <v>118</v>
      </c>
      <c r="B107" s="5"/>
      <c r="C107" s="5"/>
      <c r="D107" s="5"/>
      <c r="E107" s="5"/>
      <c r="F107" s="6"/>
      <c r="G107" s="138">
        <f>(E57+E64)/E6</f>
        <v>7.292589627</v>
      </c>
      <c r="H107" s="6"/>
      <c r="I107" s="138">
        <f>(G57+G64)/G6</f>
        <v>3.330200265</v>
      </c>
      <c r="J107" s="6"/>
      <c r="K107" s="138">
        <f>(I57+I64)/I6</f>
        <v>3.434373028</v>
      </c>
      <c r="L107" s="6"/>
    </row>
    <row r="108">
      <c r="A108" s="128" t="s">
        <v>119</v>
      </c>
      <c r="B108" s="93"/>
      <c r="C108" s="93"/>
      <c r="D108" s="93"/>
      <c r="E108" s="93"/>
      <c r="F108" s="69"/>
      <c r="G108" s="121">
        <f>E68/E15</f>
        <v>0.09070458022</v>
      </c>
      <c r="H108" s="122"/>
      <c r="I108" s="121">
        <f>G68/G15</f>
        <v>0.1322052383</v>
      </c>
      <c r="J108" s="122"/>
      <c r="K108" s="121">
        <f>I68/I15</f>
        <v>0.1568076437</v>
      </c>
      <c r="L108" s="123"/>
    </row>
    <row r="111">
      <c r="A111" s="133" t="s">
        <v>120</v>
      </c>
      <c r="B111" s="22"/>
      <c r="C111" s="22"/>
      <c r="D111" s="22"/>
      <c r="E111" s="22"/>
      <c r="F111" s="22"/>
      <c r="G111" s="23"/>
    </row>
    <row r="112">
      <c r="A112" s="24"/>
      <c r="G112" s="25"/>
    </row>
    <row r="113">
      <c r="A113" s="26"/>
      <c r="B113" s="27"/>
      <c r="C113" s="27"/>
      <c r="D113" s="27"/>
      <c r="E113" s="27"/>
      <c r="F113" s="27"/>
      <c r="G113" s="28"/>
    </row>
    <row r="115">
      <c r="A115" s="105" t="s">
        <v>121</v>
      </c>
      <c r="B115" s="22"/>
      <c r="C115" s="22"/>
      <c r="D115" s="22"/>
      <c r="E115" s="22"/>
      <c r="F115" s="22"/>
      <c r="G115" s="23"/>
    </row>
    <row r="116">
      <c r="A116" s="24"/>
      <c r="G116" s="25"/>
    </row>
    <row r="117">
      <c r="A117" s="26"/>
      <c r="B117" s="27"/>
      <c r="C117" s="27"/>
      <c r="D117" s="27"/>
      <c r="E117" s="27"/>
      <c r="F117" s="27"/>
      <c r="G117" s="28"/>
    </row>
  </sheetData>
  <mergeCells count="588">
    <mergeCell ref="Q7:R7"/>
    <mergeCell ref="S7:T7"/>
    <mergeCell ref="U7:V7"/>
    <mergeCell ref="A7:D7"/>
    <mergeCell ref="E7:F7"/>
    <mergeCell ref="G7:H7"/>
    <mergeCell ref="I7:J7"/>
    <mergeCell ref="K7:L7"/>
    <mergeCell ref="M7:N7"/>
    <mergeCell ref="O7:P7"/>
    <mergeCell ref="Q8:R8"/>
    <mergeCell ref="S8:T8"/>
    <mergeCell ref="U8:V8"/>
    <mergeCell ref="A8:D8"/>
    <mergeCell ref="E8:F8"/>
    <mergeCell ref="G8:H8"/>
    <mergeCell ref="I8:J8"/>
    <mergeCell ref="K8:L8"/>
    <mergeCell ref="M8:N8"/>
    <mergeCell ref="O8:P8"/>
    <mergeCell ref="Q9:R9"/>
    <mergeCell ref="S9:T9"/>
    <mergeCell ref="U9:V9"/>
    <mergeCell ref="A9:D9"/>
    <mergeCell ref="E9:F9"/>
    <mergeCell ref="G9:H9"/>
    <mergeCell ref="I9:J9"/>
    <mergeCell ref="K9:L9"/>
    <mergeCell ref="M9:N9"/>
    <mergeCell ref="O9:P9"/>
    <mergeCell ref="Q10:R10"/>
    <mergeCell ref="S10:T10"/>
    <mergeCell ref="U10:V10"/>
    <mergeCell ref="A10:D10"/>
    <mergeCell ref="E10:F10"/>
    <mergeCell ref="G10:H10"/>
    <mergeCell ref="I10:J10"/>
    <mergeCell ref="K10:L10"/>
    <mergeCell ref="M10:N10"/>
    <mergeCell ref="O10:P10"/>
    <mergeCell ref="Q11:R11"/>
    <mergeCell ref="S11:T11"/>
    <mergeCell ref="U11:V11"/>
    <mergeCell ref="A11:D11"/>
    <mergeCell ref="E11:F11"/>
    <mergeCell ref="G11:H11"/>
    <mergeCell ref="I11:J11"/>
    <mergeCell ref="K11:L11"/>
    <mergeCell ref="M11:N11"/>
    <mergeCell ref="O11:P11"/>
    <mergeCell ref="Q12:R12"/>
    <mergeCell ref="S12:T12"/>
    <mergeCell ref="U12:V12"/>
    <mergeCell ref="A12:D12"/>
    <mergeCell ref="E12:F12"/>
    <mergeCell ref="G12:H12"/>
    <mergeCell ref="I12:J12"/>
    <mergeCell ref="K12:L12"/>
    <mergeCell ref="M12:N12"/>
    <mergeCell ref="O12:P12"/>
    <mergeCell ref="Q13:R13"/>
    <mergeCell ref="S13:T13"/>
    <mergeCell ref="U13:V13"/>
    <mergeCell ref="A13:D13"/>
    <mergeCell ref="E13:F13"/>
    <mergeCell ref="G13:H13"/>
    <mergeCell ref="I13:J13"/>
    <mergeCell ref="K13:L13"/>
    <mergeCell ref="M13:N13"/>
    <mergeCell ref="O13:P13"/>
    <mergeCell ref="Q14:R14"/>
    <mergeCell ref="S14:T14"/>
    <mergeCell ref="U14:V14"/>
    <mergeCell ref="A14:D14"/>
    <mergeCell ref="E14:F14"/>
    <mergeCell ref="G14:H14"/>
    <mergeCell ref="I14:J14"/>
    <mergeCell ref="K14:L14"/>
    <mergeCell ref="M14:N14"/>
    <mergeCell ref="O14:P14"/>
    <mergeCell ref="Q15:R15"/>
    <mergeCell ref="S15:T15"/>
    <mergeCell ref="U15:V15"/>
    <mergeCell ref="A15:D15"/>
    <mergeCell ref="E15:F15"/>
    <mergeCell ref="G15:H15"/>
    <mergeCell ref="I15:J15"/>
    <mergeCell ref="K15:L15"/>
    <mergeCell ref="M15:N15"/>
    <mergeCell ref="O15:P15"/>
    <mergeCell ref="Q16:R16"/>
    <mergeCell ref="S16:T16"/>
    <mergeCell ref="U16:V16"/>
    <mergeCell ref="A16:D16"/>
    <mergeCell ref="E16:F16"/>
    <mergeCell ref="G16:H16"/>
    <mergeCell ref="I16:J16"/>
    <mergeCell ref="K16:L16"/>
    <mergeCell ref="M16:N16"/>
    <mergeCell ref="O16:P16"/>
    <mergeCell ref="Q17:R17"/>
    <mergeCell ref="S17:T17"/>
    <mergeCell ref="U17:V17"/>
    <mergeCell ref="A17:D17"/>
    <mergeCell ref="E17:F17"/>
    <mergeCell ref="G17:H17"/>
    <mergeCell ref="I17:J17"/>
    <mergeCell ref="K17:L17"/>
    <mergeCell ref="M17:N17"/>
    <mergeCell ref="O17:P17"/>
    <mergeCell ref="Q18:R18"/>
    <mergeCell ref="S18:T18"/>
    <mergeCell ref="U18:V18"/>
    <mergeCell ref="A18:D18"/>
    <mergeCell ref="E18:F18"/>
    <mergeCell ref="G18:H18"/>
    <mergeCell ref="I18:J18"/>
    <mergeCell ref="K18:L18"/>
    <mergeCell ref="M18:N18"/>
    <mergeCell ref="O18:P18"/>
    <mergeCell ref="Q19:R19"/>
    <mergeCell ref="S19:T19"/>
    <mergeCell ref="U19:V19"/>
    <mergeCell ref="A19:D19"/>
    <mergeCell ref="E19:F19"/>
    <mergeCell ref="G19:H19"/>
    <mergeCell ref="I19:J19"/>
    <mergeCell ref="K19:L19"/>
    <mergeCell ref="M19:N19"/>
    <mergeCell ref="O19:P19"/>
    <mergeCell ref="Q20:R20"/>
    <mergeCell ref="S20:T20"/>
    <mergeCell ref="U20:V20"/>
    <mergeCell ref="A20:D20"/>
    <mergeCell ref="E20:F20"/>
    <mergeCell ref="G20:H20"/>
    <mergeCell ref="I20:J20"/>
    <mergeCell ref="K20:L20"/>
    <mergeCell ref="M20:N20"/>
    <mergeCell ref="O20:P20"/>
    <mergeCell ref="Q21:R21"/>
    <mergeCell ref="S21:T21"/>
    <mergeCell ref="U21:V21"/>
    <mergeCell ref="A21:D21"/>
    <mergeCell ref="E21:F21"/>
    <mergeCell ref="G21:H21"/>
    <mergeCell ref="I21:J21"/>
    <mergeCell ref="K21:L21"/>
    <mergeCell ref="M21:N21"/>
    <mergeCell ref="O21:P21"/>
    <mergeCell ref="Q22:R22"/>
    <mergeCell ref="S22:T22"/>
    <mergeCell ref="U22:V22"/>
    <mergeCell ref="A22:D22"/>
    <mergeCell ref="E22:F22"/>
    <mergeCell ref="G22:H22"/>
    <mergeCell ref="I22:J22"/>
    <mergeCell ref="K22:L22"/>
    <mergeCell ref="M22:N22"/>
    <mergeCell ref="O22:P22"/>
    <mergeCell ref="Q23:R23"/>
    <mergeCell ref="S23:T23"/>
    <mergeCell ref="U23:V23"/>
    <mergeCell ref="A23:D23"/>
    <mergeCell ref="E23:F23"/>
    <mergeCell ref="G23:H23"/>
    <mergeCell ref="I23:J23"/>
    <mergeCell ref="K23:L23"/>
    <mergeCell ref="M23:N23"/>
    <mergeCell ref="O23:P23"/>
    <mergeCell ref="Q24:R24"/>
    <mergeCell ref="S24:T24"/>
    <mergeCell ref="U24:V24"/>
    <mergeCell ref="A24:D24"/>
    <mergeCell ref="E24:F24"/>
    <mergeCell ref="G24:H24"/>
    <mergeCell ref="I24:J24"/>
    <mergeCell ref="K24:L24"/>
    <mergeCell ref="M24:N24"/>
    <mergeCell ref="O24:P24"/>
    <mergeCell ref="S4:V4"/>
    <mergeCell ref="Y4:AB4"/>
    <mergeCell ref="K5:L5"/>
    <mergeCell ref="M5:N5"/>
    <mergeCell ref="O5:P5"/>
    <mergeCell ref="Q5:R5"/>
    <mergeCell ref="S5:T5"/>
    <mergeCell ref="U5:V5"/>
    <mergeCell ref="B2:H2"/>
    <mergeCell ref="A4:D5"/>
    <mergeCell ref="E4:F5"/>
    <mergeCell ref="G4:H5"/>
    <mergeCell ref="I4:J5"/>
    <mergeCell ref="K4:N4"/>
    <mergeCell ref="O4:R4"/>
    <mergeCell ref="Q6:R6"/>
    <mergeCell ref="S6:T6"/>
    <mergeCell ref="U6:V6"/>
    <mergeCell ref="A6:D6"/>
    <mergeCell ref="E6:F6"/>
    <mergeCell ref="G6:H6"/>
    <mergeCell ref="I6:J6"/>
    <mergeCell ref="K6:L6"/>
    <mergeCell ref="M6:N6"/>
    <mergeCell ref="O6:P6"/>
    <mergeCell ref="A31:F31"/>
    <mergeCell ref="G31:H31"/>
    <mergeCell ref="I31:J31"/>
    <mergeCell ref="K31:L31"/>
    <mergeCell ref="A36:F36"/>
    <mergeCell ref="G36:H36"/>
    <mergeCell ref="I36:J36"/>
    <mergeCell ref="K36:L36"/>
    <mergeCell ref="G37:H37"/>
    <mergeCell ref="I37:J37"/>
    <mergeCell ref="K37:L37"/>
    <mergeCell ref="A37:F37"/>
    <mergeCell ref="A38:F38"/>
    <mergeCell ref="G38:H38"/>
    <mergeCell ref="I38:J38"/>
    <mergeCell ref="K38:L38"/>
    <mergeCell ref="A39:F39"/>
    <mergeCell ref="G39:H39"/>
    <mergeCell ref="G45:H45"/>
    <mergeCell ref="I45:J45"/>
    <mergeCell ref="N46:T49"/>
    <mergeCell ref="G47:H47"/>
    <mergeCell ref="I47:J47"/>
    <mergeCell ref="K47:L47"/>
    <mergeCell ref="I43:J43"/>
    <mergeCell ref="K43:L43"/>
    <mergeCell ref="A44:F44"/>
    <mergeCell ref="G44:H44"/>
    <mergeCell ref="I44:J44"/>
    <mergeCell ref="K44:L44"/>
    <mergeCell ref="K45:L45"/>
    <mergeCell ref="A47:F47"/>
    <mergeCell ref="A40:F40"/>
    <mergeCell ref="G40:H40"/>
    <mergeCell ref="I40:J40"/>
    <mergeCell ref="K40:L40"/>
    <mergeCell ref="G41:H41"/>
    <mergeCell ref="I41:J41"/>
    <mergeCell ref="K41:L41"/>
    <mergeCell ref="A41:F41"/>
    <mergeCell ref="A42:F42"/>
    <mergeCell ref="G42:H42"/>
    <mergeCell ref="I42:J42"/>
    <mergeCell ref="K42:L42"/>
    <mergeCell ref="A43:F43"/>
    <mergeCell ref="G43:H43"/>
    <mergeCell ref="S56:T56"/>
    <mergeCell ref="U56:V56"/>
    <mergeCell ref="S57:T57"/>
    <mergeCell ref="U57:V57"/>
    <mergeCell ref="S58:T58"/>
    <mergeCell ref="U58:V58"/>
    <mergeCell ref="E55:F56"/>
    <mergeCell ref="G55:H56"/>
    <mergeCell ref="K55:N55"/>
    <mergeCell ref="O55:R55"/>
    <mergeCell ref="S55:V55"/>
    <mergeCell ref="K56:L56"/>
    <mergeCell ref="M56:N56"/>
    <mergeCell ref="O56:P56"/>
    <mergeCell ref="Q56:R56"/>
    <mergeCell ref="M57:N57"/>
    <mergeCell ref="O57:P57"/>
    <mergeCell ref="Q57:R57"/>
    <mergeCell ref="O58:P58"/>
    <mergeCell ref="Q58:R58"/>
    <mergeCell ref="O60:P60"/>
    <mergeCell ref="Q60:R60"/>
    <mergeCell ref="S60:T60"/>
    <mergeCell ref="U60:V60"/>
    <mergeCell ref="M58:N58"/>
    <mergeCell ref="M59:N59"/>
    <mergeCell ref="O59:P59"/>
    <mergeCell ref="Q59:R59"/>
    <mergeCell ref="S59:T59"/>
    <mergeCell ref="U59:V59"/>
    <mergeCell ref="M60:N60"/>
    <mergeCell ref="A45:F45"/>
    <mergeCell ref="A46:F46"/>
    <mergeCell ref="G46:H46"/>
    <mergeCell ref="I46:J46"/>
    <mergeCell ref="K46:L46"/>
    <mergeCell ref="B53:H53"/>
    <mergeCell ref="I55:J56"/>
    <mergeCell ref="I58:J58"/>
    <mergeCell ref="K58:L58"/>
    <mergeCell ref="A55:D56"/>
    <mergeCell ref="A57:D57"/>
    <mergeCell ref="E57:F57"/>
    <mergeCell ref="G57:H57"/>
    <mergeCell ref="I57:J57"/>
    <mergeCell ref="K57:L57"/>
    <mergeCell ref="A58:D58"/>
    <mergeCell ref="I30:J30"/>
    <mergeCell ref="K30:L30"/>
    <mergeCell ref="B27:H27"/>
    <mergeCell ref="A29:F29"/>
    <mergeCell ref="G29:H29"/>
    <mergeCell ref="I29:J29"/>
    <mergeCell ref="K29:L29"/>
    <mergeCell ref="A30:F30"/>
    <mergeCell ref="G30:H30"/>
    <mergeCell ref="A32:F32"/>
    <mergeCell ref="G32:H32"/>
    <mergeCell ref="I32:J32"/>
    <mergeCell ref="K32:L32"/>
    <mergeCell ref="G33:H33"/>
    <mergeCell ref="I33:J33"/>
    <mergeCell ref="K33:L33"/>
    <mergeCell ref="I35:J35"/>
    <mergeCell ref="K35:L35"/>
    <mergeCell ref="A33:F33"/>
    <mergeCell ref="A34:F34"/>
    <mergeCell ref="G34:H34"/>
    <mergeCell ref="I34:J34"/>
    <mergeCell ref="K34:L34"/>
    <mergeCell ref="A35:F35"/>
    <mergeCell ref="G35:H35"/>
    <mergeCell ref="I39:J39"/>
    <mergeCell ref="K39:L39"/>
    <mergeCell ref="E58:F58"/>
    <mergeCell ref="G58:H58"/>
    <mergeCell ref="A59:D59"/>
    <mergeCell ref="E59:F59"/>
    <mergeCell ref="G59:H59"/>
    <mergeCell ref="I59:J59"/>
    <mergeCell ref="K59:L59"/>
    <mergeCell ref="G61:H61"/>
    <mergeCell ref="I61:J61"/>
    <mergeCell ref="K61:L61"/>
    <mergeCell ref="M61:N61"/>
    <mergeCell ref="O61:P61"/>
    <mergeCell ref="Q61:R61"/>
    <mergeCell ref="S61:T61"/>
    <mergeCell ref="U61:V61"/>
    <mergeCell ref="A60:D60"/>
    <mergeCell ref="E60:F60"/>
    <mergeCell ref="G60:H60"/>
    <mergeCell ref="I60:J60"/>
    <mergeCell ref="K60:L60"/>
    <mergeCell ref="A61:D61"/>
    <mergeCell ref="E61:F61"/>
    <mergeCell ref="Q62:R62"/>
    <mergeCell ref="S62:T62"/>
    <mergeCell ref="U62:V62"/>
    <mergeCell ref="A62:D62"/>
    <mergeCell ref="E62:F62"/>
    <mergeCell ref="G62:H62"/>
    <mergeCell ref="I62:J62"/>
    <mergeCell ref="K62:L62"/>
    <mergeCell ref="M62:N62"/>
    <mergeCell ref="O62:P62"/>
    <mergeCell ref="Q63:R63"/>
    <mergeCell ref="S63:T63"/>
    <mergeCell ref="U63:V63"/>
    <mergeCell ref="A63:D63"/>
    <mergeCell ref="E63:F63"/>
    <mergeCell ref="G63:H63"/>
    <mergeCell ref="I63:J63"/>
    <mergeCell ref="K63:L63"/>
    <mergeCell ref="M63:N63"/>
    <mergeCell ref="O63:P63"/>
    <mergeCell ref="Q67:R67"/>
    <mergeCell ref="S67:T67"/>
    <mergeCell ref="U67:V67"/>
    <mergeCell ref="A67:D67"/>
    <mergeCell ref="E67:F67"/>
    <mergeCell ref="G67:H67"/>
    <mergeCell ref="I67:J67"/>
    <mergeCell ref="K67:L67"/>
    <mergeCell ref="M67:N67"/>
    <mergeCell ref="O67:P67"/>
    <mergeCell ref="Q68:R68"/>
    <mergeCell ref="S68:T68"/>
    <mergeCell ref="U68:V68"/>
    <mergeCell ref="A68:D68"/>
    <mergeCell ref="E68:F68"/>
    <mergeCell ref="G68:H68"/>
    <mergeCell ref="I68:J68"/>
    <mergeCell ref="K68:L68"/>
    <mergeCell ref="M68:N68"/>
    <mergeCell ref="O68:P68"/>
    <mergeCell ref="I81:J81"/>
    <mergeCell ref="K81:L81"/>
    <mergeCell ref="B78:H78"/>
    <mergeCell ref="A80:F80"/>
    <mergeCell ref="G80:H80"/>
    <mergeCell ref="I80:J80"/>
    <mergeCell ref="K80:L80"/>
    <mergeCell ref="A81:F81"/>
    <mergeCell ref="G81:H81"/>
    <mergeCell ref="Q64:R64"/>
    <mergeCell ref="S64:T64"/>
    <mergeCell ref="U64:V64"/>
    <mergeCell ref="A64:D64"/>
    <mergeCell ref="E64:F64"/>
    <mergeCell ref="G64:H64"/>
    <mergeCell ref="I64:J64"/>
    <mergeCell ref="K64:L64"/>
    <mergeCell ref="M64:N64"/>
    <mergeCell ref="O64:P64"/>
    <mergeCell ref="Q65:R65"/>
    <mergeCell ref="S65:T65"/>
    <mergeCell ref="U65:V65"/>
    <mergeCell ref="A65:D65"/>
    <mergeCell ref="E65:F65"/>
    <mergeCell ref="G65:H65"/>
    <mergeCell ref="I65:J65"/>
    <mergeCell ref="K65:L65"/>
    <mergeCell ref="M65:N65"/>
    <mergeCell ref="O65:P65"/>
    <mergeCell ref="Q66:R66"/>
    <mergeCell ref="S66:T66"/>
    <mergeCell ref="U66:V66"/>
    <mergeCell ref="A66:D66"/>
    <mergeCell ref="E66:F66"/>
    <mergeCell ref="G66:H66"/>
    <mergeCell ref="I66:J66"/>
    <mergeCell ref="K66:L66"/>
    <mergeCell ref="M66:N66"/>
    <mergeCell ref="O66:P66"/>
    <mergeCell ref="I85:J85"/>
    <mergeCell ref="K85:L85"/>
    <mergeCell ref="A90:F90"/>
    <mergeCell ref="G90:H90"/>
    <mergeCell ref="I90:J90"/>
    <mergeCell ref="K90:L90"/>
    <mergeCell ref="G91:H91"/>
    <mergeCell ref="I91:J91"/>
    <mergeCell ref="K91:L91"/>
    <mergeCell ref="A91:F91"/>
    <mergeCell ref="A92:F92"/>
    <mergeCell ref="G92:H92"/>
    <mergeCell ref="I92:J92"/>
    <mergeCell ref="K92:L92"/>
    <mergeCell ref="A93:F93"/>
    <mergeCell ref="G93:H93"/>
    <mergeCell ref="A94:F94"/>
    <mergeCell ref="G94:H94"/>
    <mergeCell ref="I94:J94"/>
    <mergeCell ref="K94:L94"/>
    <mergeCell ref="G95:H95"/>
    <mergeCell ref="I95:J95"/>
    <mergeCell ref="K95:L95"/>
    <mergeCell ref="G99:H99"/>
    <mergeCell ref="I99:J99"/>
    <mergeCell ref="A95:F95"/>
    <mergeCell ref="A96:F96"/>
    <mergeCell ref="G96:H96"/>
    <mergeCell ref="I96:J96"/>
    <mergeCell ref="K96:L96"/>
    <mergeCell ref="G97:H97"/>
    <mergeCell ref="N98:T100"/>
    <mergeCell ref="K99:L99"/>
    <mergeCell ref="A97:F97"/>
    <mergeCell ref="A99:F99"/>
    <mergeCell ref="A101:F102"/>
    <mergeCell ref="A105:F105"/>
    <mergeCell ref="G105:H105"/>
    <mergeCell ref="I105:J105"/>
    <mergeCell ref="K105:L105"/>
    <mergeCell ref="A107:F107"/>
    <mergeCell ref="A108:F108"/>
    <mergeCell ref="G108:H108"/>
    <mergeCell ref="I108:J108"/>
    <mergeCell ref="K108:L108"/>
    <mergeCell ref="A111:G113"/>
    <mergeCell ref="A115:G117"/>
    <mergeCell ref="A106:F106"/>
    <mergeCell ref="G106:H106"/>
    <mergeCell ref="I106:J106"/>
    <mergeCell ref="K106:L106"/>
    <mergeCell ref="G107:H107"/>
    <mergeCell ref="I107:J107"/>
    <mergeCell ref="K107:L107"/>
    <mergeCell ref="A82:F82"/>
    <mergeCell ref="G82:H82"/>
    <mergeCell ref="I82:J82"/>
    <mergeCell ref="K82:L82"/>
    <mergeCell ref="G83:H83"/>
    <mergeCell ref="I83:J83"/>
    <mergeCell ref="K83:L83"/>
    <mergeCell ref="A83:F83"/>
    <mergeCell ref="A84:F84"/>
    <mergeCell ref="G84:H84"/>
    <mergeCell ref="I84:J84"/>
    <mergeCell ref="K84:L84"/>
    <mergeCell ref="A85:F85"/>
    <mergeCell ref="G85:H85"/>
    <mergeCell ref="A86:F86"/>
    <mergeCell ref="G86:H86"/>
    <mergeCell ref="I86:J86"/>
    <mergeCell ref="K86:L86"/>
    <mergeCell ref="G87:H87"/>
    <mergeCell ref="I87:J87"/>
    <mergeCell ref="K87:L87"/>
    <mergeCell ref="I89:J89"/>
    <mergeCell ref="K89:L89"/>
    <mergeCell ref="A87:F87"/>
    <mergeCell ref="A88:F88"/>
    <mergeCell ref="G88:H88"/>
    <mergeCell ref="I88:J88"/>
    <mergeCell ref="K88:L88"/>
    <mergeCell ref="A89:F89"/>
    <mergeCell ref="G89:H89"/>
    <mergeCell ref="I93:J93"/>
    <mergeCell ref="K93:L93"/>
    <mergeCell ref="I97:J97"/>
    <mergeCell ref="K97:L97"/>
    <mergeCell ref="A98:F98"/>
    <mergeCell ref="G98:H98"/>
    <mergeCell ref="I98:J98"/>
    <mergeCell ref="K98:L98"/>
    <mergeCell ref="Q69:R69"/>
    <mergeCell ref="S69:T69"/>
    <mergeCell ref="U69:V69"/>
    <mergeCell ref="A69:D69"/>
    <mergeCell ref="E69:F69"/>
    <mergeCell ref="G69:H69"/>
    <mergeCell ref="I69:J69"/>
    <mergeCell ref="K69:L69"/>
    <mergeCell ref="M69:N69"/>
    <mergeCell ref="O69:P69"/>
    <mergeCell ref="Q70:R70"/>
    <mergeCell ref="S70:T70"/>
    <mergeCell ref="U70:V70"/>
    <mergeCell ref="A70:D70"/>
    <mergeCell ref="E70:F70"/>
    <mergeCell ref="G70:H70"/>
    <mergeCell ref="I70:J70"/>
    <mergeCell ref="K70:L70"/>
    <mergeCell ref="M70:N70"/>
    <mergeCell ref="O70:P70"/>
    <mergeCell ref="Q71:R71"/>
    <mergeCell ref="S71:T71"/>
    <mergeCell ref="U71:V71"/>
    <mergeCell ref="A71:D71"/>
    <mergeCell ref="E71:F71"/>
    <mergeCell ref="G71:H71"/>
    <mergeCell ref="I71:J71"/>
    <mergeCell ref="K71:L71"/>
    <mergeCell ref="M71:N71"/>
    <mergeCell ref="O71:P71"/>
    <mergeCell ref="Q72:R72"/>
    <mergeCell ref="S72:T72"/>
    <mergeCell ref="U72:V72"/>
    <mergeCell ref="A72:D72"/>
    <mergeCell ref="E72:F72"/>
    <mergeCell ref="G72:H72"/>
    <mergeCell ref="I72:J72"/>
    <mergeCell ref="K72:L72"/>
    <mergeCell ref="M72:N72"/>
    <mergeCell ref="O72:P72"/>
    <mergeCell ref="Q73:R73"/>
    <mergeCell ref="S73:T73"/>
    <mergeCell ref="U73:V73"/>
    <mergeCell ref="A73:D73"/>
    <mergeCell ref="E73:F73"/>
    <mergeCell ref="G73:H73"/>
    <mergeCell ref="I73:J73"/>
    <mergeCell ref="K73:L73"/>
    <mergeCell ref="M73:N73"/>
    <mergeCell ref="O73:P73"/>
    <mergeCell ref="Q74:R74"/>
    <mergeCell ref="S74:T74"/>
    <mergeCell ref="U74:V74"/>
    <mergeCell ref="A74:D74"/>
    <mergeCell ref="E74:F74"/>
    <mergeCell ref="G74:H74"/>
    <mergeCell ref="I74:J74"/>
    <mergeCell ref="K74:L74"/>
    <mergeCell ref="M74:N74"/>
    <mergeCell ref="O74:P74"/>
    <mergeCell ref="Q75:R75"/>
    <mergeCell ref="S75:T75"/>
    <mergeCell ref="U75:V75"/>
    <mergeCell ref="A75:D75"/>
    <mergeCell ref="E75:F75"/>
    <mergeCell ref="G75:H75"/>
    <mergeCell ref="I75:J75"/>
    <mergeCell ref="K75:L75"/>
    <mergeCell ref="M75:N75"/>
    <mergeCell ref="O75:P7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s>
  <sheetData>
    <row r="1">
      <c r="A1" s="139"/>
      <c r="B1" s="140"/>
      <c r="C1" s="140"/>
      <c r="D1" s="140"/>
      <c r="E1" s="140"/>
      <c r="F1" s="140"/>
      <c r="G1" s="140"/>
      <c r="H1" s="140"/>
      <c r="I1" s="139"/>
      <c r="J1" s="139"/>
      <c r="K1" s="139"/>
      <c r="L1" s="141"/>
      <c r="M1" s="141"/>
      <c r="N1" s="141"/>
      <c r="O1" s="141"/>
      <c r="P1" s="141"/>
      <c r="Q1" s="141"/>
      <c r="R1" s="141"/>
      <c r="S1" s="141"/>
      <c r="T1" s="141"/>
      <c r="U1" s="141"/>
      <c r="V1" s="141"/>
      <c r="W1" s="141"/>
      <c r="X1" s="142"/>
      <c r="Y1" s="142"/>
      <c r="Z1" s="142"/>
      <c r="AA1" s="142"/>
      <c r="AB1" s="142"/>
      <c r="AC1" s="142"/>
    </row>
    <row r="2">
      <c r="A2" s="139"/>
      <c r="B2" s="31" t="s">
        <v>122</v>
      </c>
      <c r="C2" s="32"/>
      <c r="D2" s="32"/>
      <c r="E2" s="32"/>
      <c r="F2" s="32"/>
      <c r="G2" s="32"/>
      <c r="H2" s="33"/>
      <c r="I2" s="139"/>
      <c r="J2" s="139"/>
      <c r="K2" s="139"/>
      <c r="L2" s="141"/>
      <c r="M2" s="141"/>
      <c r="N2" s="141"/>
      <c r="O2" s="141"/>
      <c r="P2" s="141"/>
      <c r="Q2" s="141"/>
      <c r="R2" s="141"/>
      <c r="S2" s="141"/>
      <c r="T2" s="141"/>
      <c r="U2" s="141"/>
      <c r="V2" s="141"/>
      <c r="W2" s="141"/>
      <c r="X2" s="142"/>
      <c r="Y2" s="142"/>
      <c r="Z2" s="142"/>
      <c r="AA2" s="142"/>
      <c r="AB2" s="142"/>
      <c r="AC2" s="142"/>
    </row>
    <row r="3">
      <c r="A3" s="143"/>
      <c r="B3" s="30"/>
      <c r="C3" s="30"/>
      <c r="D3" s="30"/>
      <c r="E3" s="30"/>
      <c r="F3" s="30"/>
      <c r="G3" s="30"/>
      <c r="H3" s="30"/>
      <c r="I3" s="143"/>
      <c r="J3" s="143"/>
      <c r="K3" s="143"/>
      <c r="L3" s="144"/>
      <c r="M3" s="144"/>
      <c r="N3" s="144"/>
      <c r="O3" s="144"/>
      <c r="P3" s="144"/>
      <c r="Q3" s="144"/>
      <c r="R3" s="144"/>
      <c r="S3" s="144"/>
      <c r="T3" s="144"/>
      <c r="U3" s="144"/>
      <c r="V3" s="144"/>
      <c r="W3" s="144"/>
      <c r="X3" s="142"/>
      <c r="Y3" s="142"/>
      <c r="Z3" s="142"/>
      <c r="AA3" s="142"/>
      <c r="AB3" s="142"/>
      <c r="AC3" s="142"/>
    </row>
    <row r="4">
      <c r="A4" s="145" t="s">
        <v>24</v>
      </c>
      <c r="B4" s="22"/>
      <c r="C4" s="22"/>
      <c r="D4" s="22"/>
      <c r="E4" s="22"/>
      <c r="F4" s="146">
        <v>2020.0</v>
      </c>
      <c r="G4" s="23"/>
      <c r="H4" s="146">
        <v>2021.0</v>
      </c>
      <c r="I4" s="23"/>
      <c r="J4" s="146">
        <v>2022.0</v>
      </c>
      <c r="K4" s="23"/>
      <c r="L4" s="147" t="s">
        <v>123</v>
      </c>
      <c r="M4" s="5"/>
      <c r="N4" s="5"/>
      <c r="O4" s="6"/>
      <c r="P4" s="147" t="s">
        <v>26</v>
      </c>
      <c r="Q4" s="5"/>
      <c r="R4" s="5"/>
      <c r="S4" s="6"/>
      <c r="T4" s="148"/>
      <c r="U4" s="144"/>
      <c r="V4" s="144"/>
      <c r="W4" s="144"/>
    </row>
    <row r="5">
      <c r="A5" s="27"/>
      <c r="B5" s="27"/>
      <c r="C5" s="27"/>
      <c r="D5" s="27"/>
      <c r="E5" s="27"/>
      <c r="F5" s="26"/>
      <c r="G5" s="28"/>
      <c r="H5" s="26"/>
      <c r="I5" s="28"/>
      <c r="J5" s="26"/>
      <c r="K5" s="28"/>
      <c r="L5" s="149" t="s">
        <v>29</v>
      </c>
      <c r="M5" s="6"/>
      <c r="N5" s="149" t="s">
        <v>30</v>
      </c>
      <c r="O5" s="6"/>
      <c r="P5" s="149" t="s">
        <v>29</v>
      </c>
      <c r="Q5" s="6"/>
      <c r="R5" s="149" t="s">
        <v>30</v>
      </c>
      <c r="S5" s="6"/>
      <c r="T5" s="148"/>
      <c r="U5" s="144"/>
      <c r="V5" s="144"/>
      <c r="W5" s="144"/>
    </row>
    <row r="6">
      <c r="A6" s="150"/>
      <c r="B6" s="151" t="s">
        <v>124</v>
      </c>
      <c r="C6" s="5"/>
      <c r="D6" s="5"/>
      <c r="E6" s="6"/>
      <c r="F6" s="152"/>
      <c r="G6" s="6"/>
      <c r="H6" s="152"/>
      <c r="I6" s="6"/>
      <c r="J6" s="152"/>
      <c r="K6" s="6"/>
      <c r="L6" s="153"/>
      <c r="M6" s="6"/>
      <c r="N6" s="153"/>
      <c r="O6" s="6"/>
      <c r="P6" s="153"/>
      <c r="Q6" s="6"/>
      <c r="R6" s="153"/>
      <c r="S6" s="6"/>
      <c r="T6" s="148"/>
      <c r="U6" s="144"/>
      <c r="V6" s="144"/>
      <c r="W6" s="144"/>
    </row>
    <row r="7">
      <c r="A7" s="154" t="s">
        <v>125</v>
      </c>
      <c r="B7" s="155" t="s">
        <v>126</v>
      </c>
      <c r="C7" s="5"/>
      <c r="D7" s="5"/>
      <c r="E7" s="6"/>
      <c r="F7" s="156">
        <v>12539.0</v>
      </c>
      <c r="G7" s="6"/>
      <c r="H7" s="156">
        <v>23076.0</v>
      </c>
      <c r="I7" s="6"/>
      <c r="J7" s="156">
        <v>24161.0</v>
      </c>
      <c r="K7" s="6"/>
      <c r="L7" s="157">
        <f t="shared" ref="L7:L24" si="1">F7-H7</f>
        <v>-10537</v>
      </c>
      <c r="M7" s="6"/>
      <c r="N7" s="157">
        <f t="shared" ref="N7:N24" si="2">H7-J7</f>
        <v>-1085</v>
      </c>
      <c r="O7" s="6"/>
      <c r="P7" s="158">
        <f t="shared" ref="P7:P10" si="3">L7/ABS(H7)</f>
        <v>-0.4566215982</v>
      </c>
      <c r="Q7" s="6"/>
      <c r="R7" s="158">
        <f t="shared" ref="R7:R24" si="4">N7/ABS(J7)</f>
        <v>-0.04490708166</v>
      </c>
      <c r="S7" s="6"/>
      <c r="T7" s="148"/>
      <c r="U7" s="144"/>
      <c r="V7" s="144"/>
      <c r="W7" s="144"/>
    </row>
    <row r="8">
      <c r="A8" s="154" t="s">
        <v>127</v>
      </c>
      <c r="B8" s="155" t="s">
        <v>128</v>
      </c>
      <c r="C8" s="5"/>
      <c r="D8" s="5"/>
      <c r="E8" s="6"/>
      <c r="F8" s="156">
        <v>12050.0</v>
      </c>
      <c r="G8" s="6"/>
      <c r="H8" s="156">
        <v>19658.0</v>
      </c>
      <c r="I8" s="6"/>
      <c r="J8" s="156">
        <v>62591.0</v>
      </c>
      <c r="K8" s="6"/>
      <c r="L8" s="157">
        <f t="shared" si="1"/>
        <v>-7608</v>
      </c>
      <c r="M8" s="6"/>
      <c r="N8" s="157">
        <f t="shared" si="2"/>
        <v>-42933</v>
      </c>
      <c r="O8" s="6"/>
      <c r="P8" s="158">
        <f t="shared" si="3"/>
        <v>-0.3870180079</v>
      </c>
      <c r="Q8" s="6"/>
      <c r="R8" s="158">
        <f t="shared" si="4"/>
        <v>-0.685929287</v>
      </c>
      <c r="S8" s="6"/>
      <c r="T8" s="148"/>
      <c r="U8" s="144"/>
      <c r="V8" s="144"/>
      <c r="W8" s="144"/>
    </row>
    <row r="9">
      <c r="A9" s="159"/>
      <c r="B9" s="160" t="s">
        <v>129</v>
      </c>
      <c r="C9" s="5"/>
      <c r="D9" s="5"/>
      <c r="E9" s="6"/>
      <c r="F9" s="161">
        <v>121.0</v>
      </c>
      <c r="G9" s="6"/>
      <c r="H9" s="162">
        <v>182.0</v>
      </c>
      <c r="I9" s="6"/>
      <c r="J9" s="162">
        <v>605.0</v>
      </c>
      <c r="K9" s="6"/>
      <c r="L9" s="163">
        <f t="shared" si="1"/>
        <v>-61</v>
      </c>
      <c r="M9" s="6"/>
      <c r="N9" s="163">
        <f t="shared" si="2"/>
        <v>-423</v>
      </c>
      <c r="O9" s="6"/>
      <c r="P9" s="164">
        <f t="shared" si="3"/>
        <v>-0.3351648352</v>
      </c>
      <c r="Q9" s="6"/>
      <c r="R9" s="164">
        <f t="shared" si="4"/>
        <v>-0.6991735537</v>
      </c>
      <c r="S9" s="6"/>
      <c r="T9" s="148"/>
      <c r="U9" s="144"/>
      <c r="V9" s="144"/>
      <c r="W9" s="144"/>
    </row>
    <row r="10">
      <c r="A10" s="159"/>
      <c r="B10" s="160" t="s">
        <v>130</v>
      </c>
      <c r="C10" s="5"/>
      <c r="D10" s="5"/>
      <c r="E10" s="6"/>
      <c r="F10" s="162">
        <v>3260.0</v>
      </c>
      <c r="G10" s="6"/>
      <c r="H10" s="162">
        <v>5088.0</v>
      </c>
      <c r="I10" s="6"/>
      <c r="J10" s="162">
        <v>5656.0</v>
      </c>
      <c r="K10" s="6"/>
      <c r="L10" s="163">
        <f t="shared" si="1"/>
        <v>-1828</v>
      </c>
      <c r="M10" s="6"/>
      <c r="N10" s="163">
        <f t="shared" si="2"/>
        <v>-568</v>
      </c>
      <c r="O10" s="6"/>
      <c r="P10" s="164">
        <f t="shared" si="3"/>
        <v>-0.3592767296</v>
      </c>
      <c r="Q10" s="6"/>
      <c r="R10" s="164">
        <f t="shared" si="4"/>
        <v>-0.1004243281</v>
      </c>
      <c r="S10" s="6"/>
      <c r="T10" s="148"/>
      <c r="U10" s="144"/>
      <c r="V10" s="144"/>
      <c r="W10" s="144"/>
    </row>
    <row r="11">
      <c r="A11" s="159"/>
      <c r="B11" s="160" t="s">
        <v>131</v>
      </c>
      <c r="C11" s="5"/>
      <c r="D11" s="5"/>
      <c r="E11" s="6"/>
      <c r="F11" s="162">
        <v>0.0</v>
      </c>
      <c r="G11" s="6"/>
      <c r="H11" s="162">
        <v>0.0</v>
      </c>
      <c r="I11" s="6"/>
      <c r="J11" s="162">
        <v>29037.0</v>
      </c>
      <c r="K11" s="6"/>
      <c r="L11" s="163">
        <f t="shared" si="1"/>
        <v>0</v>
      </c>
      <c r="M11" s="6"/>
      <c r="N11" s="163">
        <f t="shared" si="2"/>
        <v>-29037</v>
      </c>
      <c r="O11" s="6"/>
      <c r="P11" s="165" t="s">
        <v>39</v>
      </c>
      <c r="Q11" s="6"/>
      <c r="R11" s="164">
        <f t="shared" si="4"/>
        <v>-1</v>
      </c>
      <c r="S11" s="6"/>
      <c r="T11" s="148"/>
      <c r="U11" s="144"/>
      <c r="V11" s="144"/>
      <c r="W11" s="144"/>
    </row>
    <row r="12">
      <c r="A12" s="150"/>
      <c r="B12" s="160" t="s">
        <v>132</v>
      </c>
      <c r="C12" s="5"/>
      <c r="D12" s="5"/>
      <c r="E12" s="6"/>
      <c r="F12" s="166">
        <v>1252.0</v>
      </c>
      <c r="G12" s="6"/>
      <c r="H12" s="166">
        <v>2562.0</v>
      </c>
      <c r="I12" s="6"/>
      <c r="J12" s="166">
        <v>3058.0</v>
      </c>
      <c r="K12" s="6"/>
      <c r="L12" s="163">
        <f t="shared" si="1"/>
        <v>-1310</v>
      </c>
      <c r="M12" s="6"/>
      <c r="N12" s="163">
        <f t="shared" si="2"/>
        <v>-496</v>
      </c>
      <c r="O12" s="6"/>
      <c r="P12" s="164">
        <f t="shared" ref="P12:P24" si="5">L12/ABS(H12)</f>
        <v>-0.5113192818</v>
      </c>
      <c r="Q12" s="6"/>
      <c r="R12" s="164">
        <f t="shared" si="4"/>
        <v>-0.1621975147</v>
      </c>
      <c r="S12" s="6"/>
      <c r="T12" s="148"/>
      <c r="U12" s="144"/>
      <c r="V12" s="144"/>
      <c r="W12" s="144"/>
    </row>
    <row r="13">
      <c r="A13" s="159"/>
      <c r="B13" s="160" t="s">
        <v>133</v>
      </c>
      <c r="C13" s="5"/>
      <c r="D13" s="5"/>
      <c r="E13" s="6"/>
      <c r="F13" s="162">
        <v>7039.0</v>
      </c>
      <c r="G13" s="6"/>
      <c r="H13" s="162">
        <v>11499.0</v>
      </c>
      <c r="I13" s="6"/>
      <c r="J13" s="162">
        <v>23396.0</v>
      </c>
      <c r="K13" s="6"/>
      <c r="L13" s="163">
        <f t="shared" si="1"/>
        <v>-4460</v>
      </c>
      <c r="M13" s="6"/>
      <c r="N13" s="163">
        <f t="shared" si="2"/>
        <v>-11897</v>
      </c>
      <c r="O13" s="6"/>
      <c r="P13" s="164">
        <f t="shared" si="5"/>
        <v>-0.3878598139</v>
      </c>
      <c r="Q13" s="6"/>
      <c r="R13" s="164">
        <f t="shared" si="4"/>
        <v>-0.5085057275</v>
      </c>
      <c r="S13" s="6"/>
      <c r="T13" s="148"/>
      <c r="U13" s="144"/>
      <c r="V13" s="144"/>
      <c r="W13" s="144"/>
    </row>
    <row r="14">
      <c r="A14" s="159"/>
      <c r="B14" s="160" t="s">
        <v>134</v>
      </c>
      <c r="C14" s="5"/>
      <c r="D14" s="5"/>
      <c r="E14" s="6"/>
      <c r="F14" s="162">
        <v>378.0</v>
      </c>
      <c r="G14" s="6"/>
      <c r="H14" s="162">
        <v>327.0</v>
      </c>
      <c r="I14" s="6"/>
      <c r="J14" s="162">
        <v>838.0</v>
      </c>
      <c r="K14" s="6"/>
      <c r="L14" s="163">
        <f t="shared" si="1"/>
        <v>51</v>
      </c>
      <c r="M14" s="6"/>
      <c r="N14" s="163">
        <f t="shared" si="2"/>
        <v>-511</v>
      </c>
      <c r="O14" s="6"/>
      <c r="P14" s="164">
        <f t="shared" si="5"/>
        <v>0.1559633028</v>
      </c>
      <c r="Q14" s="6"/>
      <c r="R14" s="164">
        <f t="shared" si="4"/>
        <v>-0.6097852029</v>
      </c>
      <c r="S14" s="6"/>
      <c r="T14" s="148"/>
      <c r="U14" s="144"/>
      <c r="V14" s="144"/>
      <c r="W14" s="144"/>
    </row>
    <row r="15">
      <c r="A15" s="154" t="s">
        <v>135</v>
      </c>
      <c r="B15" s="155" t="s">
        <v>136</v>
      </c>
      <c r="C15" s="5"/>
      <c r="D15" s="5"/>
      <c r="E15" s="6"/>
      <c r="F15" s="156">
        <v>309.0</v>
      </c>
      <c r="G15" s="6"/>
      <c r="H15" s="156">
        <v>3418.0</v>
      </c>
      <c r="I15" s="6"/>
      <c r="J15" s="156">
        <v>-38430.0</v>
      </c>
      <c r="K15" s="6"/>
      <c r="L15" s="157">
        <f t="shared" si="1"/>
        <v>-3109</v>
      </c>
      <c r="M15" s="6"/>
      <c r="N15" s="157">
        <f t="shared" si="2"/>
        <v>41848</v>
      </c>
      <c r="O15" s="6"/>
      <c r="P15" s="158">
        <f t="shared" si="5"/>
        <v>-0.9095962551</v>
      </c>
      <c r="Q15" s="6"/>
      <c r="R15" s="158">
        <f t="shared" si="4"/>
        <v>1.088940932</v>
      </c>
      <c r="S15" s="6"/>
      <c r="T15" s="148"/>
      <c r="U15" s="144"/>
      <c r="V15" s="144"/>
      <c r="W15" s="144"/>
    </row>
    <row r="16">
      <c r="A16" s="159"/>
      <c r="B16" s="160" t="s">
        <v>137</v>
      </c>
      <c r="C16" s="5"/>
      <c r="D16" s="5"/>
      <c r="E16" s="6"/>
      <c r="F16" s="162">
        <v>400.0</v>
      </c>
      <c r="G16" s="6"/>
      <c r="H16" s="162">
        <v>470.0</v>
      </c>
      <c r="I16" s="6"/>
      <c r="J16" s="162">
        <v>373.0</v>
      </c>
      <c r="K16" s="6"/>
      <c r="L16" s="163">
        <f t="shared" si="1"/>
        <v>-70</v>
      </c>
      <c r="M16" s="6"/>
      <c r="N16" s="163">
        <f t="shared" si="2"/>
        <v>97</v>
      </c>
      <c r="O16" s="6"/>
      <c r="P16" s="164">
        <f t="shared" si="5"/>
        <v>-0.1489361702</v>
      </c>
      <c r="Q16" s="6"/>
      <c r="R16" s="164">
        <f t="shared" si="4"/>
        <v>0.2600536193</v>
      </c>
      <c r="S16" s="6"/>
      <c r="T16" s="148"/>
      <c r="U16" s="144"/>
      <c r="V16" s="144"/>
      <c r="W16" s="144"/>
    </row>
    <row r="17">
      <c r="A17" s="159"/>
      <c r="B17" s="160" t="s">
        <v>138</v>
      </c>
      <c r="C17" s="5"/>
      <c r="D17" s="5"/>
      <c r="E17" s="6"/>
      <c r="F17" s="162">
        <v>4815.0</v>
      </c>
      <c r="G17" s="6"/>
      <c r="H17" s="162">
        <v>2.0</v>
      </c>
      <c r="I17" s="6"/>
      <c r="J17" s="162">
        <v>5249.0</v>
      </c>
      <c r="K17" s="6"/>
      <c r="L17" s="163">
        <f t="shared" si="1"/>
        <v>4813</v>
      </c>
      <c r="M17" s="6"/>
      <c r="N17" s="163">
        <f t="shared" si="2"/>
        <v>-5247</v>
      </c>
      <c r="O17" s="6"/>
      <c r="P17" s="164">
        <f t="shared" si="5"/>
        <v>2406.5</v>
      </c>
      <c r="Q17" s="6"/>
      <c r="R17" s="164">
        <f t="shared" si="4"/>
        <v>-0.999618975</v>
      </c>
      <c r="S17" s="6"/>
      <c r="T17" s="148"/>
      <c r="U17" s="144"/>
      <c r="V17" s="144"/>
      <c r="W17" s="144"/>
    </row>
    <row r="18">
      <c r="A18" s="159"/>
      <c r="B18" s="160" t="s">
        <v>139</v>
      </c>
      <c r="C18" s="5"/>
      <c r="D18" s="5"/>
      <c r="E18" s="6"/>
      <c r="F18" s="162">
        <v>-5.0</v>
      </c>
      <c r="G18" s="6"/>
      <c r="H18" s="162">
        <v>188.0</v>
      </c>
      <c r="I18" s="6"/>
      <c r="J18" s="162">
        <v>288.0</v>
      </c>
      <c r="K18" s="6"/>
      <c r="L18" s="163">
        <f t="shared" si="1"/>
        <v>-193</v>
      </c>
      <c r="M18" s="6"/>
      <c r="N18" s="163">
        <f t="shared" si="2"/>
        <v>-100</v>
      </c>
      <c r="O18" s="6"/>
      <c r="P18" s="164">
        <f t="shared" si="5"/>
        <v>-1.026595745</v>
      </c>
      <c r="Q18" s="6"/>
      <c r="R18" s="164">
        <f t="shared" si="4"/>
        <v>-0.3472222222</v>
      </c>
      <c r="S18" s="6"/>
      <c r="T18" s="148"/>
      <c r="U18" s="144"/>
      <c r="V18" s="144"/>
      <c r="W18" s="144"/>
    </row>
    <row r="19">
      <c r="A19" s="154" t="s">
        <v>140</v>
      </c>
      <c r="B19" s="155" t="s">
        <v>141</v>
      </c>
      <c r="C19" s="5"/>
      <c r="D19" s="5"/>
      <c r="E19" s="6"/>
      <c r="F19" s="156">
        <v>-4100.0</v>
      </c>
      <c r="G19" s="6"/>
      <c r="H19" s="156">
        <v>3698.0</v>
      </c>
      <c r="I19" s="6"/>
      <c r="J19" s="156">
        <v>-43594.0</v>
      </c>
      <c r="K19" s="6"/>
      <c r="L19" s="157">
        <f t="shared" si="1"/>
        <v>-7798</v>
      </c>
      <c r="M19" s="6"/>
      <c r="N19" s="157">
        <f t="shared" si="2"/>
        <v>47292</v>
      </c>
      <c r="O19" s="6"/>
      <c r="P19" s="158">
        <f t="shared" si="5"/>
        <v>-2.108707409</v>
      </c>
      <c r="Q19" s="6"/>
      <c r="R19" s="158">
        <f t="shared" si="4"/>
        <v>1.084828187</v>
      </c>
      <c r="S19" s="6"/>
      <c r="T19" s="148"/>
      <c r="U19" s="144"/>
      <c r="V19" s="144"/>
      <c r="W19" s="144"/>
    </row>
    <row r="20">
      <c r="A20" s="159"/>
      <c r="B20" s="160" t="s">
        <v>142</v>
      </c>
      <c r="C20" s="5"/>
      <c r="D20" s="5"/>
      <c r="E20" s="6"/>
      <c r="F20" s="162">
        <v>50.0</v>
      </c>
      <c r="G20" s="6"/>
      <c r="H20" s="162">
        <v>348.0</v>
      </c>
      <c r="I20" s="6"/>
      <c r="J20" s="162">
        <v>1439.0</v>
      </c>
      <c r="K20" s="6"/>
      <c r="L20" s="163">
        <f t="shared" si="1"/>
        <v>-298</v>
      </c>
      <c r="M20" s="6"/>
      <c r="N20" s="163">
        <f t="shared" si="2"/>
        <v>-1091</v>
      </c>
      <c r="O20" s="6"/>
      <c r="P20" s="164">
        <f t="shared" si="5"/>
        <v>-0.8563218391</v>
      </c>
      <c r="Q20" s="6"/>
      <c r="R20" s="164">
        <f t="shared" si="4"/>
        <v>-0.7581653926</v>
      </c>
      <c r="S20" s="6"/>
      <c r="T20" s="148"/>
      <c r="U20" s="144"/>
      <c r="V20" s="144"/>
      <c r="W20" s="144"/>
    </row>
    <row r="21">
      <c r="A21" s="150"/>
      <c r="B21" s="167" t="s">
        <v>143</v>
      </c>
      <c r="C21" s="5"/>
      <c r="D21" s="5"/>
      <c r="E21" s="6"/>
      <c r="F21" s="168">
        <v>371.0</v>
      </c>
      <c r="G21" s="74"/>
      <c r="H21" s="168">
        <v>18509.0</v>
      </c>
      <c r="I21" s="74"/>
      <c r="J21" s="168">
        <v>16967.0</v>
      </c>
      <c r="K21" s="74"/>
      <c r="L21" s="163">
        <f t="shared" si="1"/>
        <v>-18138</v>
      </c>
      <c r="M21" s="6"/>
      <c r="N21" s="163">
        <f t="shared" si="2"/>
        <v>1542</v>
      </c>
      <c r="O21" s="6"/>
      <c r="P21" s="164">
        <f t="shared" si="5"/>
        <v>-0.9799556972</v>
      </c>
      <c r="Q21" s="6"/>
      <c r="R21" s="164">
        <f t="shared" si="4"/>
        <v>0.09088230094</v>
      </c>
      <c r="S21" s="6"/>
      <c r="T21" s="148"/>
      <c r="U21" s="144"/>
      <c r="V21" s="144"/>
      <c r="W21" s="144"/>
    </row>
    <row r="22">
      <c r="A22" s="154" t="s">
        <v>144</v>
      </c>
      <c r="B22" s="155" t="s">
        <v>145</v>
      </c>
      <c r="C22" s="5"/>
      <c r="D22" s="5"/>
      <c r="E22" s="6"/>
      <c r="F22" s="169">
        <v>-4421.0</v>
      </c>
      <c r="G22" s="69"/>
      <c r="H22" s="169">
        <v>-14462.0</v>
      </c>
      <c r="I22" s="69"/>
      <c r="J22" s="169">
        <v>-59122.0</v>
      </c>
      <c r="K22" s="69"/>
      <c r="L22" s="157">
        <f t="shared" si="1"/>
        <v>10041</v>
      </c>
      <c r="M22" s="6"/>
      <c r="N22" s="157">
        <f t="shared" si="2"/>
        <v>44660</v>
      </c>
      <c r="O22" s="6"/>
      <c r="P22" s="158">
        <f t="shared" si="5"/>
        <v>0.6943023095</v>
      </c>
      <c r="Q22" s="6"/>
      <c r="R22" s="158">
        <f t="shared" si="4"/>
        <v>0.7553871655</v>
      </c>
      <c r="S22" s="6"/>
      <c r="T22" s="148"/>
      <c r="U22" s="144"/>
      <c r="V22" s="144"/>
      <c r="W22" s="144"/>
    </row>
    <row r="23">
      <c r="A23" s="150"/>
      <c r="B23" s="167" t="s">
        <v>146</v>
      </c>
      <c r="C23" s="5"/>
      <c r="D23" s="5"/>
      <c r="E23" s="6"/>
      <c r="F23" s="170">
        <v>0.0</v>
      </c>
      <c r="G23" s="79"/>
      <c r="H23" s="170">
        <v>-365.0</v>
      </c>
      <c r="I23" s="79"/>
      <c r="J23" s="170">
        <v>2850.0</v>
      </c>
      <c r="K23" s="79"/>
      <c r="L23" s="163">
        <f t="shared" si="1"/>
        <v>365</v>
      </c>
      <c r="M23" s="6"/>
      <c r="N23" s="163">
        <f t="shared" si="2"/>
        <v>-3215</v>
      </c>
      <c r="O23" s="6"/>
      <c r="P23" s="164">
        <f t="shared" si="5"/>
        <v>1</v>
      </c>
      <c r="Q23" s="6"/>
      <c r="R23" s="164">
        <f t="shared" si="4"/>
        <v>-1.128070175</v>
      </c>
      <c r="S23" s="6"/>
      <c r="T23" s="148"/>
      <c r="U23" s="144"/>
      <c r="V23" s="144"/>
      <c r="W23" s="144"/>
    </row>
    <row r="24">
      <c r="A24" s="154" t="s">
        <v>147</v>
      </c>
      <c r="B24" s="155" t="s">
        <v>148</v>
      </c>
      <c r="C24" s="5"/>
      <c r="D24" s="5"/>
      <c r="E24" s="6"/>
      <c r="F24" s="156">
        <v>-4421.0</v>
      </c>
      <c r="G24" s="6"/>
      <c r="H24" s="156">
        <v>-10897.0</v>
      </c>
      <c r="I24" s="6"/>
      <c r="J24" s="156">
        <v>-61972.0</v>
      </c>
      <c r="K24" s="6"/>
      <c r="L24" s="157">
        <f t="shared" si="1"/>
        <v>6476</v>
      </c>
      <c r="M24" s="6"/>
      <c r="N24" s="157">
        <f t="shared" si="2"/>
        <v>51075</v>
      </c>
      <c r="O24" s="6"/>
      <c r="P24" s="158">
        <f t="shared" si="5"/>
        <v>0.594292007</v>
      </c>
      <c r="Q24" s="6"/>
      <c r="R24" s="158">
        <f t="shared" si="4"/>
        <v>0.824162525</v>
      </c>
      <c r="S24" s="6"/>
      <c r="T24" s="148"/>
      <c r="U24" s="144"/>
      <c r="V24" s="144"/>
      <c r="W24" s="144"/>
    </row>
    <row r="25">
      <c r="A25" s="150"/>
      <c r="B25" s="151" t="s">
        <v>149</v>
      </c>
      <c r="C25" s="5"/>
      <c r="D25" s="5"/>
      <c r="E25" s="6"/>
      <c r="F25" s="166"/>
      <c r="G25" s="6"/>
      <c r="H25" s="166"/>
      <c r="I25" s="6"/>
      <c r="J25" s="166"/>
      <c r="K25" s="6"/>
      <c r="L25" s="171"/>
      <c r="M25" s="6"/>
      <c r="N25" s="171"/>
      <c r="O25" s="6"/>
      <c r="P25" s="172"/>
      <c r="Q25" s="6"/>
      <c r="R25" s="164"/>
      <c r="S25" s="6"/>
      <c r="T25" s="148"/>
      <c r="U25" s="144"/>
      <c r="V25" s="144"/>
      <c r="W25" s="144"/>
    </row>
    <row r="26">
      <c r="A26" s="150"/>
      <c r="B26" s="167" t="s">
        <v>150</v>
      </c>
      <c r="C26" s="5"/>
      <c r="D26" s="5"/>
      <c r="E26" s="6"/>
      <c r="F26" s="166">
        <v>0.0</v>
      </c>
      <c r="G26" s="6"/>
      <c r="H26" s="166">
        <v>0.0</v>
      </c>
      <c r="I26" s="6"/>
      <c r="J26" s="166">
        <v>0.0</v>
      </c>
      <c r="K26" s="6"/>
      <c r="L26" s="163">
        <f t="shared" ref="L26:L27" si="6">F26-H26</f>
        <v>0</v>
      </c>
      <c r="M26" s="6"/>
      <c r="N26" s="163">
        <f t="shared" ref="N26:N27" si="7">H26-J26</f>
        <v>0</v>
      </c>
      <c r="O26" s="6"/>
      <c r="P26" s="173" t="s">
        <v>39</v>
      </c>
      <c r="Q26" s="6"/>
      <c r="R26" s="165" t="s">
        <v>39</v>
      </c>
      <c r="S26" s="6"/>
      <c r="T26" s="148"/>
      <c r="U26" s="144"/>
      <c r="V26" s="144"/>
      <c r="W26" s="144"/>
    </row>
    <row r="27">
      <c r="A27" s="174" t="s">
        <v>151</v>
      </c>
      <c r="B27" s="175" t="s">
        <v>152</v>
      </c>
      <c r="C27" s="5"/>
      <c r="D27" s="5"/>
      <c r="E27" s="6"/>
      <c r="F27" s="176">
        <v>-4421.0</v>
      </c>
      <c r="G27" s="6"/>
      <c r="H27" s="176">
        <v>-10897.0</v>
      </c>
      <c r="I27" s="6"/>
      <c r="J27" s="176">
        <v>-61972.0</v>
      </c>
      <c r="K27" s="6"/>
      <c r="L27" s="177">
        <f t="shared" si="6"/>
        <v>6476</v>
      </c>
      <c r="M27" s="6"/>
      <c r="N27" s="177">
        <f t="shared" si="7"/>
        <v>51075</v>
      </c>
      <c r="O27" s="6"/>
      <c r="P27" s="178">
        <f>L27/ABS(H27)</f>
        <v>0.594292007</v>
      </c>
      <c r="Q27" s="6"/>
      <c r="R27" s="178">
        <f>N27/ABS(J27)</f>
        <v>0.824162525</v>
      </c>
      <c r="S27" s="6"/>
      <c r="T27" s="148"/>
      <c r="U27" s="144"/>
      <c r="V27" s="144"/>
      <c r="W27" s="144"/>
    </row>
    <row r="29">
      <c r="B29" s="149" t="s">
        <v>153</v>
      </c>
      <c r="C29" s="5"/>
      <c r="D29" s="5"/>
      <c r="E29" s="5"/>
      <c r="F29" s="5"/>
      <c r="G29" s="5"/>
      <c r="H29" s="5"/>
      <c r="I29" s="5"/>
      <c r="J29" s="5"/>
      <c r="K29" s="5"/>
      <c r="L29" s="5"/>
      <c r="M29" s="6"/>
      <c r="O29" s="105" t="s">
        <v>154</v>
      </c>
      <c r="P29" s="22"/>
      <c r="Q29" s="23"/>
    </row>
    <row r="30">
      <c r="B30" s="179" t="s">
        <v>56</v>
      </c>
      <c r="C30" s="27"/>
      <c r="D30" s="27"/>
      <c r="E30" s="27"/>
      <c r="F30" s="27"/>
      <c r="G30" s="28"/>
      <c r="H30" s="180">
        <v>2020.0</v>
      </c>
      <c r="I30" s="28"/>
      <c r="J30" s="179">
        <v>2021.0</v>
      </c>
      <c r="K30" s="28"/>
      <c r="L30" s="181">
        <v>2022.0</v>
      </c>
      <c r="M30" s="28"/>
      <c r="O30" s="24"/>
      <c r="Q30" s="25"/>
    </row>
    <row r="31">
      <c r="B31" s="182" t="s">
        <v>155</v>
      </c>
      <c r="C31" s="5"/>
      <c r="D31" s="5"/>
      <c r="E31" s="5"/>
      <c r="F31" s="5"/>
      <c r="G31" s="6"/>
      <c r="H31" s="183">
        <f>F8/F7</f>
        <v>0.9610016748</v>
      </c>
      <c r="I31" s="6"/>
      <c r="J31" s="183">
        <f>H8/H7</f>
        <v>0.8518807419</v>
      </c>
      <c r="K31" s="6"/>
      <c r="L31" s="183">
        <f>J8/J7</f>
        <v>2.59057986</v>
      </c>
      <c r="M31" s="6"/>
      <c r="O31" s="24"/>
      <c r="Q31" s="25"/>
    </row>
    <row r="32">
      <c r="B32" s="182" t="s">
        <v>156</v>
      </c>
      <c r="C32" s="5"/>
      <c r="D32" s="5"/>
      <c r="E32" s="5"/>
      <c r="F32" s="5"/>
      <c r="G32" s="6"/>
      <c r="H32" s="183">
        <f>F21/F7</f>
        <v>0.02958768642</v>
      </c>
      <c r="I32" s="6"/>
      <c r="J32" s="183">
        <f>H21/H7</f>
        <v>0.8020887502</v>
      </c>
      <c r="K32" s="6"/>
      <c r="L32" s="183">
        <f>J21/J7</f>
        <v>0.7022474235</v>
      </c>
      <c r="M32" s="6"/>
      <c r="O32" s="24"/>
      <c r="Q32" s="25"/>
    </row>
    <row r="33">
      <c r="B33" s="182" t="s">
        <v>157</v>
      </c>
      <c r="C33" s="5"/>
      <c r="D33" s="5"/>
      <c r="E33" s="5"/>
      <c r="F33" s="5"/>
      <c r="G33" s="6"/>
      <c r="H33" s="183">
        <f>F17/F7</f>
        <v>0.384001914</v>
      </c>
      <c r="I33" s="6"/>
      <c r="J33" s="183">
        <f>H17/H7</f>
        <v>0.00008667013347</v>
      </c>
      <c r="K33" s="6"/>
      <c r="L33" s="183">
        <f>J17/J7</f>
        <v>0.2172509416</v>
      </c>
      <c r="M33" s="6"/>
      <c r="O33" s="26"/>
      <c r="P33" s="27"/>
      <c r="Q33" s="28"/>
    </row>
    <row r="34">
      <c r="A34" s="139"/>
      <c r="B34" s="140"/>
      <c r="C34" s="140"/>
      <c r="D34" s="140"/>
      <c r="E34" s="140"/>
      <c r="F34" s="140"/>
      <c r="G34" s="140"/>
      <c r="H34" s="140"/>
    </row>
    <row r="35">
      <c r="A35" s="139"/>
      <c r="B35" s="31" t="s">
        <v>158</v>
      </c>
      <c r="C35" s="32"/>
      <c r="D35" s="32"/>
      <c r="E35" s="32"/>
      <c r="F35" s="32"/>
      <c r="G35" s="32"/>
      <c r="H35" s="33"/>
      <c r="R35" s="184"/>
    </row>
    <row r="36">
      <c r="A36" s="139"/>
      <c r="B36" s="140"/>
      <c r="C36" s="140"/>
      <c r="D36" s="140"/>
      <c r="E36" s="140"/>
      <c r="F36" s="140"/>
      <c r="G36" s="140"/>
      <c r="H36" s="140"/>
    </row>
    <row r="37">
      <c r="A37" s="139"/>
      <c r="B37" s="146" t="s">
        <v>159</v>
      </c>
      <c r="C37" s="22"/>
      <c r="D37" s="22"/>
      <c r="E37" s="23"/>
      <c r="F37" s="146">
        <v>2020.0</v>
      </c>
      <c r="G37" s="23"/>
      <c r="H37" s="146">
        <v>2021.0</v>
      </c>
      <c r="I37" s="23"/>
      <c r="J37" s="146">
        <v>2022.0</v>
      </c>
      <c r="K37" s="23"/>
      <c r="L37" s="185" t="s">
        <v>160</v>
      </c>
      <c r="M37" s="5"/>
      <c r="N37" s="5"/>
      <c r="O37" s="5"/>
      <c r="P37" s="5"/>
      <c r="Q37" s="6"/>
      <c r="R37" s="147" t="s">
        <v>161</v>
      </c>
      <c r="S37" s="5"/>
      <c r="T37" s="5"/>
      <c r="U37" s="6"/>
      <c r="V37" s="147" t="s">
        <v>162</v>
      </c>
      <c r="W37" s="5"/>
      <c r="X37" s="5"/>
      <c r="Y37" s="6"/>
      <c r="AA37" s="105" t="s">
        <v>163</v>
      </c>
      <c r="AB37" s="22"/>
      <c r="AC37" s="23"/>
    </row>
    <row r="38">
      <c r="B38" s="26"/>
      <c r="C38" s="27"/>
      <c r="D38" s="27"/>
      <c r="E38" s="28"/>
      <c r="F38" s="26"/>
      <c r="G38" s="28"/>
      <c r="H38" s="26"/>
      <c r="I38" s="28"/>
      <c r="J38" s="26"/>
      <c r="K38" s="28"/>
      <c r="L38" s="179">
        <v>2020.0</v>
      </c>
      <c r="M38" s="28"/>
      <c r="N38" s="179">
        <v>2021.0</v>
      </c>
      <c r="O38" s="28"/>
      <c r="P38" s="179">
        <v>2022.0</v>
      </c>
      <c r="Q38" s="28"/>
      <c r="R38" s="149">
        <v>2021.0</v>
      </c>
      <c r="S38" s="6"/>
      <c r="T38" s="149">
        <v>2022.0</v>
      </c>
      <c r="U38" s="6"/>
      <c r="V38" s="149">
        <v>2021.0</v>
      </c>
      <c r="W38" s="6"/>
      <c r="X38" s="149">
        <v>2022.0</v>
      </c>
      <c r="Y38" s="6"/>
      <c r="AA38" s="24"/>
      <c r="AC38" s="25"/>
    </row>
    <row r="39">
      <c r="B39" s="167" t="s">
        <v>126</v>
      </c>
      <c r="C39" s="5"/>
      <c r="D39" s="5"/>
      <c r="E39" s="6"/>
      <c r="F39" s="166">
        <v>12539.0</v>
      </c>
      <c r="G39" s="6"/>
      <c r="H39" s="166">
        <v>23076.0</v>
      </c>
      <c r="I39" s="6"/>
      <c r="J39" s="166">
        <v>24161.0</v>
      </c>
      <c r="K39" s="6"/>
      <c r="L39" s="186">
        <f>F39/SUM(F39:G41)</f>
        <v>0.9653553006</v>
      </c>
      <c r="M39" s="6"/>
      <c r="N39" s="186">
        <f>H39/SUM(H39:I41)</f>
        <v>0.9657654641</v>
      </c>
      <c r="O39" s="6"/>
      <c r="P39" s="186">
        <f>J39/SUM(J39:K41)</f>
        <v>0.9302352443</v>
      </c>
      <c r="Q39" s="6"/>
      <c r="R39" s="186">
        <f t="shared" ref="R39:R41" si="8">H39/F39</f>
        <v>1.840338145</v>
      </c>
      <c r="S39" s="6"/>
      <c r="T39" s="186">
        <f t="shared" ref="T39:T41" si="9">J39/F39</f>
        <v>1.926868171</v>
      </c>
      <c r="U39" s="6"/>
      <c r="V39" s="186">
        <f t="shared" ref="V39:V41" si="10">H39/F39</f>
        <v>1.840338145</v>
      </c>
      <c r="W39" s="6"/>
      <c r="X39" s="186">
        <f t="shared" ref="X39:X41" si="11">J39/H39</f>
        <v>1.047018547</v>
      </c>
      <c r="Y39" s="6"/>
      <c r="AA39" s="24"/>
      <c r="AC39" s="25"/>
    </row>
    <row r="40">
      <c r="B40" s="160" t="s">
        <v>137</v>
      </c>
      <c r="C40" s="5"/>
      <c r="D40" s="5"/>
      <c r="E40" s="6"/>
      <c r="F40" s="162">
        <v>400.0</v>
      </c>
      <c r="G40" s="6"/>
      <c r="H40" s="162">
        <v>470.0</v>
      </c>
      <c r="I40" s="6"/>
      <c r="J40" s="162">
        <v>373.0</v>
      </c>
      <c r="K40" s="6"/>
      <c r="L40" s="186">
        <f>F40/SUM(F39:G41)</f>
        <v>0.03079528832</v>
      </c>
      <c r="M40" s="6"/>
      <c r="N40" s="183">
        <f>H40/SUM(H39:I41)</f>
        <v>0.01967021009</v>
      </c>
      <c r="O40" s="6"/>
      <c r="P40" s="183">
        <f>J40/SUM(J39:K41)</f>
        <v>0.01436106726</v>
      </c>
      <c r="Q40" s="6"/>
      <c r="R40" s="186">
        <f t="shared" si="8"/>
        <v>1.175</v>
      </c>
      <c r="S40" s="6"/>
      <c r="T40" s="186">
        <f t="shared" si="9"/>
        <v>0.9325</v>
      </c>
      <c r="U40" s="6"/>
      <c r="V40" s="186">
        <f t="shared" si="10"/>
        <v>1.175</v>
      </c>
      <c r="W40" s="6"/>
      <c r="X40" s="186">
        <f t="shared" si="11"/>
        <v>0.7936170213</v>
      </c>
      <c r="Y40" s="6"/>
      <c r="AA40" s="24"/>
      <c r="AC40" s="25"/>
    </row>
    <row r="41">
      <c r="B41" s="160" t="s">
        <v>142</v>
      </c>
      <c r="C41" s="5"/>
      <c r="D41" s="5"/>
      <c r="E41" s="6"/>
      <c r="F41" s="162">
        <v>50.0</v>
      </c>
      <c r="G41" s="6"/>
      <c r="H41" s="162">
        <v>348.0</v>
      </c>
      <c r="I41" s="6"/>
      <c r="J41" s="162">
        <v>1439.0</v>
      </c>
      <c r="K41" s="6"/>
      <c r="L41" s="186">
        <f>F41/SUM(F39:G41)</f>
        <v>0.00384941104</v>
      </c>
      <c r="M41" s="6"/>
      <c r="N41" s="183">
        <f>H41/SUM(H39:I41)</f>
        <v>0.01456432577</v>
      </c>
      <c r="O41" s="6"/>
      <c r="P41" s="183">
        <f>J41/SUM(J39:K41)</f>
        <v>0.05540368845</v>
      </c>
      <c r="Q41" s="6"/>
      <c r="R41" s="186">
        <f t="shared" si="8"/>
        <v>6.96</v>
      </c>
      <c r="S41" s="6"/>
      <c r="T41" s="186">
        <f t="shared" si="9"/>
        <v>28.78</v>
      </c>
      <c r="U41" s="6"/>
      <c r="V41" s="186">
        <f t="shared" si="10"/>
        <v>6.96</v>
      </c>
      <c r="W41" s="6"/>
      <c r="X41" s="186">
        <f t="shared" si="11"/>
        <v>4.135057471</v>
      </c>
      <c r="Y41" s="6"/>
      <c r="AA41" s="26"/>
      <c r="AB41" s="27"/>
      <c r="AC41" s="28"/>
    </row>
    <row r="42">
      <c r="R42" s="187"/>
      <c r="S42" s="187"/>
      <c r="T42" s="187"/>
      <c r="U42" s="187"/>
    </row>
    <row r="43">
      <c r="B43" s="31" t="s">
        <v>164</v>
      </c>
      <c r="C43" s="32"/>
      <c r="D43" s="32"/>
      <c r="E43" s="32"/>
      <c r="F43" s="32"/>
      <c r="G43" s="32"/>
      <c r="H43" s="33"/>
      <c r="I43" s="188"/>
      <c r="J43" s="188"/>
      <c r="K43" s="188"/>
      <c r="L43" s="189"/>
      <c r="M43" s="189"/>
      <c r="N43" s="190"/>
      <c r="O43" s="190"/>
      <c r="P43" s="190"/>
      <c r="Q43" s="190"/>
      <c r="R43" s="142"/>
    </row>
    <row r="44">
      <c r="B44" s="191"/>
      <c r="C44" s="191"/>
      <c r="D44" s="191"/>
      <c r="E44" s="191"/>
      <c r="F44" s="188"/>
      <c r="G44" s="188"/>
      <c r="H44" s="188"/>
      <c r="I44" s="188"/>
      <c r="J44" s="188"/>
      <c r="K44" s="188"/>
      <c r="L44" s="189"/>
      <c r="M44" s="189"/>
      <c r="N44" s="190"/>
      <c r="O44" s="190"/>
      <c r="P44" s="190"/>
      <c r="Q44" s="190"/>
      <c r="R44" s="142"/>
    </row>
    <row r="45">
      <c r="B45" s="146" t="s">
        <v>165</v>
      </c>
      <c r="C45" s="22"/>
      <c r="D45" s="22"/>
      <c r="E45" s="23"/>
      <c r="F45" s="146">
        <v>2020.0</v>
      </c>
      <c r="G45" s="23"/>
      <c r="H45" s="146">
        <v>2021.0</v>
      </c>
      <c r="I45" s="23"/>
      <c r="J45" s="146">
        <v>2022.0</v>
      </c>
      <c r="K45" s="23"/>
      <c r="L45" s="185" t="s">
        <v>166</v>
      </c>
      <c r="M45" s="5"/>
      <c r="N45" s="5"/>
      <c r="O45" s="5"/>
      <c r="P45" s="5"/>
      <c r="Q45" s="6"/>
      <c r="R45" s="147" t="s">
        <v>161</v>
      </c>
      <c r="S45" s="5"/>
      <c r="T45" s="5"/>
      <c r="U45" s="6"/>
      <c r="V45" s="147" t="s">
        <v>162</v>
      </c>
      <c r="W45" s="5"/>
      <c r="X45" s="5"/>
      <c r="Y45" s="6"/>
      <c r="AA45" s="105" t="s">
        <v>167</v>
      </c>
      <c r="AB45" s="22"/>
      <c r="AC45" s="23"/>
    </row>
    <row r="46">
      <c r="B46" s="26"/>
      <c r="C46" s="27"/>
      <c r="D46" s="27"/>
      <c r="E46" s="28"/>
      <c r="F46" s="26"/>
      <c r="G46" s="28"/>
      <c r="H46" s="26"/>
      <c r="I46" s="28"/>
      <c r="J46" s="26"/>
      <c r="K46" s="28"/>
      <c r="L46" s="149">
        <v>2020.0</v>
      </c>
      <c r="M46" s="6"/>
      <c r="N46" s="149">
        <v>2021.0</v>
      </c>
      <c r="O46" s="6"/>
      <c r="P46" s="149">
        <v>2022.0</v>
      </c>
      <c r="Q46" s="6"/>
      <c r="R46" s="149">
        <v>2021.0</v>
      </c>
      <c r="S46" s="6"/>
      <c r="T46" s="149">
        <v>2022.0</v>
      </c>
      <c r="U46" s="6"/>
      <c r="V46" s="149">
        <v>2021.0</v>
      </c>
      <c r="W46" s="6"/>
      <c r="X46" s="149">
        <v>2022.0</v>
      </c>
      <c r="Y46" s="6"/>
      <c r="AA46" s="24"/>
      <c r="AC46" s="25"/>
    </row>
    <row r="47">
      <c r="B47" s="167" t="s">
        <v>128</v>
      </c>
      <c r="C47" s="5"/>
      <c r="D47" s="5"/>
      <c r="E47" s="6"/>
      <c r="F47" s="166">
        <v>12050.0</v>
      </c>
      <c r="G47" s="6"/>
      <c r="H47" s="166">
        <v>19658.0</v>
      </c>
      <c r="I47" s="6"/>
      <c r="J47" s="166">
        <v>62591.0</v>
      </c>
      <c r="K47" s="6"/>
      <c r="L47" s="186">
        <f>F47/SUM(F47:G49)</f>
        <v>0.6991181249</v>
      </c>
      <c r="M47" s="6"/>
      <c r="N47" s="186">
        <f>H47/SUM(H47:I49)</f>
        <v>0.5150252823</v>
      </c>
      <c r="O47" s="6"/>
      <c r="P47" s="186">
        <f>J47/SUM(J47:K49)</f>
        <v>0.7380404919</v>
      </c>
      <c r="Q47" s="6"/>
      <c r="R47" s="186">
        <f t="shared" ref="R47:R49" si="12">H47/F47</f>
        <v>1.631369295</v>
      </c>
      <c r="S47" s="6"/>
      <c r="T47" s="186">
        <f t="shared" ref="T47:T49" si="13">J47/F47</f>
        <v>5.194273859</v>
      </c>
      <c r="U47" s="6"/>
      <c r="V47" s="186">
        <f t="shared" ref="V47:V49" si="14">H47/F47</f>
        <v>1.631369295</v>
      </c>
      <c r="W47" s="6"/>
      <c r="X47" s="186">
        <f t="shared" ref="X47:X49" si="15">J47/H47</f>
        <v>3.183996337</v>
      </c>
      <c r="Y47" s="6"/>
      <c r="AA47" s="24"/>
      <c r="AC47" s="25"/>
    </row>
    <row r="48">
      <c r="B48" s="160" t="s">
        <v>138</v>
      </c>
      <c r="C48" s="5"/>
      <c r="D48" s="5"/>
      <c r="E48" s="6"/>
      <c r="F48" s="162">
        <v>4815.0</v>
      </c>
      <c r="G48" s="6"/>
      <c r="H48" s="162">
        <v>2.0</v>
      </c>
      <c r="I48" s="6"/>
      <c r="J48" s="162">
        <v>5249.0</v>
      </c>
      <c r="K48" s="6"/>
      <c r="L48" s="186">
        <f>F48/SUM(F47:G49)</f>
        <v>0.2793571594</v>
      </c>
      <c r="M48" s="6"/>
      <c r="N48" s="183">
        <f>H48/SUM(H47:I49)</f>
        <v>0.00005239854332</v>
      </c>
      <c r="O48" s="6"/>
      <c r="P48" s="183">
        <f>J48/SUM(J47:K49)</f>
        <v>0.06189347577</v>
      </c>
      <c r="Q48" s="6"/>
      <c r="R48" s="186">
        <f t="shared" si="12"/>
        <v>0.0004153686397</v>
      </c>
      <c r="S48" s="6"/>
      <c r="T48" s="186">
        <f t="shared" si="13"/>
        <v>1.090134995</v>
      </c>
      <c r="U48" s="6"/>
      <c r="V48" s="186">
        <f t="shared" si="14"/>
        <v>0.0004153686397</v>
      </c>
      <c r="W48" s="6"/>
      <c r="X48" s="186">
        <f t="shared" si="15"/>
        <v>2624.5</v>
      </c>
      <c r="Y48" s="6"/>
      <c r="AA48" s="24"/>
      <c r="AC48" s="25"/>
    </row>
    <row r="49">
      <c r="B49" s="167" t="s">
        <v>143</v>
      </c>
      <c r="C49" s="5"/>
      <c r="D49" s="5"/>
      <c r="E49" s="6"/>
      <c r="F49" s="168">
        <v>371.0</v>
      </c>
      <c r="G49" s="74"/>
      <c r="H49" s="168">
        <v>18509.0</v>
      </c>
      <c r="I49" s="74"/>
      <c r="J49" s="168">
        <v>16967.0</v>
      </c>
      <c r="K49" s="74"/>
      <c r="L49" s="192">
        <f>F49/SUM(F47:G49)</f>
        <v>0.02152471571</v>
      </c>
      <c r="M49" s="6"/>
      <c r="N49" s="183">
        <f>H49/SUM(H47:I49)</f>
        <v>0.4849223192</v>
      </c>
      <c r="O49" s="6"/>
      <c r="P49" s="183">
        <f>J49/SUM(J47:K49)</f>
        <v>0.2000660323</v>
      </c>
      <c r="Q49" s="6"/>
      <c r="R49" s="186">
        <f t="shared" si="12"/>
        <v>49.88948787</v>
      </c>
      <c r="S49" s="6"/>
      <c r="T49" s="186">
        <f t="shared" si="13"/>
        <v>45.73315364</v>
      </c>
      <c r="U49" s="6"/>
      <c r="V49" s="186">
        <f t="shared" si="14"/>
        <v>49.88948787</v>
      </c>
      <c r="W49" s="6"/>
      <c r="X49" s="186">
        <f t="shared" si="15"/>
        <v>0.9166891782</v>
      </c>
      <c r="Y49" s="6"/>
      <c r="AA49" s="24"/>
      <c r="AC49" s="25"/>
    </row>
    <row r="50">
      <c r="A50" s="142"/>
      <c r="AA50" s="26"/>
      <c r="AB50" s="27"/>
      <c r="AC50" s="28"/>
    </row>
    <row r="51">
      <c r="A51" s="142"/>
      <c r="B51" s="31" t="s">
        <v>168</v>
      </c>
      <c r="C51" s="32"/>
      <c r="D51" s="32"/>
      <c r="E51" s="32"/>
      <c r="F51" s="32"/>
      <c r="G51" s="32"/>
      <c r="H51" s="33"/>
    </row>
    <row r="52">
      <c r="B52" s="140"/>
      <c r="C52" s="140"/>
      <c r="D52" s="140"/>
      <c r="E52" s="140"/>
      <c r="F52" s="140"/>
      <c r="G52" s="140"/>
      <c r="H52" s="140"/>
    </row>
    <row r="53">
      <c r="B53" s="146" t="s">
        <v>165</v>
      </c>
      <c r="C53" s="22"/>
      <c r="D53" s="22"/>
      <c r="E53" s="23"/>
      <c r="F53" s="146">
        <v>2020.0</v>
      </c>
      <c r="G53" s="23"/>
      <c r="H53" s="146">
        <v>2021.0</v>
      </c>
      <c r="I53" s="23"/>
      <c r="J53" s="146">
        <v>2022.0</v>
      </c>
      <c r="K53" s="23"/>
      <c r="L53" s="185" t="s">
        <v>169</v>
      </c>
      <c r="M53" s="5"/>
      <c r="N53" s="5"/>
      <c r="O53" s="5"/>
      <c r="P53" s="5"/>
      <c r="Q53" s="6"/>
      <c r="R53" s="147" t="s">
        <v>161</v>
      </c>
      <c r="S53" s="5"/>
      <c r="T53" s="5"/>
      <c r="U53" s="6"/>
      <c r="V53" s="147" t="s">
        <v>162</v>
      </c>
      <c r="W53" s="5"/>
      <c r="X53" s="5"/>
      <c r="Y53" s="6"/>
      <c r="AA53" s="105" t="s">
        <v>170</v>
      </c>
      <c r="AB53" s="22"/>
      <c r="AC53" s="23"/>
    </row>
    <row r="54">
      <c r="B54" s="26"/>
      <c r="C54" s="27"/>
      <c r="D54" s="27"/>
      <c r="E54" s="28"/>
      <c r="F54" s="26"/>
      <c r="G54" s="28"/>
      <c r="H54" s="26"/>
      <c r="I54" s="28"/>
      <c r="J54" s="26"/>
      <c r="K54" s="28"/>
      <c r="L54" s="179">
        <v>2020.0</v>
      </c>
      <c r="M54" s="28"/>
      <c r="N54" s="179">
        <v>2021.0</v>
      </c>
      <c r="O54" s="28"/>
      <c r="P54" s="179">
        <v>2022.0</v>
      </c>
      <c r="Q54" s="28"/>
      <c r="R54" s="149">
        <v>2021.0</v>
      </c>
      <c r="S54" s="6"/>
      <c r="T54" s="149">
        <v>2022.0</v>
      </c>
      <c r="U54" s="6"/>
      <c r="V54" s="149">
        <v>2021.0</v>
      </c>
      <c r="W54" s="6"/>
      <c r="X54" s="149">
        <v>2022.0</v>
      </c>
      <c r="Y54" s="6"/>
      <c r="AA54" s="24"/>
      <c r="AC54" s="25"/>
    </row>
    <row r="55">
      <c r="B55" s="160" t="s">
        <v>129</v>
      </c>
      <c r="C55" s="5"/>
      <c r="D55" s="5"/>
      <c r="E55" s="6"/>
      <c r="F55" s="161">
        <v>121.0</v>
      </c>
      <c r="G55" s="6"/>
      <c r="H55" s="162">
        <v>182.0</v>
      </c>
      <c r="I55" s="6"/>
      <c r="J55" s="162">
        <v>605.0</v>
      </c>
      <c r="K55" s="6"/>
      <c r="L55" s="186">
        <f t="shared" ref="L55:L60" si="16">F55/$F$8</f>
        <v>0.01004149378</v>
      </c>
      <c r="M55" s="6"/>
      <c r="N55" s="186">
        <f t="shared" ref="N55:N60" si="17">H55/$H$8</f>
        <v>0.009258317225</v>
      </c>
      <c r="O55" s="6"/>
      <c r="P55" s="186">
        <f t="shared" ref="P55:P60" si="18">J55/$J$8</f>
        <v>0.009665926411</v>
      </c>
      <c r="Q55" s="6"/>
      <c r="R55" s="186">
        <f t="shared" ref="R55:R56" si="19">H55/F55</f>
        <v>1.504132231</v>
      </c>
      <c r="S55" s="6"/>
      <c r="T55" s="186">
        <f t="shared" ref="T55:T56" si="20">J55/F55</f>
        <v>5</v>
      </c>
      <c r="U55" s="6"/>
      <c r="V55" s="186">
        <f t="shared" ref="V55:V56" si="21">H55/F55</f>
        <v>1.504132231</v>
      </c>
      <c r="W55" s="6"/>
      <c r="X55" s="186">
        <f t="shared" ref="X55:X56" si="22">J55/H55</f>
        <v>3.324175824</v>
      </c>
      <c r="Y55" s="6"/>
      <c r="AA55" s="24"/>
      <c r="AC55" s="25"/>
    </row>
    <row r="56">
      <c r="B56" s="160" t="s">
        <v>130</v>
      </c>
      <c r="C56" s="5"/>
      <c r="D56" s="5"/>
      <c r="E56" s="6"/>
      <c r="F56" s="162">
        <v>3260.0</v>
      </c>
      <c r="G56" s="6"/>
      <c r="H56" s="162">
        <v>5088.0</v>
      </c>
      <c r="I56" s="6"/>
      <c r="J56" s="162">
        <v>5656.0</v>
      </c>
      <c r="K56" s="6"/>
      <c r="L56" s="186">
        <f t="shared" si="16"/>
        <v>0.2705394191</v>
      </c>
      <c r="M56" s="6"/>
      <c r="N56" s="186">
        <f t="shared" si="17"/>
        <v>0.2588259233</v>
      </c>
      <c r="O56" s="6"/>
      <c r="P56" s="186">
        <f t="shared" si="18"/>
        <v>0.09036442939</v>
      </c>
      <c r="Q56" s="6"/>
      <c r="R56" s="186">
        <f t="shared" si="19"/>
        <v>1.560736196</v>
      </c>
      <c r="S56" s="6"/>
      <c r="T56" s="186">
        <f t="shared" si="20"/>
        <v>1.734969325</v>
      </c>
      <c r="U56" s="6"/>
      <c r="V56" s="186">
        <f t="shared" si="21"/>
        <v>1.560736196</v>
      </c>
      <c r="W56" s="6"/>
      <c r="X56" s="186">
        <f t="shared" si="22"/>
        <v>1.11163522</v>
      </c>
      <c r="Y56" s="6"/>
      <c r="AA56" s="24"/>
      <c r="AC56" s="25"/>
    </row>
    <row r="57">
      <c r="B57" s="160" t="s">
        <v>131</v>
      </c>
      <c r="C57" s="5"/>
      <c r="D57" s="5"/>
      <c r="E57" s="6"/>
      <c r="F57" s="162">
        <v>0.0</v>
      </c>
      <c r="G57" s="6"/>
      <c r="H57" s="162">
        <v>0.0</v>
      </c>
      <c r="I57" s="6"/>
      <c r="J57" s="162">
        <v>29037.0</v>
      </c>
      <c r="K57" s="6"/>
      <c r="L57" s="186">
        <f t="shared" si="16"/>
        <v>0</v>
      </c>
      <c r="M57" s="6"/>
      <c r="N57" s="186">
        <f t="shared" si="17"/>
        <v>0</v>
      </c>
      <c r="O57" s="6"/>
      <c r="P57" s="186">
        <f t="shared" si="18"/>
        <v>0.4639165375</v>
      </c>
      <c r="Q57" s="6"/>
      <c r="R57" s="193" t="s">
        <v>39</v>
      </c>
      <c r="S57" s="6"/>
      <c r="T57" s="193" t="s">
        <v>39</v>
      </c>
      <c r="U57" s="6"/>
      <c r="V57" s="193" t="s">
        <v>39</v>
      </c>
      <c r="W57" s="6"/>
      <c r="X57" s="193" t="s">
        <v>39</v>
      </c>
      <c r="Y57" s="6"/>
      <c r="AA57" s="24"/>
      <c r="AC57" s="25"/>
    </row>
    <row r="58">
      <c r="B58" s="160" t="s">
        <v>132</v>
      </c>
      <c r="C58" s="5"/>
      <c r="D58" s="5"/>
      <c r="E58" s="6"/>
      <c r="F58" s="166">
        <v>1252.0</v>
      </c>
      <c r="G58" s="6"/>
      <c r="H58" s="166">
        <v>2562.0</v>
      </c>
      <c r="I58" s="6"/>
      <c r="J58" s="166">
        <v>3058.0</v>
      </c>
      <c r="K58" s="6"/>
      <c r="L58" s="186">
        <f t="shared" si="16"/>
        <v>0.1039004149</v>
      </c>
      <c r="M58" s="6"/>
      <c r="N58" s="186">
        <f t="shared" si="17"/>
        <v>0.1303286194</v>
      </c>
      <c r="O58" s="6"/>
      <c r="P58" s="186">
        <f t="shared" si="18"/>
        <v>0.04885686441</v>
      </c>
      <c r="Q58" s="6"/>
      <c r="R58" s="186">
        <f t="shared" ref="R58:R60" si="23">H58/F58</f>
        <v>2.046325879</v>
      </c>
      <c r="S58" s="6"/>
      <c r="T58" s="186">
        <f t="shared" ref="T58:T60" si="24">J58/F58</f>
        <v>2.442492013</v>
      </c>
      <c r="U58" s="6"/>
      <c r="V58" s="186">
        <f t="shared" ref="V58:V60" si="25">H58/F58</f>
        <v>2.046325879</v>
      </c>
      <c r="W58" s="6"/>
      <c r="X58" s="186">
        <f t="shared" ref="X58:X60" si="26">J58/H58</f>
        <v>1.193598751</v>
      </c>
      <c r="Y58" s="6"/>
      <c r="AA58" s="24"/>
      <c r="AC58" s="25"/>
    </row>
    <row r="59">
      <c r="B59" s="160" t="s">
        <v>133</v>
      </c>
      <c r="C59" s="5"/>
      <c r="D59" s="5"/>
      <c r="E59" s="6"/>
      <c r="F59" s="162">
        <v>7039.0</v>
      </c>
      <c r="G59" s="6"/>
      <c r="H59" s="162">
        <v>11499.0</v>
      </c>
      <c r="I59" s="6"/>
      <c r="J59" s="162">
        <v>23396.0</v>
      </c>
      <c r="K59" s="6"/>
      <c r="L59" s="186">
        <f t="shared" si="16"/>
        <v>0.5841493776</v>
      </c>
      <c r="M59" s="6"/>
      <c r="N59" s="186">
        <f t="shared" si="17"/>
        <v>0.584952691</v>
      </c>
      <c r="O59" s="6"/>
      <c r="P59" s="186">
        <f t="shared" si="18"/>
        <v>0.3737917592</v>
      </c>
      <c r="Q59" s="6"/>
      <c r="R59" s="186">
        <f t="shared" si="23"/>
        <v>1.633612729</v>
      </c>
      <c r="S59" s="6"/>
      <c r="T59" s="186">
        <f t="shared" si="24"/>
        <v>3.323767581</v>
      </c>
      <c r="U59" s="6"/>
      <c r="V59" s="186">
        <f t="shared" si="25"/>
        <v>1.633612729</v>
      </c>
      <c r="W59" s="6"/>
      <c r="X59" s="186">
        <f t="shared" si="26"/>
        <v>2.034611705</v>
      </c>
      <c r="Y59" s="6"/>
      <c r="AA59" s="24"/>
      <c r="AC59" s="25"/>
    </row>
    <row r="60">
      <c r="B60" s="160" t="s">
        <v>134</v>
      </c>
      <c r="C60" s="5"/>
      <c r="D60" s="5"/>
      <c r="E60" s="6"/>
      <c r="F60" s="162">
        <v>378.0</v>
      </c>
      <c r="G60" s="6"/>
      <c r="H60" s="162">
        <v>327.0</v>
      </c>
      <c r="I60" s="6"/>
      <c r="J60" s="162">
        <v>838.0</v>
      </c>
      <c r="K60" s="6"/>
      <c r="L60" s="186">
        <f t="shared" si="16"/>
        <v>0.03136929461</v>
      </c>
      <c r="M60" s="6"/>
      <c r="N60" s="186">
        <f t="shared" si="17"/>
        <v>0.01663444908</v>
      </c>
      <c r="O60" s="6"/>
      <c r="P60" s="186">
        <f t="shared" si="18"/>
        <v>0.01338850633</v>
      </c>
      <c r="Q60" s="6"/>
      <c r="R60" s="186">
        <f t="shared" si="23"/>
        <v>0.8650793651</v>
      </c>
      <c r="S60" s="6"/>
      <c r="T60" s="186">
        <f t="shared" si="24"/>
        <v>2.216931217</v>
      </c>
      <c r="U60" s="6"/>
      <c r="V60" s="186">
        <f t="shared" si="25"/>
        <v>0.8650793651</v>
      </c>
      <c r="W60" s="6"/>
      <c r="X60" s="186">
        <f t="shared" si="26"/>
        <v>2.562691131</v>
      </c>
      <c r="Y60" s="6"/>
      <c r="AA60" s="26"/>
      <c r="AB60" s="27"/>
      <c r="AC60" s="28"/>
    </row>
  </sheetData>
  <mergeCells count="386">
    <mergeCell ref="L5:M5"/>
    <mergeCell ref="N5:O5"/>
    <mergeCell ref="P5:Q5"/>
    <mergeCell ref="R5:S5"/>
    <mergeCell ref="B2:H2"/>
    <mergeCell ref="A4:E5"/>
    <mergeCell ref="F4:G5"/>
    <mergeCell ref="H4:I5"/>
    <mergeCell ref="J4:K5"/>
    <mergeCell ref="L4:O4"/>
    <mergeCell ref="P4:S4"/>
    <mergeCell ref="F6:G6"/>
    <mergeCell ref="H6:I6"/>
    <mergeCell ref="J6:K6"/>
    <mergeCell ref="L6:M6"/>
    <mergeCell ref="N6:O6"/>
    <mergeCell ref="P6:Q6"/>
    <mergeCell ref="R6:S6"/>
    <mergeCell ref="P7:Q7"/>
    <mergeCell ref="R7:S7"/>
    <mergeCell ref="B6:E6"/>
    <mergeCell ref="B7:E7"/>
    <mergeCell ref="F7:G7"/>
    <mergeCell ref="H7:I7"/>
    <mergeCell ref="J7:K7"/>
    <mergeCell ref="L7:M7"/>
    <mergeCell ref="N7:O7"/>
    <mergeCell ref="P9:Q9"/>
    <mergeCell ref="R9:S9"/>
    <mergeCell ref="F12:G12"/>
    <mergeCell ref="H12:I12"/>
    <mergeCell ref="J12:K12"/>
    <mergeCell ref="L12:M12"/>
    <mergeCell ref="N12:O12"/>
    <mergeCell ref="P12:Q12"/>
    <mergeCell ref="R12:S12"/>
    <mergeCell ref="B12:E12"/>
    <mergeCell ref="B13:E13"/>
    <mergeCell ref="F13:G13"/>
    <mergeCell ref="H13:I13"/>
    <mergeCell ref="J13:K13"/>
    <mergeCell ref="L13:M13"/>
    <mergeCell ref="N13:O13"/>
    <mergeCell ref="F14:G14"/>
    <mergeCell ref="H14:I14"/>
    <mergeCell ref="J14:K14"/>
    <mergeCell ref="L14:M14"/>
    <mergeCell ref="N14:O14"/>
    <mergeCell ref="P14:Q14"/>
    <mergeCell ref="R14:S14"/>
    <mergeCell ref="B14:E14"/>
    <mergeCell ref="B15:E15"/>
    <mergeCell ref="F15:G15"/>
    <mergeCell ref="H15:I15"/>
    <mergeCell ref="J15:K15"/>
    <mergeCell ref="L15:M15"/>
    <mergeCell ref="N15:O15"/>
    <mergeCell ref="N16:O16"/>
    <mergeCell ref="P16:Q16"/>
    <mergeCell ref="P15:Q15"/>
    <mergeCell ref="R15:S15"/>
    <mergeCell ref="F16:G16"/>
    <mergeCell ref="H16:I16"/>
    <mergeCell ref="J16:K16"/>
    <mergeCell ref="L16:M16"/>
    <mergeCell ref="R16:S16"/>
    <mergeCell ref="P17:Q17"/>
    <mergeCell ref="R17:S17"/>
    <mergeCell ref="B16:E16"/>
    <mergeCell ref="B17:E17"/>
    <mergeCell ref="F17:G17"/>
    <mergeCell ref="H17:I17"/>
    <mergeCell ref="J17:K17"/>
    <mergeCell ref="L17:M17"/>
    <mergeCell ref="N17:O17"/>
    <mergeCell ref="F18:G18"/>
    <mergeCell ref="H18:I18"/>
    <mergeCell ref="J18:K18"/>
    <mergeCell ref="L18:M18"/>
    <mergeCell ref="N18:O18"/>
    <mergeCell ref="P18:Q18"/>
    <mergeCell ref="R18:S18"/>
    <mergeCell ref="B18:E18"/>
    <mergeCell ref="B19:E19"/>
    <mergeCell ref="F19:G19"/>
    <mergeCell ref="H19:I19"/>
    <mergeCell ref="J19:K19"/>
    <mergeCell ref="L19:M19"/>
    <mergeCell ref="N19:O19"/>
    <mergeCell ref="N20:O20"/>
    <mergeCell ref="P20:Q20"/>
    <mergeCell ref="P19:Q19"/>
    <mergeCell ref="R19:S19"/>
    <mergeCell ref="F20:G20"/>
    <mergeCell ref="H20:I20"/>
    <mergeCell ref="J20:K20"/>
    <mergeCell ref="L20:M20"/>
    <mergeCell ref="R20:S20"/>
    <mergeCell ref="R40:S40"/>
    <mergeCell ref="T40:U40"/>
    <mergeCell ref="V40:W40"/>
    <mergeCell ref="X40:Y40"/>
    <mergeCell ref="AA37:AC41"/>
    <mergeCell ref="B40:E40"/>
    <mergeCell ref="F40:G40"/>
    <mergeCell ref="H40:I40"/>
    <mergeCell ref="J40:K40"/>
    <mergeCell ref="L40:M40"/>
    <mergeCell ref="N40:O40"/>
    <mergeCell ref="P40:Q40"/>
    <mergeCell ref="V47:W47"/>
    <mergeCell ref="X47:Y47"/>
    <mergeCell ref="V48:W48"/>
    <mergeCell ref="X48:Y48"/>
    <mergeCell ref="V49:W49"/>
    <mergeCell ref="X49:Y49"/>
    <mergeCell ref="V53:Y53"/>
    <mergeCell ref="AA45:AC50"/>
    <mergeCell ref="V57:W57"/>
    <mergeCell ref="V58:W58"/>
    <mergeCell ref="V59:W59"/>
    <mergeCell ref="V60:W60"/>
    <mergeCell ref="X58:Y58"/>
    <mergeCell ref="X59:Y59"/>
    <mergeCell ref="X60:Y60"/>
    <mergeCell ref="V54:W54"/>
    <mergeCell ref="X54:Y54"/>
    <mergeCell ref="V55:W55"/>
    <mergeCell ref="X55:Y55"/>
    <mergeCell ref="V56:W56"/>
    <mergeCell ref="X56:Y56"/>
    <mergeCell ref="X57:Y57"/>
    <mergeCell ref="AA53:AC60"/>
    <mergeCell ref="P38:Q38"/>
    <mergeCell ref="R38:S38"/>
    <mergeCell ref="P39:Q39"/>
    <mergeCell ref="R39:S39"/>
    <mergeCell ref="T38:U38"/>
    <mergeCell ref="V38:W38"/>
    <mergeCell ref="T39:U39"/>
    <mergeCell ref="V39:W39"/>
    <mergeCell ref="X39:Y39"/>
    <mergeCell ref="F37:G38"/>
    <mergeCell ref="H37:I38"/>
    <mergeCell ref="L37:Q37"/>
    <mergeCell ref="R37:U37"/>
    <mergeCell ref="V37:Y37"/>
    <mergeCell ref="L38:M38"/>
    <mergeCell ref="N38:O38"/>
    <mergeCell ref="X38:Y38"/>
    <mergeCell ref="B32:G32"/>
    <mergeCell ref="B33:G33"/>
    <mergeCell ref="H33:I33"/>
    <mergeCell ref="J33:K33"/>
    <mergeCell ref="L33:M33"/>
    <mergeCell ref="B35:H35"/>
    <mergeCell ref="J37:K38"/>
    <mergeCell ref="B37:E38"/>
    <mergeCell ref="B39:E39"/>
    <mergeCell ref="F39:G39"/>
    <mergeCell ref="H39:I39"/>
    <mergeCell ref="J39:K39"/>
    <mergeCell ref="L39:M39"/>
    <mergeCell ref="N39:O39"/>
    <mergeCell ref="R41:S41"/>
    <mergeCell ref="T41:U41"/>
    <mergeCell ref="V41:W41"/>
    <mergeCell ref="X41:Y41"/>
    <mergeCell ref="V45:Y45"/>
    <mergeCell ref="V46:W46"/>
    <mergeCell ref="X46:Y46"/>
    <mergeCell ref="B31:G31"/>
    <mergeCell ref="H31:I31"/>
    <mergeCell ref="J31:K31"/>
    <mergeCell ref="L31:M31"/>
    <mergeCell ref="H32:I32"/>
    <mergeCell ref="J32:K32"/>
    <mergeCell ref="L32:M32"/>
    <mergeCell ref="R49:S49"/>
    <mergeCell ref="T49:U49"/>
    <mergeCell ref="R53:U53"/>
    <mergeCell ref="B49:E49"/>
    <mergeCell ref="B53:E54"/>
    <mergeCell ref="F53:G54"/>
    <mergeCell ref="H53:I54"/>
    <mergeCell ref="J53:K54"/>
    <mergeCell ref="L53:Q53"/>
    <mergeCell ref="L54:M54"/>
    <mergeCell ref="R55:S55"/>
    <mergeCell ref="T55:U55"/>
    <mergeCell ref="B55:E55"/>
    <mergeCell ref="F55:G55"/>
    <mergeCell ref="H55:I55"/>
    <mergeCell ref="J55:K55"/>
    <mergeCell ref="L55:M55"/>
    <mergeCell ref="N55:O55"/>
    <mergeCell ref="P55:Q55"/>
    <mergeCell ref="R56:S56"/>
    <mergeCell ref="T56:U56"/>
    <mergeCell ref="B56:E56"/>
    <mergeCell ref="F56:G56"/>
    <mergeCell ref="H56:I56"/>
    <mergeCell ref="J56:K56"/>
    <mergeCell ref="L56:M56"/>
    <mergeCell ref="N56:O56"/>
    <mergeCell ref="P56:Q56"/>
    <mergeCell ref="R57:S57"/>
    <mergeCell ref="T57:U57"/>
    <mergeCell ref="B57:E57"/>
    <mergeCell ref="F57:G57"/>
    <mergeCell ref="H57:I57"/>
    <mergeCell ref="J57:K57"/>
    <mergeCell ref="L57:M57"/>
    <mergeCell ref="N57:O57"/>
    <mergeCell ref="P57:Q57"/>
    <mergeCell ref="R58:S58"/>
    <mergeCell ref="T58:U58"/>
    <mergeCell ref="B58:E58"/>
    <mergeCell ref="F58:G58"/>
    <mergeCell ref="H58:I58"/>
    <mergeCell ref="J58:K58"/>
    <mergeCell ref="L58:M58"/>
    <mergeCell ref="N58:O58"/>
    <mergeCell ref="P58:Q58"/>
    <mergeCell ref="R59:S59"/>
    <mergeCell ref="T59:U59"/>
    <mergeCell ref="B59:E59"/>
    <mergeCell ref="F59:G59"/>
    <mergeCell ref="H59:I59"/>
    <mergeCell ref="J59:K59"/>
    <mergeCell ref="L59:M59"/>
    <mergeCell ref="N59:O59"/>
    <mergeCell ref="P59:Q59"/>
    <mergeCell ref="L45:Q45"/>
    <mergeCell ref="R45:U45"/>
    <mergeCell ref="L46:M46"/>
    <mergeCell ref="N46:O46"/>
    <mergeCell ref="P46:Q46"/>
    <mergeCell ref="R46:S46"/>
    <mergeCell ref="T46:U46"/>
    <mergeCell ref="F41:G41"/>
    <mergeCell ref="H41:I41"/>
    <mergeCell ref="J41:K41"/>
    <mergeCell ref="L41:M41"/>
    <mergeCell ref="N41:O41"/>
    <mergeCell ref="P41:Q41"/>
    <mergeCell ref="L42:M42"/>
    <mergeCell ref="F47:G47"/>
    <mergeCell ref="H47:I47"/>
    <mergeCell ref="L47:M47"/>
    <mergeCell ref="N47:O47"/>
    <mergeCell ref="P47:Q47"/>
    <mergeCell ref="R47:S47"/>
    <mergeCell ref="T47:U47"/>
    <mergeCell ref="B41:E41"/>
    <mergeCell ref="B43:H43"/>
    <mergeCell ref="B45:E46"/>
    <mergeCell ref="F45:G46"/>
    <mergeCell ref="H45:I46"/>
    <mergeCell ref="J45:K46"/>
    <mergeCell ref="J47:K47"/>
    <mergeCell ref="P48:Q48"/>
    <mergeCell ref="R48:S48"/>
    <mergeCell ref="T48:U48"/>
    <mergeCell ref="N54:O54"/>
    <mergeCell ref="P54:Q54"/>
    <mergeCell ref="R54:S54"/>
    <mergeCell ref="T54:U54"/>
    <mergeCell ref="R60:S60"/>
    <mergeCell ref="T60:U60"/>
    <mergeCell ref="B60:E60"/>
    <mergeCell ref="F60:G60"/>
    <mergeCell ref="H60:I60"/>
    <mergeCell ref="J60:K60"/>
    <mergeCell ref="L60:M60"/>
    <mergeCell ref="N60:O60"/>
    <mergeCell ref="P60:Q60"/>
    <mergeCell ref="P21:Q21"/>
    <mergeCell ref="R21:S21"/>
    <mergeCell ref="B20:E20"/>
    <mergeCell ref="B21:E21"/>
    <mergeCell ref="F21:G21"/>
    <mergeCell ref="H21:I21"/>
    <mergeCell ref="J21:K21"/>
    <mergeCell ref="L21:M21"/>
    <mergeCell ref="N21:O21"/>
    <mergeCell ref="F22:G22"/>
    <mergeCell ref="H22:I22"/>
    <mergeCell ref="J22:K22"/>
    <mergeCell ref="L22:M22"/>
    <mergeCell ref="N22:O22"/>
    <mergeCell ref="P22:Q22"/>
    <mergeCell ref="R22:S22"/>
    <mergeCell ref="B22:E22"/>
    <mergeCell ref="B23:E23"/>
    <mergeCell ref="F23:G23"/>
    <mergeCell ref="H23:I23"/>
    <mergeCell ref="J23:K23"/>
    <mergeCell ref="L23:M23"/>
    <mergeCell ref="N23:O23"/>
    <mergeCell ref="N24:O24"/>
    <mergeCell ref="P24:Q24"/>
    <mergeCell ref="P23:Q23"/>
    <mergeCell ref="R23:S23"/>
    <mergeCell ref="F24:G24"/>
    <mergeCell ref="H24:I24"/>
    <mergeCell ref="J24:K24"/>
    <mergeCell ref="L24:M24"/>
    <mergeCell ref="R24:S24"/>
    <mergeCell ref="P25:Q25"/>
    <mergeCell ref="R25:S25"/>
    <mergeCell ref="B24:E24"/>
    <mergeCell ref="B25:E25"/>
    <mergeCell ref="F25:G25"/>
    <mergeCell ref="H25:I25"/>
    <mergeCell ref="J25:K25"/>
    <mergeCell ref="L25:M25"/>
    <mergeCell ref="N25:O25"/>
    <mergeCell ref="F26:G26"/>
    <mergeCell ref="H26:I26"/>
    <mergeCell ref="J26:K26"/>
    <mergeCell ref="L26:M26"/>
    <mergeCell ref="N26:O26"/>
    <mergeCell ref="P26:Q26"/>
    <mergeCell ref="R26:S26"/>
    <mergeCell ref="B26:E26"/>
    <mergeCell ref="B27:E27"/>
    <mergeCell ref="F27:G27"/>
    <mergeCell ref="H27:I27"/>
    <mergeCell ref="J27:K27"/>
    <mergeCell ref="L27:M27"/>
    <mergeCell ref="N27:O27"/>
    <mergeCell ref="F8:G8"/>
    <mergeCell ref="H8:I8"/>
    <mergeCell ref="J8:K8"/>
    <mergeCell ref="L8:M8"/>
    <mergeCell ref="N8:O8"/>
    <mergeCell ref="P8:Q8"/>
    <mergeCell ref="R8:S8"/>
    <mergeCell ref="B8:E8"/>
    <mergeCell ref="B9:E9"/>
    <mergeCell ref="F9:G9"/>
    <mergeCell ref="H9:I9"/>
    <mergeCell ref="J9:K9"/>
    <mergeCell ref="L9:M9"/>
    <mergeCell ref="N9:O9"/>
    <mergeCell ref="F10:G10"/>
    <mergeCell ref="H10:I10"/>
    <mergeCell ref="J10:K10"/>
    <mergeCell ref="L10:M10"/>
    <mergeCell ref="N10:O10"/>
    <mergeCell ref="P10:Q10"/>
    <mergeCell ref="R10:S10"/>
    <mergeCell ref="P11:Q11"/>
    <mergeCell ref="R11:S11"/>
    <mergeCell ref="B10:E10"/>
    <mergeCell ref="B11:E11"/>
    <mergeCell ref="F11:G11"/>
    <mergeCell ref="H11:I11"/>
    <mergeCell ref="J11:K11"/>
    <mergeCell ref="L11:M11"/>
    <mergeCell ref="N11:O11"/>
    <mergeCell ref="P13:Q13"/>
    <mergeCell ref="R13:S13"/>
    <mergeCell ref="P27:Q27"/>
    <mergeCell ref="R27:S27"/>
    <mergeCell ref="B29:M29"/>
    <mergeCell ref="B30:G30"/>
    <mergeCell ref="H30:I30"/>
    <mergeCell ref="J30:K30"/>
    <mergeCell ref="L30:M30"/>
    <mergeCell ref="O29:Q33"/>
    <mergeCell ref="B47:E47"/>
    <mergeCell ref="B48:E48"/>
    <mergeCell ref="F48:G48"/>
    <mergeCell ref="H48:I48"/>
    <mergeCell ref="J48:K48"/>
    <mergeCell ref="L48:M48"/>
    <mergeCell ref="N48:O48"/>
    <mergeCell ref="F49:G49"/>
    <mergeCell ref="H49:I49"/>
    <mergeCell ref="J49:K49"/>
    <mergeCell ref="L49:M49"/>
    <mergeCell ref="N49:O49"/>
    <mergeCell ref="P49:Q49"/>
    <mergeCell ref="B51:H5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38"/>
    <col customWidth="1" min="9" max="9" width="20.25"/>
    <col customWidth="1" min="10" max="10" width="19.63"/>
    <col customWidth="1" min="11" max="11" width="21.25"/>
    <col customWidth="1" min="15" max="15" width="19.5"/>
    <col customWidth="1" min="16" max="16" width="22.5"/>
    <col customWidth="1" min="19" max="19" width="20.88"/>
    <col customWidth="1" min="20" max="20" width="24.13"/>
    <col customWidth="1" min="21" max="21" width="23.38"/>
  </cols>
  <sheetData>
    <row r="1">
      <c r="B1" s="194"/>
      <c r="C1" s="195" t="s">
        <v>171</v>
      </c>
      <c r="D1" s="195" t="s">
        <v>172</v>
      </c>
      <c r="E1" s="195" t="s">
        <v>173</v>
      </c>
    </row>
    <row r="2">
      <c r="B2" s="196" t="s">
        <v>174</v>
      </c>
      <c r="C2" s="197">
        <v>2020.0</v>
      </c>
      <c r="D2" s="197">
        <v>2021.0</v>
      </c>
      <c r="E2" s="197">
        <v>2022.0</v>
      </c>
      <c r="G2" s="198"/>
      <c r="I2" s="199">
        <v>2020.0</v>
      </c>
      <c r="J2" s="5"/>
      <c r="K2" s="5"/>
      <c r="L2" s="6"/>
    </row>
    <row r="3">
      <c r="B3" s="200"/>
      <c r="C3" s="201"/>
      <c r="D3" s="201"/>
      <c r="E3" s="201"/>
      <c r="G3" s="202"/>
      <c r="I3" s="203"/>
      <c r="J3" s="203"/>
      <c r="K3" s="203"/>
      <c r="L3" s="203"/>
    </row>
    <row r="4">
      <c r="B4" s="196" t="s">
        <v>175</v>
      </c>
      <c r="C4" s="196"/>
      <c r="D4" s="196"/>
      <c r="E4" s="196"/>
      <c r="G4" s="202"/>
      <c r="I4" s="203"/>
      <c r="J4" s="203"/>
      <c r="K4" s="203"/>
      <c r="L4" s="203"/>
    </row>
    <row r="5">
      <c r="B5" s="204" t="s">
        <v>152</v>
      </c>
      <c r="C5" s="204">
        <v>-4421.0</v>
      </c>
      <c r="D5" s="204">
        <v>-10897.0</v>
      </c>
      <c r="E5" s="204">
        <v>-61972.0</v>
      </c>
      <c r="G5" s="205"/>
      <c r="I5" s="204" t="s">
        <v>176</v>
      </c>
      <c r="J5" s="204" t="s">
        <v>177</v>
      </c>
      <c r="K5" s="204" t="s">
        <v>178</v>
      </c>
      <c r="L5" s="204" t="s">
        <v>179</v>
      </c>
      <c r="M5" s="206" t="s">
        <v>180</v>
      </c>
      <c r="N5" s="22"/>
      <c r="O5" s="22"/>
      <c r="P5" s="22"/>
      <c r="Q5" s="22"/>
      <c r="R5" s="22"/>
      <c r="S5" s="22"/>
      <c r="T5" s="23"/>
    </row>
    <row r="6">
      <c r="B6" s="204" t="s">
        <v>181</v>
      </c>
      <c r="C6" s="204">
        <f t="shared" ref="C6:E6" si="1">SUM(C7:C25)</f>
        <v>7728</v>
      </c>
      <c r="D6" s="204">
        <f t="shared" si="1"/>
        <v>7332</v>
      </c>
      <c r="E6" s="204">
        <f t="shared" si="1"/>
        <v>41821</v>
      </c>
      <c r="I6" s="207">
        <f>C26</f>
        <v>3307</v>
      </c>
      <c r="J6" s="207">
        <f>C40</f>
        <v>-4557</v>
      </c>
      <c r="K6" s="207">
        <f>C46</f>
        <v>64693</v>
      </c>
      <c r="L6" s="208" t="s">
        <v>182</v>
      </c>
      <c r="M6" s="24"/>
      <c r="T6" s="25"/>
    </row>
    <row r="7">
      <c r="B7" s="209" t="s">
        <v>132</v>
      </c>
      <c r="C7" s="209">
        <v>1252.0</v>
      </c>
      <c r="D7" s="209">
        <v>2562.0</v>
      </c>
      <c r="E7" s="209">
        <v>3058.0</v>
      </c>
      <c r="I7" s="210" t="s">
        <v>183</v>
      </c>
      <c r="J7" s="210" t="s">
        <v>184</v>
      </c>
      <c r="K7" s="210" t="s">
        <v>183</v>
      </c>
      <c r="L7" s="203"/>
      <c r="M7" s="24"/>
      <c r="T7" s="25"/>
    </row>
    <row r="8">
      <c r="B8" s="209" t="s">
        <v>185</v>
      </c>
      <c r="C8" s="209">
        <v>48.0</v>
      </c>
      <c r="D8" s="209">
        <v>-19.0</v>
      </c>
      <c r="E8" s="209">
        <v>0.0</v>
      </c>
      <c r="I8" s="203"/>
      <c r="J8" s="204" t="s">
        <v>186</v>
      </c>
      <c r="K8" s="204" t="s">
        <v>187</v>
      </c>
      <c r="L8" s="204" t="s">
        <v>179</v>
      </c>
      <c r="M8" s="26"/>
      <c r="N8" s="27"/>
      <c r="O8" s="27"/>
      <c r="P8" s="27"/>
      <c r="Q8" s="27"/>
      <c r="R8" s="27"/>
      <c r="S8" s="27"/>
      <c r="T8" s="28"/>
    </row>
    <row r="9">
      <c r="B9" s="209" t="s">
        <v>188</v>
      </c>
      <c r="C9" s="209">
        <v>23.0</v>
      </c>
      <c r="D9" s="209">
        <v>34.0</v>
      </c>
      <c r="E9" s="209">
        <v>47.0</v>
      </c>
      <c r="I9" s="203"/>
      <c r="J9" s="207">
        <f>C5</f>
        <v>-4421</v>
      </c>
      <c r="K9" s="211">
        <f>C48</f>
        <v>63443</v>
      </c>
      <c r="L9" s="208" t="s">
        <v>182</v>
      </c>
    </row>
    <row r="10">
      <c r="B10" s="209" t="s">
        <v>189</v>
      </c>
      <c r="C10" s="209">
        <v>-77.0</v>
      </c>
      <c r="D10" s="209">
        <v>-2.0</v>
      </c>
      <c r="E10" s="209">
        <v>-292.0</v>
      </c>
      <c r="I10" s="203"/>
      <c r="J10" s="210" t="s">
        <v>184</v>
      </c>
      <c r="K10" s="210" t="s">
        <v>183</v>
      </c>
      <c r="L10" s="203"/>
    </row>
    <row r="11">
      <c r="B11" s="209" t="s">
        <v>190</v>
      </c>
      <c r="C11" s="209">
        <v>4996.0</v>
      </c>
      <c r="D11" s="209">
        <v>18702.0</v>
      </c>
      <c r="E11" s="209">
        <v>4.0</v>
      </c>
      <c r="I11" s="203"/>
      <c r="J11" s="203"/>
      <c r="K11" s="203"/>
      <c r="L11" s="203"/>
    </row>
    <row r="12">
      <c r="B12" s="209" t="s">
        <v>191</v>
      </c>
      <c r="C12" s="209"/>
      <c r="D12" s="209"/>
      <c r="E12" s="209">
        <v>16920.0</v>
      </c>
      <c r="I12" s="199">
        <v>2021.0</v>
      </c>
      <c r="J12" s="5"/>
      <c r="K12" s="5"/>
      <c r="L12" s="6"/>
    </row>
    <row r="13">
      <c r="B13" s="209" t="s">
        <v>192</v>
      </c>
      <c r="C13" s="209"/>
      <c r="D13" s="209"/>
      <c r="E13" s="209">
        <v>1.0</v>
      </c>
      <c r="I13" s="203"/>
      <c r="J13" s="203"/>
      <c r="K13" s="203"/>
      <c r="L13" s="203"/>
    </row>
    <row r="14">
      <c r="B14" s="209" t="s">
        <v>193</v>
      </c>
      <c r="C14" s="209"/>
      <c r="D14" s="209"/>
      <c r="E14" s="209">
        <v>28882.0</v>
      </c>
      <c r="I14" s="203"/>
      <c r="J14" s="203"/>
      <c r="K14" s="203"/>
      <c r="L14" s="203"/>
    </row>
    <row r="15">
      <c r="B15" s="209" t="s">
        <v>194</v>
      </c>
      <c r="C15" s="209"/>
      <c r="D15" s="209"/>
      <c r="E15" s="209">
        <v>155.0</v>
      </c>
      <c r="I15" s="204" t="s">
        <v>176</v>
      </c>
      <c r="J15" s="204" t="s">
        <v>177</v>
      </c>
      <c r="K15" s="204" t="s">
        <v>178</v>
      </c>
      <c r="L15" s="204" t="s">
        <v>179</v>
      </c>
      <c r="M15" s="206" t="s">
        <v>195</v>
      </c>
      <c r="N15" s="22"/>
      <c r="O15" s="22"/>
      <c r="P15" s="22"/>
      <c r="Q15" s="22"/>
      <c r="R15" s="22"/>
      <c r="S15" s="22"/>
      <c r="T15" s="23"/>
    </row>
    <row r="16">
      <c r="B16" s="209" t="s">
        <v>196</v>
      </c>
      <c r="C16" s="209">
        <v>0.0</v>
      </c>
      <c r="D16" s="209">
        <v>0.0</v>
      </c>
      <c r="E16" s="209"/>
      <c r="I16" s="207">
        <f>D26</f>
        <v>-3565</v>
      </c>
      <c r="J16" s="207">
        <f>D40</f>
        <v>-19774</v>
      </c>
      <c r="K16" s="207">
        <f>D46</f>
        <v>-649</v>
      </c>
      <c r="L16" s="208" t="s">
        <v>197</v>
      </c>
      <c r="M16" s="24"/>
      <c r="T16" s="25"/>
    </row>
    <row r="17">
      <c r="B17" s="209" t="s">
        <v>198</v>
      </c>
      <c r="C17" s="209">
        <v>0.0</v>
      </c>
      <c r="D17" s="209">
        <v>0.0</v>
      </c>
      <c r="E17" s="209">
        <v>0.0</v>
      </c>
      <c r="I17" s="210" t="s">
        <v>184</v>
      </c>
      <c r="J17" s="210" t="s">
        <v>184</v>
      </c>
      <c r="K17" s="210" t="s">
        <v>184</v>
      </c>
      <c r="L17" s="203"/>
      <c r="M17" s="24"/>
      <c r="T17" s="25"/>
    </row>
    <row r="18">
      <c r="B18" s="209" t="s">
        <v>199</v>
      </c>
      <c r="C18" s="209">
        <v>0.0</v>
      </c>
      <c r="D18" s="209">
        <v>0.0</v>
      </c>
      <c r="E18" s="209">
        <v>0.0</v>
      </c>
      <c r="I18" s="212"/>
      <c r="J18" s="213" t="s">
        <v>186</v>
      </c>
      <c r="K18" s="213" t="s">
        <v>187</v>
      </c>
      <c r="L18" s="204" t="s">
        <v>179</v>
      </c>
      <c r="M18" s="26"/>
      <c r="N18" s="27"/>
      <c r="O18" s="27"/>
      <c r="P18" s="27"/>
      <c r="Q18" s="27"/>
      <c r="R18" s="27"/>
      <c r="S18" s="27"/>
      <c r="T18" s="28"/>
    </row>
    <row r="19">
      <c r="B19" s="209" t="s">
        <v>200</v>
      </c>
      <c r="C19" s="209">
        <v>-2862.0</v>
      </c>
      <c r="D19" s="209">
        <v>-9434.0</v>
      </c>
      <c r="E19" s="209">
        <v>-12497.0</v>
      </c>
      <c r="I19" s="212"/>
      <c r="J19" s="207">
        <f>D5</f>
        <v>-10897</v>
      </c>
      <c r="K19" s="207">
        <f>D48</f>
        <v>-23988</v>
      </c>
      <c r="L19" s="208" t="s">
        <v>201</v>
      </c>
    </row>
    <row r="20">
      <c r="B20" s="209" t="s">
        <v>202</v>
      </c>
      <c r="C20" s="209">
        <v>0.0</v>
      </c>
      <c r="D20" s="209">
        <v>0.0</v>
      </c>
      <c r="E20" s="203"/>
      <c r="I20" s="203"/>
      <c r="J20" s="210" t="s">
        <v>184</v>
      </c>
      <c r="K20" s="210" t="s">
        <v>184</v>
      </c>
      <c r="L20" s="203"/>
    </row>
    <row r="21">
      <c r="B21" s="209" t="s">
        <v>203</v>
      </c>
      <c r="C21" s="209">
        <v>737.0</v>
      </c>
      <c r="D21" s="209">
        <v>-185.0</v>
      </c>
      <c r="E21" s="209">
        <v>638.0</v>
      </c>
      <c r="I21" s="203"/>
      <c r="J21" s="203"/>
      <c r="K21" s="203"/>
      <c r="L21" s="203"/>
    </row>
    <row r="22">
      <c r="B22" s="209" t="s">
        <v>204</v>
      </c>
      <c r="C22" s="209">
        <v>1048.0</v>
      </c>
      <c r="D22" s="209">
        <v>625.0</v>
      </c>
      <c r="E22" s="209">
        <v>2260.0</v>
      </c>
      <c r="I22" s="199">
        <v>2022.0</v>
      </c>
      <c r="J22" s="5"/>
      <c r="K22" s="5"/>
      <c r="L22" s="6"/>
    </row>
    <row r="23">
      <c r="B23" s="209" t="s">
        <v>205</v>
      </c>
      <c r="C23" s="209">
        <v>2614.0</v>
      </c>
      <c r="D23" s="209">
        <v>-4783.0</v>
      </c>
      <c r="E23" s="209">
        <v>2851.0</v>
      </c>
      <c r="I23" s="203"/>
      <c r="J23" s="203"/>
      <c r="K23" s="203"/>
      <c r="L23" s="203"/>
    </row>
    <row r="24">
      <c r="B24" s="209" t="s">
        <v>206</v>
      </c>
      <c r="C24" s="203"/>
      <c r="D24" s="209">
        <v>-97.0</v>
      </c>
      <c r="E24" s="209">
        <v>-605.0</v>
      </c>
      <c r="F24" s="61"/>
      <c r="I24" s="203"/>
      <c r="J24" s="203"/>
      <c r="K24" s="203"/>
      <c r="L24" s="203"/>
    </row>
    <row r="25">
      <c r="B25" s="209" t="s">
        <v>207</v>
      </c>
      <c r="C25" s="209">
        <v>-51.0</v>
      </c>
      <c r="D25" s="209">
        <v>-71.0</v>
      </c>
      <c r="E25" s="209">
        <v>399.0</v>
      </c>
      <c r="I25" s="204" t="s">
        <v>176</v>
      </c>
      <c r="J25" s="204" t="s">
        <v>177</v>
      </c>
      <c r="K25" s="204" t="s">
        <v>178</v>
      </c>
      <c r="L25" s="204" t="s">
        <v>179</v>
      </c>
      <c r="M25" s="214" t="s">
        <v>208</v>
      </c>
      <c r="N25" s="22"/>
      <c r="O25" s="22"/>
      <c r="P25" s="22"/>
      <c r="Q25" s="22"/>
      <c r="R25" s="22"/>
      <c r="S25" s="22"/>
      <c r="T25" s="23"/>
    </row>
    <row r="26">
      <c r="B26" s="204" t="s">
        <v>209</v>
      </c>
      <c r="C26" s="204">
        <f t="shared" ref="C26:E26" si="2">C6+C5</f>
        <v>3307</v>
      </c>
      <c r="D26" s="204">
        <f t="shared" si="2"/>
        <v>-3565</v>
      </c>
      <c r="E26" s="204">
        <f t="shared" si="2"/>
        <v>-20151</v>
      </c>
      <c r="I26" s="207">
        <f>E26</f>
        <v>-20151</v>
      </c>
      <c r="J26" s="207">
        <f>E40</f>
        <v>-17856</v>
      </c>
      <c r="K26" s="207">
        <f>E46</f>
        <v>37420</v>
      </c>
      <c r="L26" s="208" t="s">
        <v>210</v>
      </c>
      <c r="M26" s="24"/>
      <c r="T26" s="25"/>
    </row>
    <row r="27">
      <c r="A27" s="96"/>
      <c r="I27" s="210" t="s">
        <v>184</v>
      </c>
      <c r="J27" s="210" t="s">
        <v>184</v>
      </c>
      <c r="K27" s="215" t="s">
        <v>183</v>
      </c>
      <c r="L27" s="203"/>
      <c r="M27" s="24"/>
      <c r="T27" s="25"/>
    </row>
    <row r="28">
      <c r="A28" s="96"/>
      <c r="B28" s="216" t="s">
        <v>211</v>
      </c>
      <c r="C28" s="216"/>
      <c r="D28" s="216"/>
      <c r="E28" s="216"/>
      <c r="G28" s="61" t="s">
        <v>212</v>
      </c>
      <c r="I28" s="203"/>
      <c r="J28" s="204" t="s">
        <v>186</v>
      </c>
      <c r="K28" s="204" t="s">
        <v>187</v>
      </c>
      <c r="L28" s="204" t="s">
        <v>179</v>
      </c>
      <c r="M28" s="26"/>
      <c r="N28" s="27"/>
      <c r="O28" s="27"/>
      <c r="P28" s="27"/>
      <c r="Q28" s="27"/>
      <c r="R28" s="27"/>
      <c r="S28" s="27"/>
      <c r="T28" s="28"/>
    </row>
    <row r="29">
      <c r="B29" s="209" t="s">
        <v>213</v>
      </c>
      <c r="C29" s="209">
        <v>4635.0</v>
      </c>
      <c r="D29" s="209">
        <v>7962.0</v>
      </c>
      <c r="E29" s="209">
        <v>11478.0</v>
      </c>
      <c r="I29" s="203"/>
      <c r="J29" s="207">
        <f>E5</f>
        <v>-61972</v>
      </c>
      <c r="K29" s="207">
        <f>E48</f>
        <v>-587</v>
      </c>
      <c r="L29" s="208" t="s">
        <v>182</v>
      </c>
    </row>
    <row r="30">
      <c r="B30" s="209" t="s">
        <v>214</v>
      </c>
      <c r="C30" s="209">
        <v>226.0</v>
      </c>
      <c r="D30" s="209">
        <v>267.0</v>
      </c>
      <c r="E30" s="209">
        <v>232.0</v>
      </c>
      <c r="I30" s="203"/>
      <c r="J30" s="210" t="s">
        <v>184</v>
      </c>
      <c r="K30" s="210" t="s">
        <v>183</v>
      </c>
      <c r="L30" s="203"/>
    </row>
    <row r="31">
      <c r="B31" s="209" t="s">
        <v>215</v>
      </c>
      <c r="C31" s="209">
        <v>0.0</v>
      </c>
      <c r="D31" s="209">
        <v>0.0</v>
      </c>
      <c r="E31" s="209">
        <v>0.0</v>
      </c>
    </row>
    <row r="32">
      <c r="B32" s="209" t="s">
        <v>216</v>
      </c>
      <c r="C32" s="209">
        <v>3784.0</v>
      </c>
      <c r="D32" s="209">
        <v>11618.0</v>
      </c>
      <c r="E32" s="209">
        <v>6470.0</v>
      </c>
      <c r="I32" s="217"/>
      <c r="J32" s="218">
        <v>2020.0</v>
      </c>
      <c r="K32" s="213">
        <v>2021.0</v>
      </c>
      <c r="L32" s="213">
        <v>2022.0</v>
      </c>
    </row>
    <row r="33">
      <c r="B33" s="209" t="s">
        <v>217</v>
      </c>
      <c r="C33" s="209">
        <v>4011.0</v>
      </c>
      <c r="D33" s="209"/>
      <c r="E33" s="209"/>
      <c r="I33" s="204" t="s">
        <v>218</v>
      </c>
      <c r="J33" s="219">
        <f>I6</f>
        <v>3307</v>
      </c>
      <c r="K33" s="220">
        <f>I16</f>
        <v>-3565</v>
      </c>
      <c r="L33" s="220">
        <f>I26</f>
        <v>-20151</v>
      </c>
    </row>
    <row r="34">
      <c r="B34" s="209" t="s">
        <v>219</v>
      </c>
      <c r="C34" s="209"/>
      <c r="D34" s="209">
        <v>25000.0</v>
      </c>
      <c r="E34" s="209">
        <v>30090.0</v>
      </c>
      <c r="I34" s="204" t="s">
        <v>220</v>
      </c>
      <c r="J34" s="220">
        <f>J6</f>
        <v>-4557</v>
      </c>
      <c r="K34" s="219">
        <f>J16</f>
        <v>-19774</v>
      </c>
      <c r="L34" s="220">
        <f>J26</f>
        <v>-17856</v>
      </c>
    </row>
    <row r="35">
      <c r="B35" s="209" t="s">
        <v>221</v>
      </c>
      <c r="C35" s="209"/>
      <c r="D35" s="209">
        <v>25000.0</v>
      </c>
      <c r="E35" s="209">
        <v>30090.0</v>
      </c>
      <c r="I35" s="204" t="s">
        <v>222</v>
      </c>
      <c r="J35" s="219">
        <f>K6</f>
        <v>64693</v>
      </c>
      <c r="K35" s="220">
        <f>K16</f>
        <v>-649</v>
      </c>
      <c r="L35" s="220">
        <f>K26</f>
        <v>37420</v>
      </c>
    </row>
    <row r="36">
      <c r="B36" s="209" t="s">
        <v>223</v>
      </c>
      <c r="C36" s="209"/>
      <c r="D36" s="209">
        <v>71.0</v>
      </c>
      <c r="E36" s="209">
        <v>32.0</v>
      </c>
      <c r="I36" s="221"/>
      <c r="J36" s="5"/>
      <c r="K36" s="5"/>
      <c r="L36" s="6"/>
    </row>
    <row r="37">
      <c r="B37" s="209" t="s">
        <v>224</v>
      </c>
      <c r="C37" s="209">
        <v>77.0</v>
      </c>
      <c r="D37" s="209">
        <v>2.0</v>
      </c>
      <c r="E37" s="209">
        <v>292.0</v>
      </c>
      <c r="I37" s="204" t="s">
        <v>186</v>
      </c>
      <c r="J37" s="220">
        <f>J9</f>
        <v>-4421</v>
      </c>
      <c r="K37" s="220">
        <f>J19</f>
        <v>-10897</v>
      </c>
      <c r="L37" s="220">
        <f>J29</f>
        <v>-61972</v>
      </c>
    </row>
    <row r="38">
      <c r="B38" s="204" t="s">
        <v>225</v>
      </c>
      <c r="C38" s="222">
        <f>C31+C33+C37</f>
        <v>4088</v>
      </c>
      <c r="D38" s="222">
        <f t="shared" ref="D38:E38" si="3">SUM(D31,D34,D36,D37)</f>
        <v>25073</v>
      </c>
      <c r="E38" s="222">
        <f t="shared" si="3"/>
        <v>30414</v>
      </c>
      <c r="I38" s="204" t="s">
        <v>226</v>
      </c>
      <c r="J38" s="220">
        <f>K9</f>
        <v>63443</v>
      </c>
      <c r="K38" s="220">
        <f>K19</f>
        <v>-23988</v>
      </c>
      <c r="L38" s="220">
        <f>K29</f>
        <v>-587</v>
      </c>
    </row>
    <row r="39">
      <c r="B39" s="204" t="s">
        <v>227</v>
      </c>
      <c r="C39" s="222">
        <f>C29+C30+C32</f>
        <v>8645</v>
      </c>
      <c r="D39" s="222">
        <f t="shared" ref="D39:E39" si="4">SUM(D29,D30,D32,D35)</f>
        <v>44847</v>
      </c>
      <c r="E39" s="222">
        <f t="shared" si="4"/>
        <v>48270</v>
      </c>
    </row>
    <row r="40">
      <c r="B40" s="223" t="s">
        <v>228</v>
      </c>
      <c r="C40" s="223">
        <f t="shared" ref="C40:E40" si="5">C38-C39</f>
        <v>-4557</v>
      </c>
      <c r="D40" s="223">
        <f t="shared" si="5"/>
        <v>-19774</v>
      </c>
      <c r="E40" s="223">
        <f t="shared" si="5"/>
        <v>-17856</v>
      </c>
    </row>
    <row r="41">
      <c r="B41" s="224"/>
      <c r="I41" s="225"/>
    </row>
    <row r="42">
      <c r="B42" s="216" t="s">
        <v>229</v>
      </c>
      <c r="C42" s="216"/>
      <c r="D42" s="216"/>
      <c r="E42" s="216"/>
      <c r="I42" s="226"/>
    </row>
    <row r="43">
      <c r="B43" s="209" t="s">
        <v>230</v>
      </c>
      <c r="C43" s="209">
        <v>65171.0</v>
      </c>
      <c r="D43" s="209">
        <v>0.0</v>
      </c>
      <c r="E43" s="209">
        <v>38134.0</v>
      </c>
      <c r="I43" s="225"/>
    </row>
    <row r="44">
      <c r="B44" s="209" t="s">
        <v>231</v>
      </c>
      <c r="C44" s="209">
        <v>455.0</v>
      </c>
      <c r="D44" s="209">
        <v>615.0</v>
      </c>
      <c r="E44" s="209">
        <v>667.0</v>
      </c>
      <c r="I44" s="225"/>
    </row>
    <row r="45">
      <c r="B45" s="209" t="s">
        <v>232</v>
      </c>
      <c r="C45" s="209">
        <v>23.0</v>
      </c>
      <c r="D45" s="209">
        <v>34.0</v>
      </c>
      <c r="E45" s="209">
        <v>47.0</v>
      </c>
      <c r="I45" s="226"/>
    </row>
    <row r="46">
      <c r="B46" s="204" t="s">
        <v>233</v>
      </c>
      <c r="C46" s="204">
        <f t="shared" ref="C46:E46" si="6">C43-C44-C45</f>
        <v>64693</v>
      </c>
      <c r="D46" s="204">
        <f t="shared" si="6"/>
        <v>-649</v>
      </c>
      <c r="E46" s="204">
        <f t="shared" si="6"/>
        <v>37420</v>
      </c>
    </row>
    <row r="48">
      <c r="B48" s="227" t="s">
        <v>234</v>
      </c>
      <c r="C48" s="228">
        <f t="shared" ref="C48:E48" si="7">SUM(C46,C40,C26)</f>
        <v>63443</v>
      </c>
      <c r="D48" s="228">
        <f t="shared" si="7"/>
        <v>-23988</v>
      </c>
      <c r="E48" s="228">
        <f t="shared" si="7"/>
        <v>-587</v>
      </c>
    </row>
    <row r="49">
      <c r="B49" s="204" t="s">
        <v>235</v>
      </c>
      <c r="C49" s="204">
        <v>8230.0</v>
      </c>
      <c r="D49" s="204">
        <v>71625.0</v>
      </c>
      <c r="E49" s="204">
        <v>47655.0</v>
      </c>
    </row>
    <row r="50">
      <c r="B50" s="209" t="s">
        <v>236</v>
      </c>
      <c r="C50" s="209">
        <v>-48.0</v>
      </c>
      <c r="D50" s="209">
        <v>19.0</v>
      </c>
      <c r="E50" s="209">
        <v>0.0</v>
      </c>
    </row>
    <row r="51">
      <c r="B51" s="209" t="s">
        <v>234</v>
      </c>
      <c r="C51" s="209">
        <v>63395.0</v>
      </c>
      <c r="D51" s="209">
        <v>-23970.0</v>
      </c>
      <c r="E51" s="209">
        <v>4619.0</v>
      </c>
    </row>
    <row r="52">
      <c r="B52" s="204" t="s">
        <v>237</v>
      </c>
      <c r="C52" s="204">
        <f t="shared" ref="C52:E52" si="8">SUM(C48:C50)</f>
        <v>71625</v>
      </c>
      <c r="D52" s="204">
        <f t="shared" si="8"/>
        <v>47656</v>
      </c>
      <c r="E52" s="204">
        <f t="shared" si="8"/>
        <v>47068</v>
      </c>
    </row>
  </sheetData>
  <mergeCells count="7">
    <mergeCell ref="I2:L2"/>
    <mergeCell ref="M5:T8"/>
    <mergeCell ref="I12:L12"/>
    <mergeCell ref="M15:T18"/>
    <mergeCell ref="I22:L22"/>
    <mergeCell ref="M25:T28"/>
    <mergeCell ref="I36:L36"/>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D2" s="31" t="s">
        <v>238</v>
      </c>
      <c r="E2" s="32"/>
      <c r="F2" s="32"/>
      <c r="G2" s="32"/>
      <c r="H2" s="32"/>
      <c r="I2" s="32"/>
      <c r="J2" s="33"/>
    </row>
    <row r="4">
      <c r="A4" s="229"/>
      <c r="B4" s="229" t="s">
        <v>56</v>
      </c>
      <c r="G4" s="25"/>
      <c r="H4" s="229">
        <v>2020.0</v>
      </c>
      <c r="I4" s="25"/>
      <c r="J4" s="230">
        <v>2021.0</v>
      </c>
      <c r="K4" s="25"/>
      <c r="L4" s="231">
        <v>2022.0</v>
      </c>
      <c r="M4" s="25"/>
      <c r="N4" s="231" t="s">
        <v>239</v>
      </c>
      <c r="O4" s="25"/>
      <c r="Q4" s="232" t="s">
        <v>240</v>
      </c>
    </row>
    <row r="5">
      <c r="A5" s="233" t="s">
        <v>241</v>
      </c>
      <c r="B5" s="137" t="s">
        <v>242</v>
      </c>
      <c r="C5" s="5"/>
      <c r="D5" s="5"/>
      <c r="E5" s="5"/>
      <c r="F5" s="5"/>
      <c r="G5" s="6"/>
      <c r="H5" s="234">
        <f>('Rachunek zysków i strat'!F7-'Rachunek zysków i strat'!F8)/((Bilans!Z7+Bilans!E24)/2)</f>
        <v>0.008730583824</v>
      </c>
      <c r="I5" s="6"/>
      <c r="J5" s="234">
        <f>('Rachunek zysków i strat'!H7-'Rachunek zysków i strat'!H8)/((Bilans!E24+Bilans!G24)/2)</f>
        <v>0.04092065487</v>
      </c>
      <c r="K5" s="6"/>
      <c r="L5" s="234">
        <f>('Rachunek zysków i strat'!J7-'Rachunek zysków i strat'!J8)/((Bilans!G24+Bilans!I24)/2)</f>
        <v>-0.4679110202</v>
      </c>
      <c r="M5" s="6"/>
      <c r="N5" s="234">
        <v>19.35</v>
      </c>
      <c r="O5" s="6"/>
      <c r="Q5" s="235" t="s">
        <v>243</v>
      </c>
      <c r="R5" s="22"/>
      <c r="S5" s="22"/>
      <c r="T5" s="22"/>
      <c r="U5" s="22"/>
      <c r="V5" s="23"/>
    </row>
    <row r="6">
      <c r="A6" s="24"/>
      <c r="B6" s="236" t="s">
        <v>244</v>
      </c>
      <c r="C6" s="5"/>
      <c r="D6" s="5"/>
      <c r="E6" s="5"/>
      <c r="F6" s="5"/>
      <c r="G6" s="6"/>
      <c r="H6" s="237">
        <f>'Rachunek zysków i strat'!F27/((Bilans!E57+Bilans!Z8)/2)</f>
        <v>-0.08670752635</v>
      </c>
      <c r="I6" s="6"/>
      <c r="J6" s="237">
        <f>'Rachunek zysków i strat'!H27/((Bilans!G57+Bilans!E57)/2)</f>
        <v>-0.1435922439</v>
      </c>
      <c r="K6" s="6"/>
      <c r="L6" s="237">
        <f>'Rachunek zysków i strat'!J27/((Bilans!I57+Bilans!G57)/2)</f>
        <v>-0.8493794673</v>
      </c>
      <c r="M6" s="6"/>
      <c r="N6" s="234">
        <v>31.32</v>
      </c>
      <c r="O6" s="6"/>
      <c r="Q6" s="24"/>
      <c r="V6" s="25"/>
    </row>
    <row r="7">
      <c r="A7" s="24"/>
      <c r="B7" s="103" t="s">
        <v>245</v>
      </c>
      <c r="C7" s="5"/>
      <c r="D7" s="5"/>
      <c r="E7" s="5"/>
      <c r="F7" s="5"/>
      <c r="G7" s="6"/>
      <c r="H7" s="237">
        <f>'Rachunek zysków i strat'!F27/('Rachunek zysków i strat'!F7+'Rachunek zysków i strat'!F16+'Rachunek zysków i strat'!F20)</f>
        <v>-0.3403649242</v>
      </c>
      <c r="I7" s="6"/>
      <c r="J7" s="237">
        <f>'Rachunek zysków i strat'!H27/('Rachunek zysków i strat'!H7+'Rachunek zysków i strat'!H16+'Rachunek zysków i strat'!H20)</f>
        <v>-0.4560559136</v>
      </c>
      <c r="K7" s="6"/>
      <c r="L7" s="237">
        <f>'Rachunek zysków i strat'!J27/('Rachunek zysków i strat'!J7+'Rachunek zysków i strat'!J16+'Rachunek zysków i strat'!J20)</f>
        <v>-2.386016248</v>
      </c>
      <c r="M7" s="6"/>
      <c r="N7" s="234">
        <v>9.56</v>
      </c>
      <c r="O7" s="6"/>
      <c r="Q7" s="24"/>
      <c r="V7" s="25"/>
    </row>
    <row r="8">
      <c r="A8" s="24"/>
      <c r="B8" s="103" t="s">
        <v>246</v>
      </c>
      <c r="C8" s="5"/>
      <c r="D8" s="5"/>
      <c r="E8" s="5"/>
      <c r="F8" s="5"/>
      <c r="G8" s="6"/>
      <c r="H8" s="237">
        <f>'Rachunek zysków i strat'!F15/'Rachunek zysków i strat'!F7</f>
        <v>0.02464311349</v>
      </c>
      <c r="I8" s="6"/>
      <c r="J8" s="237">
        <f>'Rachunek zysków i strat'!H15/'Rachunek zysków i strat'!H7</f>
        <v>0.1481192581</v>
      </c>
      <c r="K8" s="6"/>
      <c r="L8" s="237">
        <f>'Rachunek zysków i strat'!J15/'Rachunek zysków i strat'!J7</f>
        <v>-1.59057986</v>
      </c>
      <c r="M8" s="6"/>
      <c r="N8" s="234">
        <v>9.09</v>
      </c>
      <c r="O8" s="6"/>
      <c r="Q8" s="24"/>
      <c r="V8" s="25"/>
    </row>
    <row r="9">
      <c r="A9" s="26"/>
      <c r="B9" s="137" t="s">
        <v>247</v>
      </c>
      <c r="C9" s="5"/>
      <c r="D9" s="5"/>
      <c r="E9" s="5"/>
      <c r="F9" s="5"/>
      <c r="G9" s="6"/>
      <c r="H9" s="234">
        <f>('Rachunek zysków i strat'!F19+'Rachunek zysków i strat'!F12)/('Rachunek zysków i strat'!F7+'Rachunek zysków i strat'!F16)</f>
        <v>-0.2201097457</v>
      </c>
      <c r="I9" s="6"/>
      <c r="J9" s="234">
        <f>('Rachunek zysków i strat'!H19+'Rachunek zysków i strat'!H12)/('Rachunek zysków i strat'!H7+'Rachunek zysków i strat'!H16)</f>
        <v>0.2658625669</v>
      </c>
      <c r="K9" s="6"/>
      <c r="L9" s="234">
        <f>('Rachunek zysków i strat'!J19+'Rachunek zysków i strat'!J12)/('Rachunek zysków i strat'!J7+'Rachunek zysków i strat'!J16)</f>
        <v>-1.652237711</v>
      </c>
      <c r="M9" s="6"/>
      <c r="N9" s="234">
        <v>12.69</v>
      </c>
      <c r="O9" s="6"/>
      <c r="Q9" s="26"/>
      <c r="R9" s="27"/>
      <c r="S9" s="27"/>
      <c r="T9" s="27"/>
      <c r="U9" s="27"/>
      <c r="V9" s="28"/>
    </row>
    <row r="10">
      <c r="A10" s="233" t="s">
        <v>248</v>
      </c>
      <c r="B10" s="137" t="s">
        <v>249</v>
      </c>
      <c r="C10" s="5"/>
      <c r="D10" s="5"/>
      <c r="E10" s="5"/>
      <c r="F10" s="5"/>
      <c r="G10" s="6"/>
      <c r="H10" s="234">
        <f>Bilans!E15/Bilans!E68</f>
        <v>11.02480159</v>
      </c>
      <c r="I10" s="6"/>
      <c r="J10" s="234">
        <f>Bilans!G15/Bilans!G68</f>
        <v>7.563996807</v>
      </c>
      <c r="K10" s="6"/>
      <c r="L10" s="234">
        <f>Bilans!I15/Bilans!I68</f>
        <v>6.377240143</v>
      </c>
      <c r="M10" s="6"/>
      <c r="N10" s="234">
        <v>4.02</v>
      </c>
      <c r="O10" s="6"/>
      <c r="Q10" s="238" t="s">
        <v>250</v>
      </c>
      <c r="R10" s="22"/>
      <c r="S10" s="22"/>
      <c r="T10" s="22"/>
      <c r="U10" s="22"/>
      <c r="V10" s="23"/>
    </row>
    <row r="11">
      <c r="A11" s="24"/>
      <c r="B11" s="137" t="s">
        <v>251</v>
      </c>
      <c r="C11" s="5"/>
      <c r="D11" s="5"/>
      <c r="E11" s="5"/>
      <c r="F11" s="5"/>
      <c r="G11" s="6"/>
      <c r="H11" s="239">
        <f>(Bilans!E15-Bilans!E16-Bilans!E22)/Bilans!E68</f>
        <v>10.99659864</v>
      </c>
      <c r="I11" s="6"/>
      <c r="J11" s="239">
        <f>(Bilans!G15-Bilans!G16-Bilans!G22)/Bilans!G68</f>
        <v>7.457557211</v>
      </c>
      <c r="K11" s="6"/>
      <c r="L11" s="239">
        <f>(Bilans!I15-Bilans!I16-Bilans!I22)/Bilans!I68</f>
        <v>6.262146555</v>
      </c>
      <c r="M11" s="6"/>
      <c r="N11" s="234">
        <v>3.67</v>
      </c>
      <c r="O11" s="6"/>
      <c r="Q11" s="24"/>
      <c r="V11" s="25"/>
    </row>
    <row r="12">
      <c r="A12" s="24"/>
      <c r="B12" s="137" t="s">
        <v>252</v>
      </c>
      <c r="C12" s="5"/>
      <c r="D12" s="5"/>
      <c r="E12" s="5"/>
      <c r="F12" s="5"/>
      <c r="G12" s="6"/>
      <c r="H12" s="234">
        <f>Bilans!E23/Bilans!E68</f>
        <v>10.15079365</v>
      </c>
      <c r="I12" s="6"/>
      <c r="J12" s="234">
        <f>Bilans!G23/Bilans!G68</f>
        <v>6.340473656</v>
      </c>
      <c r="K12" s="6"/>
      <c r="L12" s="234">
        <f>Bilans!I23/Bilans!I68</f>
        <v>5.204500199</v>
      </c>
      <c r="M12" s="6"/>
      <c r="N12" s="234">
        <v>1.95</v>
      </c>
      <c r="O12" s="6"/>
      <c r="Q12" s="24"/>
      <c r="V12" s="25"/>
    </row>
    <row r="13">
      <c r="A13" s="24"/>
      <c r="B13" s="137" t="s">
        <v>253</v>
      </c>
      <c r="C13" s="5"/>
      <c r="D13" s="5"/>
      <c r="E13" s="5"/>
      <c r="F13" s="5"/>
      <c r="G13" s="6"/>
      <c r="H13" s="234">
        <f>Bilans!E23/Bilans!E68</f>
        <v>10.15079365</v>
      </c>
      <c r="I13" s="6"/>
      <c r="J13" s="234">
        <f>Bilans!G23/Bilans!G68</f>
        <v>6.340473656</v>
      </c>
      <c r="K13" s="6"/>
      <c r="L13" s="234">
        <f>Bilans!I23/Bilans!I68</f>
        <v>5.204500199</v>
      </c>
      <c r="M13" s="6"/>
      <c r="N13" s="234" t="s">
        <v>39</v>
      </c>
      <c r="O13" s="6"/>
      <c r="Q13" s="24"/>
      <c r="V13" s="25"/>
    </row>
    <row r="14">
      <c r="A14" s="24"/>
      <c r="B14" s="137" t="s">
        <v>254</v>
      </c>
      <c r="C14" s="5"/>
      <c r="D14" s="5"/>
      <c r="E14" s="5"/>
      <c r="F14" s="5"/>
      <c r="G14" s="6"/>
      <c r="H14" s="234">
        <f>'Przepływy pieniężne'!C26/('Przepływy pieniężne'!C39+Bilans!E64 +Bilans!E68 +'Przepływy pieniężne'!C10)</f>
        <v>0.2033450163</v>
      </c>
      <c r="I14" s="6"/>
      <c r="J14" s="234">
        <f>'Przepływy pieniężne'!D26/('Przepływy pieniężne'!D39+Bilans!G64 +Bilans!G68 +'Przepływy pieniężne'!D10)</f>
        <v>-0.06799801633</v>
      </c>
      <c r="K14" s="6"/>
      <c r="L14" s="234">
        <f>'Przepływy pieniężne'!E26/('Przepływy pieniężne'!E39+Bilans!I64 +Bilans!I68 +'Przepływy pieniężne'!E10)</f>
        <v>-0.3430891817</v>
      </c>
      <c r="M14" s="6"/>
      <c r="N14" s="234" t="s">
        <v>39</v>
      </c>
      <c r="O14" s="6"/>
      <c r="Q14" s="24"/>
      <c r="V14" s="25"/>
    </row>
    <row r="15">
      <c r="A15" s="24"/>
      <c r="B15" s="137" t="s">
        <v>255</v>
      </c>
      <c r="C15" s="5"/>
      <c r="D15" s="5"/>
      <c r="E15" s="5"/>
      <c r="F15" s="5"/>
      <c r="G15" s="6"/>
      <c r="H15" s="234">
        <f>'Przepływy pieniężne'!C26/(SUM(Bilans!E64,Bilans!E68))</f>
        <v>0.4297595841</v>
      </c>
      <c r="I15" s="6"/>
      <c r="J15" s="234">
        <f>'Przepływy pieniężne'!D26/(SUM(Bilans!G64,Bilans!G68))</f>
        <v>-0.4701305552</v>
      </c>
      <c r="K15" s="6"/>
      <c r="L15" s="234">
        <f>'Przepływy pieniężne'!E26/(SUM(Bilans!I64,Bilans!I68))</f>
        <v>-1.873465972</v>
      </c>
      <c r="M15" s="6"/>
      <c r="N15" s="234" t="s">
        <v>39</v>
      </c>
      <c r="O15" s="6"/>
      <c r="Q15" s="24"/>
      <c r="V15" s="25"/>
    </row>
    <row r="16">
      <c r="A16" s="24"/>
      <c r="B16" s="137" t="s">
        <v>256</v>
      </c>
      <c r="C16" s="5"/>
      <c r="D16" s="5"/>
      <c r="E16" s="5"/>
      <c r="F16" s="5"/>
      <c r="G16" s="6"/>
      <c r="H16" s="234">
        <f>'Przepływy pieniężne'!C26/'Przepływy pieniężne'!C39</f>
        <v>0.3825332562</v>
      </c>
      <c r="I16" s="6"/>
      <c r="J16" s="234">
        <f>'Przepływy pieniężne'!D26/'Przepływy pieniężne'!D39</f>
        <v>-0.07949249671</v>
      </c>
      <c r="K16" s="6"/>
      <c r="L16" s="234">
        <f>'Przepływy pieniężne'!E26/'Przepływy pieniężne'!E39</f>
        <v>-0.4174642635</v>
      </c>
      <c r="M16" s="6"/>
      <c r="N16" s="234" t="s">
        <v>39</v>
      </c>
      <c r="O16" s="6"/>
      <c r="Q16" s="24"/>
      <c r="V16" s="25"/>
    </row>
    <row r="17">
      <c r="A17" s="24"/>
      <c r="B17" s="137" t="s">
        <v>257</v>
      </c>
      <c r="C17" s="5"/>
      <c r="D17" s="5"/>
      <c r="E17" s="5"/>
      <c r="F17" s="5"/>
      <c r="G17" s="6"/>
      <c r="H17" s="234">
        <f>'Przepływy pieniężne'!C26/'Przepływy pieniężne'!C10</f>
        <v>-42.94805195</v>
      </c>
      <c r="I17" s="6"/>
      <c r="J17" s="234">
        <f>'Przepływy pieniężne'!D26/'Przepływy pieniężne'!D10</f>
        <v>1782.5</v>
      </c>
      <c r="K17" s="6"/>
      <c r="L17" s="234">
        <f>'Przepływy pieniężne'!E26/'Przepływy pieniężne'!E10</f>
        <v>69.01027397</v>
      </c>
      <c r="M17" s="6"/>
      <c r="N17" s="234" t="s">
        <v>39</v>
      </c>
      <c r="O17" s="6"/>
      <c r="Q17" s="24"/>
      <c r="V17" s="25"/>
    </row>
    <row r="18">
      <c r="A18" s="24"/>
      <c r="B18" s="137" t="s">
        <v>258</v>
      </c>
      <c r="C18" s="5"/>
      <c r="D18" s="5"/>
      <c r="E18" s="5"/>
      <c r="F18" s="5"/>
      <c r="G18" s="6"/>
      <c r="H18" s="234">
        <f>'Przepływy pieniężne'!C26/'Rachunek zysków i strat'!F7</f>
        <v>0.2637371401</v>
      </c>
      <c r="I18" s="6"/>
      <c r="J18" s="234">
        <f>'Przepływy pieniężne'!E26/'Rachunek zysków i strat'!H7</f>
        <v>-0.8732449298</v>
      </c>
      <c r="K18" s="6"/>
      <c r="L18" s="234">
        <f>'Przepływy pieniężne'!G26/'Rachunek zysków i strat'!J7</f>
        <v>0</v>
      </c>
      <c r="M18" s="6"/>
      <c r="N18" s="234" t="s">
        <v>39</v>
      </c>
      <c r="O18" s="6"/>
      <c r="Q18" s="24"/>
      <c r="V18" s="25"/>
    </row>
    <row r="19">
      <c r="A19" s="26"/>
      <c r="B19" s="137" t="s">
        <v>259</v>
      </c>
      <c r="C19" s="5"/>
      <c r="D19" s="5"/>
      <c r="E19" s="5"/>
      <c r="F19" s="5"/>
      <c r="G19" s="6"/>
      <c r="H19" s="234">
        <f>(Bilans!E20 + Bilans!E23)/('Rachunek zysków i strat'!F8/365)</f>
        <v>2201.26805</v>
      </c>
      <c r="I19" s="6"/>
      <c r="J19" s="234">
        <f>(Bilans!G20 + Bilans!G23)/('Rachunek zysków i strat'!H8/365)</f>
        <v>931.2160444</v>
      </c>
      <c r="K19" s="6"/>
      <c r="L19" s="234">
        <f>(Bilans!I20 + Bilans!I23)/('Rachunek zysków i strat'!J8/365)</f>
        <v>313.4203</v>
      </c>
      <c r="M19" s="6"/>
      <c r="N19" s="234" t="s">
        <v>39</v>
      </c>
      <c r="O19" s="6"/>
      <c r="Q19" s="26"/>
      <c r="R19" s="27"/>
      <c r="S19" s="27"/>
      <c r="T19" s="27"/>
      <c r="U19" s="27"/>
      <c r="V19" s="28"/>
    </row>
    <row r="20">
      <c r="A20" s="233" t="s">
        <v>260</v>
      </c>
      <c r="B20" s="137" t="s">
        <v>261</v>
      </c>
      <c r="C20" s="5"/>
      <c r="D20" s="5"/>
      <c r="E20" s="5"/>
      <c r="F20" s="5"/>
      <c r="G20" s="6"/>
      <c r="H20" s="234">
        <f>'Rachunek zysków i strat'!F7/(SUM(Bilans!E15,Bilans!E6/365))</f>
        <v>0.1611245235</v>
      </c>
      <c r="I20" s="6"/>
      <c r="J20" s="234">
        <f>'Rachunek zysków i strat'!H7/(SUM(Bilans!G15,Bilans!G6))</f>
        <v>0.2957589429</v>
      </c>
      <c r="K20" s="6"/>
      <c r="L20" s="234">
        <f>'Rachunek zysków i strat'!J7/(SUM(Bilans!I15,Bilans!I6))</f>
        <v>0.2801632672</v>
      </c>
      <c r="M20" s="6"/>
      <c r="N20" s="234" t="s">
        <v>39</v>
      </c>
      <c r="O20" s="6"/>
      <c r="Q20" s="238" t="s">
        <v>262</v>
      </c>
      <c r="R20" s="22"/>
      <c r="S20" s="22"/>
      <c r="T20" s="22"/>
      <c r="U20" s="22"/>
      <c r="V20" s="23"/>
    </row>
    <row r="21">
      <c r="A21" s="24"/>
      <c r="B21" s="137" t="s">
        <v>263</v>
      </c>
      <c r="C21" s="5"/>
      <c r="D21" s="5"/>
      <c r="E21" s="5"/>
      <c r="F21" s="5"/>
      <c r="G21" s="6"/>
      <c r="H21" s="234">
        <f>'Rachunek zysków i strat'!F7/Bilans!E4</f>
        <v>0.2837134582</v>
      </c>
      <c r="I21" s="6"/>
      <c r="J21" s="234">
        <f>'Rachunek zysków i strat'!H7/Bilans!G4</f>
        <v>0.5178519333</v>
      </c>
      <c r="K21" s="6"/>
      <c r="L21" s="234">
        <f>'Rachunek zysków i strat'!J7/Bilans!I4</f>
        <v>0.5377954859</v>
      </c>
      <c r="M21" s="6"/>
      <c r="N21" s="234" t="s">
        <v>39</v>
      </c>
      <c r="O21" s="6"/>
      <c r="Q21" s="24"/>
      <c r="V21" s="25"/>
    </row>
    <row r="22">
      <c r="A22" s="24"/>
      <c r="B22" s="137" t="s">
        <v>264</v>
      </c>
      <c r="C22" s="5"/>
      <c r="D22" s="5"/>
      <c r="E22" s="5"/>
      <c r="F22" s="5"/>
      <c r="G22" s="6"/>
      <c r="H22" s="234">
        <f>'Rachunek zysków i strat'!F7/Bilans!E15</f>
        <v>0.1611883123</v>
      </c>
      <c r="I22" s="6"/>
      <c r="J22" s="234">
        <f>'Rachunek zysków i strat'!H7/Bilans!G15</f>
        <v>0.4059031503</v>
      </c>
      <c r="K22" s="6"/>
      <c r="L22" s="234">
        <f>'Rachunek zysków i strat'!J7/Bilans!I15</f>
        <v>0.3772032536</v>
      </c>
      <c r="M22" s="6"/>
      <c r="N22" s="234" t="s">
        <v>39</v>
      </c>
      <c r="O22" s="6"/>
      <c r="Q22" s="24"/>
      <c r="V22" s="25"/>
    </row>
    <row r="23">
      <c r="A23" s="24"/>
      <c r="B23" s="137" t="s">
        <v>265</v>
      </c>
      <c r="C23" s="5"/>
      <c r="D23" s="5"/>
      <c r="E23" s="5"/>
      <c r="F23" s="5"/>
      <c r="G23" s="6"/>
      <c r="H23" s="234">
        <v>0.0</v>
      </c>
      <c r="I23" s="6"/>
      <c r="J23" s="234">
        <v>0.0</v>
      </c>
      <c r="K23" s="6"/>
      <c r="L23" s="234">
        <v>0.0</v>
      </c>
      <c r="M23" s="6"/>
      <c r="N23" s="234">
        <v>16.82</v>
      </c>
      <c r="O23" s="6"/>
      <c r="Q23" s="24"/>
      <c r="V23" s="25"/>
    </row>
    <row r="24">
      <c r="A24" s="24"/>
      <c r="B24" s="137" t="s">
        <v>266</v>
      </c>
      <c r="C24" s="5"/>
      <c r="D24" s="5"/>
      <c r="E24" s="5"/>
      <c r="F24" s="5"/>
      <c r="G24" s="6"/>
      <c r="H24" s="234">
        <f>'Rachunek zysków i strat'!F7/((Bilans!F25+Bilans!Z15)/2)</f>
        <v>2.911983279</v>
      </c>
      <c r="I24" s="6"/>
      <c r="J24" s="234">
        <f>'Rachunek zysków i strat'!H7/((Bilans!H25+Bilans!F25)/2)</f>
        <v>3.338300181</v>
      </c>
      <c r="K24" s="6"/>
      <c r="L24" s="234">
        <f>'Rachunek zysków i strat'!J7/((Bilans!J25+Bilans!H25)/2)</f>
        <v>2.651849413</v>
      </c>
      <c r="M24" s="6"/>
      <c r="N24" s="234" t="s">
        <v>39</v>
      </c>
      <c r="O24" s="6"/>
      <c r="Q24" s="24"/>
      <c r="V24" s="25"/>
    </row>
    <row r="25">
      <c r="A25" s="24"/>
      <c r="B25" s="137" t="s">
        <v>267</v>
      </c>
      <c r="C25" s="5"/>
      <c r="D25" s="5"/>
      <c r="E25" s="5"/>
      <c r="F25" s="5"/>
      <c r="G25" s="6"/>
      <c r="H25" s="234">
        <f>((AVERAGE(Bilans!E18,2014))/'Rachunek zysków i strat'!F7)*365</f>
        <v>96.96267645</v>
      </c>
      <c r="I25" s="6"/>
      <c r="J25" s="234">
        <f>((AVERAGE(Bilans!G18,Bilans!E18)/'Rachunek zysków i strat'!H7))*365</f>
        <v>80.96875542</v>
      </c>
      <c r="K25" s="6"/>
      <c r="L25" s="234">
        <f>(AVERAGE(Bilans!I18,Bilans!G18)/'Rachunek zysków i strat'!J7)*365</f>
        <v>106.5042838</v>
      </c>
      <c r="M25" s="6"/>
      <c r="N25" s="234">
        <v>54.53</v>
      </c>
      <c r="O25" s="6"/>
      <c r="Q25" s="24"/>
      <c r="V25" s="25"/>
    </row>
    <row r="26">
      <c r="A26" s="24"/>
      <c r="B26" s="137" t="s">
        <v>268</v>
      </c>
      <c r="C26" s="5"/>
      <c r="D26" s="5"/>
      <c r="E26" s="5"/>
      <c r="F26" s="5"/>
      <c r="G26" s="6"/>
      <c r="H26" s="234">
        <f>'Rachunek zysków i strat'!F7/((Bilans!E68 + Bilans!Z19)/2)</f>
        <v>2.715538711</v>
      </c>
      <c r="I26" s="6"/>
      <c r="J26" s="234">
        <f>'Rachunek zysków i strat'!H7/((Bilans!E68+Bilans!G68)/2)</f>
        <v>3.167169915</v>
      </c>
      <c r="K26" s="6"/>
      <c r="L26" s="234">
        <f>'Rachunek zysków i strat'!J7/((Bilans!G68+Bilans!I68)/2)</f>
        <v>2.751822323</v>
      </c>
      <c r="M26" s="6"/>
      <c r="N26" s="234" t="s">
        <v>39</v>
      </c>
      <c r="O26" s="6"/>
      <c r="Q26" s="24"/>
      <c r="V26" s="25"/>
    </row>
    <row r="27">
      <c r="A27" s="24"/>
      <c r="B27" s="137" t="s">
        <v>269</v>
      </c>
      <c r="C27" s="5"/>
      <c r="D27" s="5"/>
      <c r="E27" s="5"/>
      <c r="F27" s="5"/>
      <c r="G27" s="6"/>
      <c r="H27" s="234">
        <f>(((SUM(Bilans!E69,Bilans!Z18)/2)*365) /'Rachunek zysków i strat'!F7)</f>
        <v>30.6083021</v>
      </c>
      <c r="I27" s="6"/>
      <c r="J27" s="234">
        <f>(((SUM(Bilans!G69+Bilans!E69)/2)*365)/'Rachunek zysków i strat'!H7)</f>
        <v>26.69960132</v>
      </c>
      <c r="K27" s="6"/>
      <c r="L27" s="234">
        <f>(((SUM(Bilans!I69+Bilans!G69)/2)*365)/'Rachunek zysków i strat'!J7)</f>
        <v>46.35580067</v>
      </c>
      <c r="M27" s="6"/>
      <c r="N27" s="234">
        <v>25.88</v>
      </c>
      <c r="O27" s="6"/>
      <c r="Q27" s="26"/>
      <c r="R27" s="27"/>
      <c r="S27" s="27"/>
      <c r="T27" s="27"/>
      <c r="U27" s="27"/>
      <c r="V27" s="28"/>
    </row>
    <row r="28">
      <c r="A28" s="26"/>
      <c r="B28" s="137" t="s">
        <v>270</v>
      </c>
      <c r="C28" s="5"/>
      <c r="D28" s="5"/>
      <c r="E28" s="5"/>
      <c r="F28" s="5"/>
      <c r="G28" s="6"/>
      <c r="H28" s="234">
        <f>H25+H23-H27</f>
        <v>66.35437435</v>
      </c>
      <c r="I28" s="6"/>
      <c r="J28" s="234">
        <f>J25+J23-J27</f>
        <v>54.2691541</v>
      </c>
      <c r="K28" s="6"/>
      <c r="L28" s="234">
        <f>L25+L23-L27</f>
        <v>60.14848309</v>
      </c>
      <c r="M28" s="6"/>
      <c r="N28" s="234" t="s">
        <v>39</v>
      </c>
      <c r="O28" s="6"/>
      <c r="Q28" s="238" t="s">
        <v>271</v>
      </c>
      <c r="R28" s="22"/>
      <c r="S28" s="22"/>
      <c r="T28" s="22"/>
      <c r="U28" s="22"/>
      <c r="V28" s="23"/>
    </row>
    <row r="29">
      <c r="A29" s="240" t="s">
        <v>272</v>
      </c>
      <c r="B29" s="137" t="s">
        <v>273</v>
      </c>
      <c r="C29" s="5"/>
      <c r="D29" s="5"/>
      <c r="E29" s="5"/>
      <c r="F29" s="5"/>
      <c r="G29" s="6"/>
      <c r="H29" s="234">
        <f>(SUM(Bilans!E68,Bilans!E64) / Bilans!E24) *100</f>
        <v>8.642959835</v>
      </c>
      <c r="I29" s="6"/>
      <c r="J29" s="234">
        <f>(SUM(Bilans!G68,Bilans!G64) / Bilans!G24) *100</f>
        <v>9.718929034</v>
      </c>
      <c r="K29" s="6"/>
      <c r="L29" s="234">
        <f>(SUM(Bilans!I68,Bilans!I64) / Bilans!I24) *100</f>
        <v>12.47231531</v>
      </c>
      <c r="M29" s="6"/>
      <c r="N29" s="234">
        <v>36.8</v>
      </c>
      <c r="O29" s="6"/>
      <c r="Q29" s="24"/>
      <c r="V29" s="25"/>
    </row>
    <row r="30">
      <c r="A30" s="24"/>
      <c r="B30" s="241" t="s">
        <v>274</v>
      </c>
      <c r="C30" s="5"/>
      <c r="D30" s="5"/>
      <c r="E30" s="5"/>
      <c r="F30" s="5"/>
      <c r="G30" s="6"/>
      <c r="H30" s="234">
        <f>(Bilans!E64/Bilans!E57)</f>
        <v>0.007856203204</v>
      </c>
      <c r="I30" s="6"/>
      <c r="J30" s="234">
        <f>(Bilans!G64/Bilans!G57)</f>
        <v>0.0009511641113</v>
      </c>
      <c r="K30" s="6"/>
      <c r="L30" s="234">
        <f>(Bilans!I64/Bilans!I57)</f>
        <v>0.00943258747</v>
      </c>
      <c r="M30" s="6"/>
      <c r="N30" s="234" t="s">
        <v>39</v>
      </c>
      <c r="O30" s="6"/>
      <c r="Q30" s="24"/>
      <c r="V30" s="25"/>
    </row>
    <row r="31">
      <c r="A31" s="24"/>
      <c r="B31" s="241" t="s">
        <v>275</v>
      </c>
      <c r="C31" s="5"/>
      <c r="D31" s="5"/>
      <c r="E31" s="5"/>
      <c r="F31" s="5"/>
      <c r="G31" s="6"/>
      <c r="H31" s="234">
        <f>(SUM(Bilans!E64,Bilans!E68))/Bilans!E57</f>
        <v>0.0946063907</v>
      </c>
      <c r="I31" s="6"/>
      <c r="J31" s="234">
        <f>(SUM(Bilans!G64,Bilans!G68))/Bilans!G57</f>
        <v>0.1076519023</v>
      </c>
      <c r="K31" s="6"/>
      <c r="L31" s="234">
        <f>(SUM(Bilans!I64,Bilans!I68))/Bilans!I57</f>
        <v>0.1424956613</v>
      </c>
      <c r="M31" s="6"/>
      <c r="N31" s="234" t="s">
        <v>39</v>
      </c>
      <c r="O31" s="6"/>
      <c r="Q31" s="24"/>
      <c r="V31" s="25"/>
    </row>
    <row r="32">
      <c r="A32" s="24"/>
      <c r="B32" s="241" t="s">
        <v>276</v>
      </c>
      <c r="C32" s="5"/>
      <c r="D32" s="5"/>
      <c r="E32" s="5"/>
      <c r="F32" s="5"/>
      <c r="G32" s="6"/>
      <c r="H32" s="234">
        <f>Bilans!E57/(SUM(Bilans!E64,Bilans!E68))</f>
        <v>10.57011046</v>
      </c>
      <c r="I32" s="6"/>
      <c r="J32" s="234">
        <f>Bilans!G57/(SUM(Bilans!G64,Bilans!G68))</f>
        <v>9.289199525</v>
      </c>
      <c r="K32" s="6"/>
      <c r="L32" s="234">
        <f>Bilans!I57/(SUM(Bilans!I64,Bilans!I68))</f>
        <v>7.017757531</v>
      </c>
      <c r="M32" s="6"/>
      <c r="N32" s="234" t="s">
        <v>39</v>
      </c>
      <c r="O32" s="6"/>
      <c r="Q32" s="24"/>
      <c r="V32" s="25"/>
    </row>
    <row r="33">
      <c r="A33" s="26"/>
      <c r="B33" s="241" t="s">
        <v>277</v>
      </c>
      <c r="C33" s="5"/>
      <c r="D33" s="5"/>
      <c r="E33" s="5"/>
      <c r="F33" s="5"/>
      <c r="G33" s="6"/>
      <c r="H33" s="234">
        <f>('Rachunek zysków i strat'!F24+'Rachunek zysków i strat'!F23 + 'Rachunek zysków i strat'!F21)/'Rachunek zysków i strat'!F21</f>
        <v>-10.91644205</v>
      </c>
      <c r="I33" s="6"/>
      <c r="J33" s="234">
        <f>('Rachunek zysków i strat'!H24+'Rachunek zysków i strat'!H23 + 'Rachunek zysków i strat'!H21)/'Rachunek zysków i strat'!H21</f>
        <v>0.3915392512</v>
      </c>
      <c r="K33" s="6"/>
      <c r="L33" s="234">
        <f>('Rachunek zysków i strat'!J24+'Rachunek zysków i strat'!J23 + 'Rachunek zysków i strat'!J21)/'Rachunek zysków i strat'!J21</f>
        <v>-2.484528791</v>
      </c>
      <c r="M33" s="6"/>
      <c r="N33" s="234" t="s">
        <v>39</v>
      </c>
      <c r="O33" s="6"/>
      <c r="Q33" s="26"/>
      <c r="R33" s="27"/>
      <c r="S33" s="27"/>
      <c r="T33" s="27"/>
      <c r="U33" s="27"/>
      <c r="V33" s="28"/>
    </row>
    <row r="35">
      <c r="A35" s="242">
        <f>(Bilans!E20 + Bilans!E23)</f>
        <v>72672</v>
      </c>
      <c r="B35" s="243">
        <f>('Rachunek zysków i strat'!F8)</f>
        <v>12050</v>
      </c>
      <c r="C35" s="75">
        <f>B35/365</f>
        <v>33.01369863</v>
      </c>
      <c r="D35" s="75">
        <f>A35/C35</f>
        <v>2201.26805</v>
      </c>
    </row>
    <row r="37">
      <c r="H37" s="184"/>
    </row>
    <row r="38">
      <c r="H38" s="244"/>
    </row>
    <row r="51">
      <c r="P51" s="245"/>
    </row>
  </sheetData>
  <mergeCells count="160">
    <mergeCell ref="N6:O6"/>
    <mergeCell ref="B7:G7"/>
    <mergeCell ref="H7:I7"/>
    <mergeCell ref="J7:K7"/>
    <mergeCell ref="L7:M7"/>
    <mergeCell ref="N7:O7"/>
    <mergeCell ref="N8:O8"/>
    <mergeCell ref="B9:G9"/>
    <mergeCell ref="H9:I9"/>
    <mergeCell ref="J9:K9"/>
    <mergeCell ref="L9:M9"/>
    <mergeCell ref="N9:O9"/>
    <mergeCell ref="D2:J2"/>
    <mergeCell ref="J4:K4"/>
    <mergeCell ref="L4:M4"/>
    <mergeCell ref="N4:O4"/>
    <mergeCell ref="Q4:V4"/>
    <mergeCell ref="A5:A9"/>
    <mergeCell ref="Q5:V9"/>
    <mergeCell ref="B4:G4"/>
    <mergeCell ref="B5:G5"/>
    <mergeCell ref="H5:I5"/>
    <mergeCell ref="J5:K5"/>
    <mergeCell ref="L5:M5"/>
    <mergeCell ref="N5:O5"/>
    <mergeCell ref="H4:I4"/>
    <mergeCell ref="B6:G6"/>
    <mergeCell ref="H6:I6"/>
    <mergeCell ref="J6:K6"/>
    <mergeCell ref="L6:M6"/>
    <mergeCell ref="L11:M11"/>
    <mergeCell ref="N11:O11"/>
    <mergeCell ref="J12:K12"/>
    <mergeCell ref="L12:M12"/>
    <mergeCell ref="B8:G8"/>
    <mergeCell ref="H8:I8"/>
    <mergeCell ref="A10:A19"/>
    <mergeCell ref="B10:G10"/>
    <mergeCell ref="H10:I10"/>
    <mergeCell ref="B11:G11"/>
    <mergeCell ref="H11:I11"/>
    <mergeCell ref="B19:G19"/>
    <mergeCell ref="H19:I19"/>
    <mergeCell ref="H20:I20"/>
    <mergeCell ref="H21:I21"/>
    <mergeCell ref="H22:I22"/>
    <mergeCell ref="H23:I23"/>
    <mergeCell ref="H24:I24"/>
    <mergeCell ref="B26:G26"/>
    <mergeCell ref="B27:G27"/>
    <mergeCell ref="A20:A28"/>
    <mergeCell ref="A29:A33"/>
    <mergeCell ref="B29:G29"/>
    <mergeCell ref="B30:G30"/>
    <mergeCell ref="B31:G31"/>
    <mergeCell ref="B32:G32"/>
    <mergeCell ref="B33:G33"/>
    <mergeCell ref="B20:G20"/>
    <mergeCell ref="B21:G21"/>
    <mergeCell ref="B22:G22"/>
    <mergeCell ref="B23:G23"/>
    <mergeCell ref="B24:G24"/>
    <mergeCell ref="B25:G25"/>
    <mergeCell ref="B28:G28"/>
    <mergeCell ref="H32:I32"/>
    <mergeCell ref="H33:I33"/>
    <mergeCell ref="H25:I25"/>
    <mergeCell ref="H26:I26"/>
    <mergeCell ref="H27:I27"/>
    <mergeCell ref="H28:I28"/>
    <mergeCell ref="H29:I29"/>
    <mergeCell ref="H30:I30"/>
    <mergeCell ref="H31:I31"/>
    <mergeCell ref="B12:G12"/>
    <mergeCell ref="H12:I12"/>
    <mergeCell ref="B13:G13"/>
    <mergeCell ref="H13:I13"/>
    <mergeCell ref="B14:G14"/>
    <mergeCell ref="H14:I14"/>
    <mergeCell ref="B15:G15"/>
    <mergeCell ref="H15:I15"/>
    <mergeCell ref="B16:G16"/>
    <mergeCell ref="H16:I16"/>
    <mergeCell ref="B17:G17"/>
    <mergeCell ref="H17:I17"/>
    <mergeCell ref="B18:G18"/>
    <mergeCell ref="H18:I18"/>
    <mergeCell ref="J11:K11"/>
    <mergeCell ref="J13:K13"/>
    <mergeCell ref="L13:M13"/>
    <mergeCell ref="N13:O13"/>
    <mergeCell ref="J14:K14"/>
    <mergeCell ref="L14:M14"/>
    <mergeCell ref="N14:O14"/>
    <mergeCell ref="J15:K15"/>
    <mergeCell ref="L15:M15"/>
    <mergeCell ref="N15:O15"/>
    <mergeCell ref="J16:K16"/>
    <mergeCell ref="L16:M16"/>
    <mergeCell ref="N16:O16"/>
    <mergeCell ref="J17:K17"/>
    <mergeCell ref="L17:M17"/>
    <mergeCell ref="N17:O17"/>
    <mergeCell ref="J18:K18"/>
    <mergeCell ref="L18:M18"/>
    <mergeCell ref="J20:K20"/>
    <mergeCell ref="L20:M20"/>
    <mergeCell ref="N20:O20"/>
    <mergeCell ref="J10:K10"/>
    <mergeCell ref="J21:K21"/>
    <mergeCell ref="N26:O26"/>
    <mergeCell ref="J27:K27"/>
    <mergeCell ref="L27:M27"/>
    <mergeCell ref="N27:O27"/>
    <mergeCell ref="J8:K8"/>
    <mergeCell ref="L8:M8"/>
    <mergeCell ref="L10:M10"/>
    <mergeCell ref="N10:O10"/>
    <mergeCell ref="Q10:V19"/>
    <mergeCell ref="N12:O12"/>
    <mergeCell ref="Q20:V27"/>
    <mergeCell ref="J31:K31"/>
    <mergeCell ref="L31:M31"/>
    <mergeCell ref="J30:K30"/>
    <mergeCell ref="J32:K32"/>
    <mergeCell ref="L32:M32"/>
    <mergeCell ref="N32:O32"/>
    <mergeCell ref="J33:K33"/>
    <mergeCell ref="L33:M33"/>
    <mergeCell ref="Q28:V33"/>
    <mergeCell ref="J29:K29"/>
    <mergeCell ref="L29:M29"/>
    <mergeCell ref="N29:O29"/>
    <mergeCell ref="L30:M30"/>
    <mergeCell ref="N30:O30"/>
    <mergeCell ref="N31:O31"/>
    <mergeCell ref="N33:O33"/>
    <mergeCell ref="N18:O18"/>
    <mergeCell ref="J19:K19"/>
    <mergeCell ref="L19:M19"/>
    <mergeCell ref="N19:O19"/>
    <mergeCell ref="L21:M21"/>
    <mergeCell ref="N21:O21"/>
    <mergeCell ref="J22:K22"/>
    <mergeCell ref="L22:M22"/>
    <mergeCell ref="N22:O22"/>
    <mergeCell ref="J23:K23"/>
    <mergeCell ref="L23:M23"/>
    <mergeCell ref="N23:O23"/>
    <mergeCell ref="J24:K24"/>
    <mergeCell ref="L24:M24"/>
    <mergeCell ref="N24:O24"/>
    <mergeCell ref="J25:K25"/>
    <mergeCell ref="L25:M25"/>
    <mergeCell ref="N25:O25"/>
    <mergeCell ref="J26:K26"/>
    <mergeCell ref="L26:M26"/>
    <mergeCell ref="J28:K28"/>
    <mergeCell ref="L28:M28"/>
    <mergeCell ref="N28:O2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0.88"/>
  </cols>
  <sheetData>
    <row r="2">
      <c r="C2" s="146" t="s">
        <v>278</v>
      </c>
      <c r="D2" s="22"/>
      <c r="E2" s="22"/>
      <c r="F2" s="23"/>
    </row>
    <row r="3">
      <c r="C3" s="26"/>
      <c r="D3" s="27"/>
      <c r="E3" s="27"/>
      <c r="F3" s="28"/>
    </row>
    <row r="5">
      <c r="C5" s="105" t="s">
        <v>279</v>
      </c>
      <c r="D5" s="22"/>
      <c r="E5" s="22"/>
      <c r="F5" s="23"/>
    </row>
    <row r="6">
      <c r="C6" s="24"/>
      <c r="F6" s="25"/>
    </row>
    <row r="7">
      <c r="C7" s="24"/>
      <c r="F7" s="25"/>
    </row>
    <row r="8">
      <c r="C8" s="24"/>
      <c r="F8" s="25"/>
    </row>
    <row r="9">
      <c r="C9" s="24"/>
      <c r="F9" s="25"/>
    </row>
    <row r="10">
      <c r="C10" s="24"/>
      <c r="F10" s="25"/>
    </row>
    <row r="11">
      <c r="C11" s="24"/>
      <c r="F11" s="25"/>
    </row>
    <row r="12">
      <c r="C12" s="24"/>
      <c r="F12" s="25"/>
    </row>
    <row r="13">
      <c r="C13" s="24"/>
      <c r="F13" s="25"/>
    </row>
    <row r="14">
      <c r="C14" s="24"/>
      <c r="F14" s="25"/>
    </row>
    <row r="15">
      <c r="C15" s="24"/>
      <c r="F15" s="25"/>
    </row>
    <row r="16">
      <c r="C16" s="24"/>
      <c r="F16" s="25"/>
    </row>
    <row r="17">
      <c r="C17" s="24"/>
      <c r="F17" s="25"/>
    </row>
    <row r="18">
      <c r="C18" s="24"/>
      <c r="F18" s="25"/>
    </row>
    <row r="19">
      <c r="C19" s="24"/>
      <c r="F19" s="25"/>
    </row>
    <row r="20">
      <c r="C20" s="24"/>
      <c r="F20" s="25"/>
    </row>
    <row r="21">
      <c r="C21" s="24"/>
      <c r="F21" s="25"/>
    </row>
    <row r="22">
      <c r="C22" s="24"/>
      <c r="F22" s="25"/>
    </row>
    <row r="23">
      <c r="C23" s="24"/>
      <c r="F23" s="25"/>
    </row>
    <row r="24">
      <c r="C24" s="26"/>
      <c r="D24" s="27"/>
      <c r="E24" s="27"/>
      <c r="F24" s="28"/>
    </row>
  </sheetData>
  <mergeCells count="2">
    <mergeCell ref="C2:F3"/>
    <mergeCell ref="C5:F24"/>
  </mergeCells>
  <drawing r:id="rId1"/>
</worksheet>
</file>