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updateLinks="never" codeName="ThisWorkbook"/>
  <mc:AlternateContent xmlns:mc="http://schemas.openxmlformats.org/markup-compatibility/2006">
    <mc:Choice Requires="x15">
      <x15ac:absPath xmlns:x15ac="http://schemas.microsoft.com/office/spreadsheetml/2010/11/ac" url="C:\Users\milag\Desktop\FastTest_PlugIn_V78\0.EJEMPLOS_EXAMPLES\"/>
    </mc:Choice>
  </mc:AlternateContent>
  <xr:revisionPtr revIDLastSave="0" documentId="13_ncr:1_{846C8F27-EA06-4EB9-85DC-A5A319B3EE73}" xr6:coauthVersionLast="47" xr6:coauthVersionMax="47" xr10:uidLastSave="{00000000-0000-0000-0000-000000000000}"/>
  <bookViews>
    <workbookView showHorizontalScroll="0" showVerticalScroll="0" showSheetTabs="0" xWindow="-93" yWindow="-93" windowWidth="19386" windowHeight="1226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6" i="19"/>
  <c r="A6" i="18"/>
  <c r="A7" i="18"/>
  <c r="A6" i="16"/>
  <c r="B6" i="16" s="1"/>
  <c r="A6" i="15"/>
  <c r="B6" i="15" s="1"/>
  <c r="A7" i="15"/>
  <c r="B7" i="15" s="1"/>
  <c r="B67" i="8"/>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Y3" i="16"/>
  <c r="AI2" i="8" l="1"/>
  <c r="E2" i="8"/>
  <c r="E67" i="8" s="1"/>
  <c r="AI3" i="22"/>
  <c r="AI3" i="21"/>
  <c r="AI3" i="20"/>
  <c r="AI3" i="19"/>
  <c r="AI3" i="18"/>
  <c r="AI3" i="16"/>
  <c r="AI3" i="17"/>
  <c r="G3" i="15"/>
  <c r="T23" i="8"/>
  <c r="T24" i="8"/>
  <c r="T25" i="8"/>
  <c r="T19" i="8"/>
  <c r="T29" i="8"/>
  <c r="T20" i="8"/>
  <c r="T28" i="8"/>
  <c r="T27" i="8"/>
  <c r="T22" i="8"/>
  <c r="T21" i="8"/>
  <c r="T26" i="8"/>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D1" i="8"/>
  <c r="U26" i="8"/>
  <c r="U22" i="8"/>
  <c r="U29" i="8"/>
  <c r="T14" i="8"/>
  <c r="T8" i="8"/>
  <c r="T3" i="8"/>
  <c r="T16" i="8"/>
  <c r="T13" i="8"/>
  <c r="U27" i="8"/>
  <c r="T7" i="8"/>
  <c r="U23" i="8"/>
  <c r="U25" i="8"/>
  <c r="U19" i="8"/>
  <c r="U20" i="8"/>
  <c r="F1" i="15"/>
  <c r="U21" i="8"/>
  <c r="T17" i="8"/>
  <c r="T6" i="8"/>
  <c r="T9" i="8"/>
  <c r="T5" i="8"/>
  <c r="U24" i="8"/>
  <c r="U28" i="8"/>
  <c r="T10" i="8"/>
  <c r="T11" i="8"/>
  <c r="T18" i="8"/>
  <c r="T15" i="8"/>
  <c r="T4" i="8"/>
  <c r="T12" i="8"/>
  <c r="E3" i="15"/>
  <c r="F2" i="15"/>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D27" i="6"/>
  <c r="A3" i="18"/>
  <c r="D3" i="19"/>
  <c r="K3" i="21"/>
  <c r="AE3" i="15"/>
  <c r="C9" i="6"/>
  <c r="E26" i="6"/>
  <c r="G1" i="15"/>
  <c r="O3" i="19"/>
  <c r="U9" i="8"/>
  <c r="M26" i="6"/>
  <c r="O24" i="6"/>
  <c r="O3" i="15"/>
  <c r="U15" i="8"/>
  <c r="Q3" i="19"/>
  <c r="AA3" i="19"/>
  <c r="E3" i="16"/>
  <c r="U13" i="8"/>
  <c r="K24" i="6"/>
  <c r="N3" i="20"/>
  <c r="V3" i="15"/>
  <c r="G1" i="20"/>
  <c r="O3" i="16"/>
  <c r="AC3" i="19"/>
  <c r="M3" i="16"/>
  <c r="U3" i="15"/>
  <c r="I23" i="6"/>
  <c r="S3" i="16"/>
  <c r="H3" i="16"/>
  <c r="Q26" i="6"/>
  <c r="V3" i="20"/>
  <c r="X3" i="16"/>
  <c r="U14" i="8"/>
  <c r="U17" i="8"/>
  <c r="U3" i="8"/>
  <c r="K3" i="16"/>
  <c r="AH3" i="15"/>
  <c r="I3" i="19"/>
  <c r="N3" i="16"/>
  <c r="H3" i="15"/>
  <c r="L3" i="21"/>
  <c r="A3" i="16"/>
  <c r="R3" i="19"/>
  <c r="L3" i="16"/>
  <c r="U3" i="16"/>
  <c r="V3" i="16"/>
  <c r="Z3" i="19"/>
  <c r="U3" i="19"/>
  <c r="Q24" i="6"/>
  <c r="C23" i="6"/>
  <c r="L3" i="20"/>
  <c r="O26" i="6"/>
  <c r="W3" i="19"/>
  <c r="G3" i="16"/>
  <c r="Z3" i="20"/>
  <c r="AD3" i="19"/>
  <c r="G24" i="6"/>
  <c r="G26" i="6"/>
  <c r="T3" i="19"/>
  <c r="L3" i="15"/>
  <c r="I3" i="21"/>
  <c r="M3" i="21"/>
  <c r="U10" i="8"/>
  <c r="C24" i="6"/>
  <c r="X3" i="19"/>
  <c r="Q3" i="16"/>
  <c r="I3" i="15"/>
  <c r="M23" i="6"/>
  <c r="T3" i="15"/>
  <c r="W3" i="16"/>
  <c r="AH3" i="16"/>
  <c r="G1" i="17"/>
  <c r="K23" i="6"/>
  <c r="P3" i="16"/>
  <c r="G3" i="6"/>
  <c r="AF3" i="15"/>
  <c r="Q3" i="15"/>
  <c r="U6" i="8"/>
  <c r="U8" i="8"/>
  <c r="A3" i="15"/>
  <c r="G1" i="18"/>
  <c r="AG3" i="16"/>
  <c r="U5" i="8"/>
  <c r="G1" i="22"/>
  <c r="U7" i="8"/>
  <c r="N3" i="15"/>
  <c r="H3" i="21"/>
  <c r="P6" i="6"/>
  <c r="A3" i="19"/>
  <c r="R3" i="20"/>
  <c r="AE3" i="16"/>
  <c r="U11" i="8"/>
  <c r="M24" i="6"/>
  <c r="AF3" i="16"/>
  <c r="J3" i="21"/>
  <c r="I26" i="6"/>
  <c r="H3" i="20"/>
  <c r="I24" i="6"/>
  <c r="E24" i="6"/>
  <c r="J3" i="16"/>
  <c r="U18" i="8"/>
  <c r="T3" i="20"/>
  <c r="P3" i="20"/>
  <c r="W3" i="15"/>
  <c r="J3" i="20"/>
  <c r="G1" i="21"/>
  <c r="K3" i="15"/>
  <c r="T3" i="16"/>
  <c r="B3" i="16"/>
  <c r="U16" i="8"/>
  <c r="AB3" i="20"/>
  <c r="Q23" i="6"/>
  <c r="AD3" i="20"/>
  <c r="U4" i="8"/>
  <c r="H3" i="19"/>
  <c r="M3" i="15"/>
  <c r="AG3" i="15"/>
  <c r="I7" i="6"/>
  <c r="N3" i="19"/>
  <c r="G3" i="22"/>
  <c r="G1" i="16"/>
  <c r="A3" i="20"/>
  <c r="P3" i="15"/>
  <c r="D11" i="6"/>
  <c r="R3" i="16"/>
  <c r="K3" i="19"/>
  <c r="E23" i="6"/>
  <c r="E3" i="17"/>
  <c r="J3" i="15"/>
  <c r="I3" i="16"/>
  <c r="X3" i="20"/>
  <c r="S3" i="15"/>
  <c r="X3" i="15"/>
  <c r="B3" i="15"/>
  <c r="G1" i="19"/>
  <c r="U12" i="8"/>
  <c r="L3" i="19"/>
  <c r="R3" i="15"/>
  <c r="C26" i="6"/>
  <c r="O23" i="6"/>
  <c r="G23" i="6"/>
  <c r="K26" i="6"/>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AA3" i="20"/>
  <c r="M3" i="20"/>
  <c r="U3" i="20"/>
  <c r="F3" i="15"/>
  <c r="F3" i="21"/>
  <c r="F3" i="22"/>
  <c r="I3" i="20"/>
  <c r="K3" i="20"/>
  <c r="F3" i="20"/>
  <c r="S3" i="20"/>
  <c r="F3" i="17"/>
  <c r="W3" i="20"/>
  <c r="F3" i="18"/>
  <c r="G3" i="21"/>
  <c r="AC3" i="20"/>
  <c r="Y3" i="20"/>
  <c r="G3" i="20"/>
  <c r="O3" i="20"/>
  <c r="Q3" i="20"/>
  <c r="F3" i="16"/>
  <c r="F3" i="19"/>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<sst xmlns="http://schemas.openxmlformats.org/spreadsheetml/2006/main" count="1382" uniqueCount="968">
  <si>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</si>
  <si>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</si>
  <si>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</si>
  <si>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</si>
  <si>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</si>
  <si>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</si>
  <si>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</si>
  <si>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</si>
  <si>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</si>
  <si>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</si>
  <si>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</si>
  <si>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</si>
  <si>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</si>
  <si>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</si>
  <si>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</si>
  <si>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</si>
  <si>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</si>
  <si>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</si>
  <si>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</si>
  <si>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</si>
  <si>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</si>
  <si>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</si>
  <si>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</si>
  <si>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</si>
  <si>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</si>
  <si>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</si>
  <si>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</si>
  <si>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</si>
  <si>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</si>
  <si>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</si>
  <si>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</si>
  <si>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</si>
  <si>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</si>
  <si>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</si>
  <si>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</si>
  <si>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</si>
  <si>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</si>
  <si>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</si>
  <si>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</si>
  <si>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</si>
  <si>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</si>
  <si>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</si>
  <si>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</si>
  <si>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</si>
  <si>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</si>
  <si>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</si>
  <si>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</si>
  <si>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</si>
  <si>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</si>
  <si>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</si>
  <si>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</si>
  <si>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</si>
  <si>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</si>
  <si>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</si>
  <si>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</si>
  <si>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</si>
  <si>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</si>
  <si>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</si>
  <si>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</si>
  <si>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</si>
  <si>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</si>
  <si>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</si>
  <si>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</si>
  <si>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</si>
  <si>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</si>
  <si>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</si>
  <si>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</si>
  <si>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</si>
  <si>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</si>
  <si>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</si>
  <si>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</si>
  <si>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</si>
  <si>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</si>
  <si>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</si>
  <si>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</si>
  <si>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</si>
  <si>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</si>
  <si>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</si>
  <si>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</si>
  <si>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</si>
  <si>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</si>
  <si>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</si>
  <si>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</si>
  <si>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</si>
  <si>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</si>
  <si>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</si>
  <si>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</si>
  <si>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</si>
  <si>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</si>
  <si>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</si>
  <si>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</si>
  <si>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</si>
  <si>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</si>
  <si>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</si>
  <si>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</si>
  <si>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</si>
  <si>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</si>
  <si>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</si>
  <si>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</si>
  <si>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</si>
  <si>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</si>
  <si>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</si>
  <si>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</si>
  <si>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</si>
  <si>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</si>
  <si>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</si>
  <si>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</si>
  <si>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</si>
  <si>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</si>
  <si>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</si>
  <si>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</si>
  <si>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</si>
  <si>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</si>
  <si>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</si>
  <si>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</si>
  <si>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</si>
  <si>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</si>
  <si>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</si>
  <si>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</si>
  <si>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</si>
  <si>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</si>
  <si>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</si>
  <si>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</si>
  <si>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</si>
  <si>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</si>
  <si>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</si>
  <si>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</si>
  <si>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</si>
  <si>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</si>
  <si>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</si>
  <si>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</si>
  <si>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</si>
  <si>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</si>
  <si>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</si>
  <si>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</si>
  <si>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</si>
  <si>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</si>
  <si>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</si>
  <si>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</si>
  <si>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</si>
  <si>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</si>
  <si>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</si>
  <si>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</si>
  <si>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</si>
  <si>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</si>
  <si>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</si>
  <si>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</si>
  <si>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</si>
  <si>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</si>
  <si>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</si>
  <si>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</si>
  <si>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</si>
  <si>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</si>
  <si>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</si>
  <si>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</si>
  <si>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</si>
  <si>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</si>
  <si>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</si>
  <si>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</si>
  <si>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</si>
  <si>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</si>
  <si>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</si>
  <si>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</si>
  <si>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</si>
  <si>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</si>
  <si>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</si>
  <si>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</si>
  <si>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</si>
  <si>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</si>
  <si>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</si>
  <si>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</si>
  <si>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</si>
  <si>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</si>
  <si>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</si>
  <si>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</si>
  <si>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</si>
  <si>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</si>
  <si>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</si>
  <si>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</si>
  <si>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</si>
  <si>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</si>
  <si>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</si>
  <si>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</si>
  <si>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</si>
  <si>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</si>
  <si>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</si>
  <si>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</si>
  <si>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</si>
  <si>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</si>
  <si>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</si>
  <si>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</si>
  <si>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</si>
  <si>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</si>
  <si>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</si>
  <si>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</si>
  <si>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</si>
  <si>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</si>
  <si>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</si>
  <si>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</si>
  <si>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</si>
  <si>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</si>
  <si>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</si>
  <si>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</si>
  <si>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</si>
  <si>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</si>
  <si>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</si>
  <si>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</si>
  <si>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</si>
  <si>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</si>
  <si>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</si>
  <si>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</si>
  <si>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</si>
  <si>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</si>
  <si>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</si>
  <si>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</si>
  <si>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</si>
  <si>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</si>
  <si>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</si>
  <si>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</si>
  <si>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</si>
  <si>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</si>
  <si>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</si>
  <si>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</si>
  <si>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</si>
  <si>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</si>
  <si>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</si>
  <si>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</si>
  <si>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</si>
  <si>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</si>
  <si>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</si>
  <si>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</si>
  <si>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</si>
  <si>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</si>
  <si>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</si>
  <si>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</si>
  <si>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</si>
  <si>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</si>
  <si>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</si>
  <si>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</si>
  <si>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</si>
  <si>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</si>
  <si>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</si>
  <si>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</si>
  <si>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</si>
  <si>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</si>
  <si>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</si>
  <si>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</si>
  <si>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</si>
  <si>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</si>
  <si>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</si>
  <si>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</si>
  <si>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</si>
  <si>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</si>
  <si>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</si>
  <si>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</si>
  <si>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</si>
  <si>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</si>
  <si>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</si>
  <si>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</si>
  <si>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</si>
  <si>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</si>
  <si>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</si>
  <si>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</si>
  <si>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</si>
  <si>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</si>
  <si>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</si>
  <si>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</si>
  <si>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</si>
  <si>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</si>
  <si>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</si>
  <si>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</si>
  <si>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</si>
  <si>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</si>
  <si>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</si>
  <si>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</si>
  <si>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</si>
  <si>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</si>
  <si>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</si>
  <si>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</si>
  <si>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</si>
  <si>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</si>
  <si>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</si>
  <si>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</si>
  <si>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</si>
  <si>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</si>
  <si>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</si>
  <si>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</si>
  <si>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</si>
  <si>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</si>
  <si>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</si>
  <si>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</si>
  <si>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</si>
  <si>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</si>
  <si>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</si>
  <si>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</si>
  <si>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</si>
  <si>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</si>
  <si>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</si>
  <si>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</si>
  <si>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</si>
  <si>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</si>
  <si>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</si>
  <si>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</si>
  <si>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</si>
  <si>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</si>
  <si>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</si>
  <si>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</si>
  <si>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</si>
  <si>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</si>
  <si>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</si>
  <si>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</si>
  <si>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</si>
  <si>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</si>
  <si>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</si>
  <si>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</si>
  <si>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</si>
  <si>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</si>
  <si>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</si>
  <si>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</si>
  <si>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</si>
  <si>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</si>
  <si>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</si>
  <si>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</si>
  <si>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</si>
  <si>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</si>
  <si>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</si>
  <si>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</si>
  <si>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</si>
  <si>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</si>
  <si>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</si>
  <si>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</si>
  <si>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</si>
  <si>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</si>
  <si>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</si>
  <si>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</si>
  <si>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</si>
  <si>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</si>
  <si>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</si>
  <si>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</si>
  <si>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</si>
  <si>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</si>
  <si>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</si>
  <si>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</si>
  <si>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</si>
  <si>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</si>
  <si>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</si>
  <si>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</si>
  <si>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</si>
  <si>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</si>
  <si>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</si>
  <si>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</si>
  <si>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</si>
  <si>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</si>
  <si>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</si>
  <si>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</si>
  <si>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</si>
  <si>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</si>
  <si>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</si>
  <si>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</si>
  <si>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</si>
  <si>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</si>
  <si>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</si>
  <si>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</si>
  <si>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</si>
  <si>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</si>
  <si>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</si>
  <si>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</si>
  <si>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</si>
  <si>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</si>
  <si>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</si>
  <si>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</si>
  <si>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</si>
  <si>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</si>
  <si>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</si>
  <si>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</si>
  <si>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</si>
  <si>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</si>
  <si>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</si>
  <si>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</si>
  <si>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</si>
  <si>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</si>
  <si>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</si>
  <si>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</si>
  <si>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</si>
  <si>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</si>
  <si>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</si>
  <si>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</si>
  <si>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</si>
  <si>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</si>
  <si>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</si>
  <si>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</si>
  <si>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</si>
  <si>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</si>
  <si>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</si>
  <si>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</si>
  <si>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</si>
  <si>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</si>
  <si>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</si>
  <si>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</si>
  <si>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</si>
  <si>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</si>
  <si>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</si>
  <si>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</si>
  <si>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</si>
  <si>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</si>
  <si>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</si>
  <si>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</si>
  <si>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</si>
  <si>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</si>
  <si>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</si>
  <si>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</si>
  <si>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</si>
  <si>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</si>
  <si>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</si>
  <si>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</si>
  <si>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</si>
  <si>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</si>
  <si>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</si>
  <si>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</si>
  <si>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</si>
  <si>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</si>
  <si>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</si>
  <si>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</si>
  <si>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</si>
  <si>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</si>
  <si>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</si>
  <si>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</si>
  <si>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</si>
  <si>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</si>
  <si>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</si>
  <si>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</si>
  <si>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</si>
  <si>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</si>
  <si>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</si>
  <si>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</si>
  <si>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</si>
  <si>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</si>
  <si>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</si>
  <si>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</si>
  <si>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</si>
  <si>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</si>
  <si>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</si>
  <si>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</si>
  <si>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</si>
  <si>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</si>
  <si>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</si>
  <si>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</si>
  <si>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</si>
  <si>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</si>
  <si>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</si>
  <si>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</si>
  <si>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</si>
  <si>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</si>
  <si>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</si>
  <si>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</si>
  <si>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</si>
  <si>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</si>
  <si>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</si>
  <si>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</si>
  <si>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</si>
  <si>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</si>
  <si>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</si>
  <si>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</si>
  <si>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</si>
  <si>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</si>
  <si>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</si>
  <si>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</si>
  <si>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</si>
  <si>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</si>
  <si>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</si>
  <si>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</si>
  <si>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</si>
  <si>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</si>
  <si>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</si>
  <si>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</si>
  <si>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</si>
  <si>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</si>
  <si>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</si>
  <si>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</si>
  <si>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</si>
  <si>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</si>
  <si>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</si>
  <si>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</si>
  <si>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</si>
  <si>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</si>
  <si>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</si>
  <si>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</si>
  <si>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</si>
  <si>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</si>
  <si>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</si>
  <si>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</si>
  <si>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</si>
  <si>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</si>
  <si>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</si>
  <si>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</si>
  <si>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</si>
  <si>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</si>
  <si>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</si>
  <si>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</si>
  <si>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</si>
  <si>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</si>
  <si>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</si>
  <si>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</si>
  <si>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</si>
  <si>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</si>
  <si>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</si>
  <si>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</si>
  <si>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</si>
  <si>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</si>
  <si>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</si>
  <si>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</si>
  <si>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</si>
  <si>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</si>
  <si>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</si>
  <si>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</si>
  <si>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</si>
  <si>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</si>
  <si>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</si>
  <si>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</si>
  <si>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</si>
  <si>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</si>
  <si>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</si>
  <si>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</si>
  <si>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</si>
  <si>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</si>
  <si>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</si>
  <si>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</si>
  <si>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</si>
  <si>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</si>
  <si>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</si>
  <si>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</si>
  <si>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</si>
  <si>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</si>
  <si>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</si>
  <si>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</si>
  <si>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</si>
  <si>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</si>
  <si>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</si>
  <si>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</si>
  <si>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</si>
  <si>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</si>
  <si>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</si>
  <si>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</si>
  <si>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</si>
  <si>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</si>
  <si>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</si>
  <si>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</si>
  <si>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</si>
  <si>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</si>
  <si>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</si>
  <si>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</si>
  <si>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</si>
  <si>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</si>
  <si>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</si>
  <si>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</si>
  <si>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</si>
  <si>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</si>
  <si>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</si>
  <si>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</si>
  <si>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</si>
  <si>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</si>
  <si>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</si>
  <si>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</si>
  <si>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</si>
  <si>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</si>
  <si>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</si>
  <si>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</si>
  <si>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</si>
  <si>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</si>
  <si>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</si>
  <si>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</si>
  <si>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</si>
  <si>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</si>
  <si>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</si>
  <si>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</si>
  <si>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</si>
  <si>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</si>
  <si>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</si>
  <si>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</si>
  <si>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</si>
  <si>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</si>
  <si>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</si>
  <si>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</si>
  <si>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</si>
  <si>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</si>
  <si>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</si>
  <si>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</si>
  <si>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</si>
  <si>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</si>
  <si>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</si>
  <si>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</si>
  <si>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</si>
  <si>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</si>
  <si>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</si>
  <si>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</si>
  <si>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</si>
  <si>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</si>
  <si>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</si>
  <si>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</si>
  <si>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</si>
  <si>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</si>
  <si>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</si>
  <si>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</si>
  <si>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</si>
  <si>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</si>
  <si>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</si>
  <si>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</si>
  <si>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</si>
  <si>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</si>
  <si>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</si>
  <si>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</si>
  <si>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</si>
  <si>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</si>
  <si>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</si>
  <si>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</si>
  <si>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</si>
  <si>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</si>
  <si>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</si>
  <si>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</si>
  <si>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</si>
  <si>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</si>
  <si>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</si>
  <si>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</si>
  <si>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</si>
  <si>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</si>
  <si>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</si>
  <si>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</si>
  <si>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</si>
  <si>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</si>
  <si>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</si>
  <si>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</si>
  <si>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</si>
  <si>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</si>
  <si>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</si>
  <si>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</si>
  <si>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</si>
  <si>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</si>
  <si>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</si>
  <si>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</si>
  <si>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</si>
  <si>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</si>
  <si>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</si>
  <si>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</si>
  <si>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</si>
  <si>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</si>
  <si>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</si>
  <si>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</si>
  <si>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</si>
  <si>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</si>
  <si>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</si>
  <si>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</si>
  <si>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</si>
  <si>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</si>
  <si>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</si>
  <si>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</si>
  <si>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</si>
  <si>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</si>
  <si>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</si>
  <si>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</si>
  <si>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</si>
  <si>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</si>
  <si>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</si>
  <si>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</si>
  <si>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</si>
  <si>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</si>
  <si>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</si>
  <si>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</si>
  <si>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</si>
  <si>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</si>
  <si>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</si>
  <si>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</si>
  <si>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</si>
  <si>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</si>
  <si>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</si>
  <si>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</si>
  <si>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</si>
  <si>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</si>
  <si>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</si>
  <si>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</si>
  <si>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</si>
  <si>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</si>
  <si>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</si>
  <si>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</si>
  <si>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</si>
  <si>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</si>
  <si>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</si>
  <si>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</si>
  <si>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</si>
  <si>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</si>
  <si>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</si>
  <si>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</si>
  <si>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</si>
  <si>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</si>
  <si>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</si>
  <si>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</si>
  <si>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</si>
  <si>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</si>
  <si>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</si>
  <si>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</si>
  <si>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</si>
  <si>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</si>
  <si>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</si>
  <si>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</si>
  <si>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</si>
  <si>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</si>
  <si>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</si>
  <si>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</si>
  <si>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</si>
  <si>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</si>
  <si>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</si>
  <si>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</si>
  <si>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</si>
  <si>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</si>
  <si>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</si>
  <si>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</si>
  <si>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</si>
  <si>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</si>
  <si>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</si>
  <si>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</si>
  <si>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</si>
  <si>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</si>
  <si>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</si>
  <si>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</si>
  <si>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</si>
  <si>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</si>
  <si>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</si>
  <si>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</si>
  <si>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</si>
  <si>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</si>
  <si>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</si>
  <si>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</si>
  <si>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</si>
  <si>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</si>
  <si>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</si>
  <si>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</si>
  <si>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</si>
  <si>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</si>
  <si>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</si>
  <si>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</si>
  <si>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</si>
  <si>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</si>
  <si>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</si>
  <si>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</si>
  <si>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</si>
  <si>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</si>
  <si>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</si>
  <si>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</si>
  <si>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</si>
  <si>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</si>
  <si>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</si>
  <si>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</si>
  <si>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</si>
  <si>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</si>
  <si>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</si>
  <si>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</si>
  <si>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</si>
  <si>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</si>
  <si>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</si>
  <si>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</si>
  <si>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</si>
  <si>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</si>
  <si>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</si>
  <si>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</si>
  <si>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</si>
  <si>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</si>
  <si>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</si>
  <si>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</si>
  <si>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</si>
  <si>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</si>
  <si>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</si>
  <si>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</si>
  <si>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</si>
  <si>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</si>
  <si>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</si>
  <si>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</si>
  <si>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</si>
  <si>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</si>
  <si>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</si>
  <si>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</si>
  <si>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</si>
  <si>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</si>
  <si>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</si>
  <si>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</si>
  <si>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</si>
  <si>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</si>
  <si>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</si>
  <si>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</si>
  <si>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</si>
  <si>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</si>
  <si>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</si>
  <si>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</si>
  <si>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</si>
  <si>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</si>
  <si>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</si>
  <si>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</si>
  <si>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</si>
  <si>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</si>
  <si>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</si>
  <si>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</si>
  <si>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</si>
  <si>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</si>
  <si>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</si>
  <si>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</si>
  <si>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</si>
  <si>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</si>
  <si>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</si>
  <si>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</si>
  <si>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</si>
  <si>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</si>
  <si>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</si>
  <si>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</si>
  <si>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</si>
  <si>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</si>
  <si>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</si>
  <si>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</si>
  <si>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</si>
  <si>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</si>
  <si>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</si>
  <si>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</si>
  <si>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</si>
  <si>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</si>
  <si>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</si>
  <si>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</si>
  <si>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</si>
  <si>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</si>
  <si>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</si>
  <si>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</si>
  <si>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</si>
  <si>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</si>
  <si>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</si>
  <si>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</si>
  <si>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</si>
  <si>
    <t>Atención a la lectura</t>
  </si>
  <si>
    <t>¿De qué color es el caballo BLANCO de Santiago?</t>
  </si>
  <si>
    <t>Blanco</t>
  </si>
  <si>
    <t>Negro</t>
  </si>
  <si>
    <t>Marrón</t>
  </si>
  <si>
    <t>Gris</t>
  </si>
  <si>
    <t>Beige</t>
  </si>
  <si>
    <t>Pardo</t>
  </si>
  <si>
    <t>Muy bien, veo que has leído bien la pregunta</t>
  </si>
  <si>
    <t>Debes prestar atención a lo que lees 1.</t>
  </si>
  <si>
    <t>Debes prestar atención a lo que lees 2.</t>
  </si>
  <si>
    <t>Debes prestar atención a lo que lees 3.</t>
  </si>
  <si>
    <t>Debes prestar atención a lo que lees 4.</t>
  </si>
  <si>
    <t>Debes prestar atención a lo que lees 5.</t>
  </si>
  <si>
    <t>UNIDADES</t>
  </si>
  <si>
    <t>¿En qué unidades se mide la longitud?&lt;/p&gt;Lee bien la pregunta.</t>
  </si>
  <si>
    <t>m</t>
  </si>
  <si>
    <t>m^{^2^}^</t>
  </si>
  <si>
    <t>m^{^3^}^</t>
  </si>
  <si>
    <t>m^{^4^}^</t>
  </si>
  <si>
    <t>m_{_2_}_</t>
  </si>
  <si>
    <t>m_{_3_}_</t>
  </si>
  <si>
    <t>MATEMÁTICAS</t>
  </si>
  <si>
    <t>¿Cuál es la derivada de la siguiente función? \(\frac{\sin(x)}{x-1}\)</t>
  </si>
  <si>
    <t>\(\frac{\cos(x)}{x-1}-\frac{\sin(x)}{(x-1)^2}\)</t>
  </si>
  <si>
    <t>\(\frac{\cos^2(x)}{x-1}\)</t>
  </si>
  <si>
    <t>\(-\frac{\cos^2(x)}{x-1}\)</t>
  </si>
  <si>
    <t>BLANCO</t>
  </si>
  <si>
    <t>blanco</t>
  </si>
  <si>
    <t>mm</t>
  </si>
  <si>
    <t>mm^{^2^}^</t>
  </si>
  <si>
    <t>mm^{^3^}^</t>
  </si>
  <si>
    <t>El caballo Blanco de Santiago es BLANCO</t>
  </si>
  <si>
    <t>Muy bien.</t>
  </si>
  <si>
    <t>Lee mejor la pregunta.</t>
  </si>
  <si>
    <t>Lectura</t>
  </si>
  <si>
    <t>El caballo NEGRO de Santiago es Blanco</t>
  </si>
  <si>
    <t>Muy bien, veo que has leído la pregunta</t>
  </si>
  <si>
    <t>Lee bien la pregunta</t>
  </si>
  <si>
    <t>Conocimientos</t>
  </si>
  <si>
    <t>Relacione los nombres.</t>
  </si>
  <si>
    <t>Mesa</t>
  </si>
  <si>
    <t>Silla</t>
  </si>
  <si>
    <t>Pizarra</t>
  </si>
  <si>
    <t>Tiza</t>
  </si>
  <si>
    <t>Playa</t>
  </si>
  <si>
    <t>Arena</t>
  </si>
  <si>
    <t>Sol</t>
  </si>
  <si>
    <t>Luna</t>
  </si>
  <si>
    <t>Comida</t>
  </si>
  <si>
    <t>Cena</t>
  </si>
  <si>
    <t>Niño</t>
  </si>
  <si>
    <t>Niña</t>
  </si>
  <si>
    <t>Juego de mesa</t>
  </si>
  <si>
    <t>Parchís</t>
  </si>
  <si>
    <t>Coche</t>
  </si>
  <si>
    <t>Moto</t>
  </si>
  <si>
    <t>Perro</t>
  </si>
  <si>
    <t>Gato</t>
  </si>
  <si>
    <t>Pico</t>
  </si>
  <si>
    <t>Pala</t>
  </si>
  <si>
    <t>Marido</t>
  </si>
  <si>
    <t>Mujer</t>
  </si>
  <si>
    <t>Ojos</t>
  </si>
  <si>
    <t>Nariz</t>
  </si>
  <si>
    <t>Hint 4</t>
  </si>
  <si>
    <t>Lógica</t>
  </si>
  <si>
    <t>Enlace las parejas.</t>
  </si>
  <si>
    <t>uno</t>
  </si>
  <si>
    <t>dos</t>
  </si>
  <si>
    <t>tres</t>
  </si>
  <si>
    <t>cuatro</t>
  </si>
  <si>
    <t>cinco</t>
  </si>
  <si>
    <t>seis</t>
  </si>
  <si>
    <t>siete</t>
  </si>
  <si>
    <t>ocho</t>
  </si>
  <si>
    <t>nueve</t>
  </si>
  <si>
    <t>diez</t>
  </si>
  <si>
    <t>once</t>
  </si>
  <si>
    <t>doce</t>
  </si>
  <si>
    <t>&lt;img src="https://dl.dropboxusercontent.com/s/oh1ssro2fay57yo/Alumno_hablando_rapido.gif" width="" height="100"&gt;</t>
  </si>
  <si>
    <t>&lt;img src="https://dl.dropboxusercontent.com/s/2smr0aec6oujybp/Antonio_hablando_izq_rapido.gif" width="" height="120"&gt;</t>
  </si>
  <si>
    <t>Chico</t>
  </si>
  <si>
    <t>&lt;img src="https://dl.dropboxusercontent.com/s/qfxkf5guj4pjibp/Profe_hablando_rapido.gif" width="" height="100"&gt;</t>
  </si>
  <si>
    <t>Profe</t>
  </si>
  <si>
    <t>&lt;img src="https://dl.dropboxusercontent.com/s/myylbuzhhn0uox7/Alicia_hablando_rapido.gif" width="" height="120"&gt;</t>
  </si>
  <si>
    <t>Chica</t>
  </si>
  <si>
    <t/>
  </si>
  <si>
    <t>Provincia</t>
  </si>
  <si>
    <t>Escribe una Capital de Provincia Andaluza. Cuidado con la ortografía.</t>
  </si>
  <si>
    <t>Cádiz</t>
  </si>
  <si>
    <t>Muy bien</t>
  </si>
  <si>
    <t>Sevilla</t>
  </si>
  <si>
    <t>Huelva</t>
  </si>
  <si>
    <t>Granada</t>
  </si>
  <si>
    <t>Jaén</t>
  </si>
  <si>
    <t>Córdoba</t>
  </si>
  <si>
    <t>Málaga</t>
  </si>
  <si>
    <t>Almería</t>
  </si>
  <si>
    <t>P1</t>
  </si>
  <si>
    <t>P2</t>
  </si>
  <si>
    <t>P3</t>
  </si>
  <si>
    <t>P4</t>
  </si>
  <si>
    <t>Países</t>
  </si>
  <si>
    <t>La Capital de España.</t>
  </si>
  <si>
    <t>Madrid</t>
  </si>
  <si>
    <t>madrid</t>
  </si>
  <si>
    <t>Cuidado con la ortografía</t>
  </si>
  <si>
    <t>MADRID</t>
  </si>
  <si>
    <t>No escribas todo en mayúsculas.</t>
  </si>
  <si>
    <t>Verano</t>
  </si>
  <si>
    <t>En la playa de [[1]] nos invitaron a pizza, comida típica de [[7]]. Si sumamos 2 + 2 tenemos [[11]].</t>
  </si>
  <si>
    <t>España</t>
  </si>
  <si>
    <t>Portugal</t>
  </si>
  <si>
    <t>Italia</t>
  </si>
  <si>
    <t>Uno</t>
  </si>
  <si>
    <t>Dos</t>
  </si>
  <si>
    <t>Tres</t>
  </si>
  <si>
    <t>Cuatro</t>
  </si>
  <si>
    <t>Cinco</t>
  </si>
  <si>
    <t>Primera pista</t>
  </si>
  <si>
    <t>Segunda pista</t>
  </si>
  <si>
    <t>Tercera pista</t>
  </si>
  <si>
    <t>Cuarta pista</t>
  </si>
  <si>
    <t>Cuando viajamos a [[5]], visitamos la Torre del Oro que está en [[2]], me confundí con la Torre de Pisa que está en [[7]]. &lt;/p&gt;
Si sumamos 1 + 2 tenemos [[10]], pero si los multiplicamos, tenemos [[9]].</t>
  </si>
  <si>
    <t xml:space="preserve">Ejemplo ENSAYO HTML </t>
  </si>
  <si>
    <t>Este es el primer ejemplo de ENSAYO</t>
  </si>
  <si>
    <t>Sin texto</t>
  </si>
  <si>
    <t>Sin límites</t>
  </si>
  <si>
    <t>Esta es la plantilla para que responda el alumno.</t>
  </si>
  <si>
    <t>Esta es la información para el evaluador.</t>
  </si>
  <si>
    <t>Ejemplo ENSAYO sin texto</t>
  </si>
  <si>
    <t>Escribe lo que sepas del tema que estamos viendo.</t>
  </si>
  <si>
    <t>El texto es opcional</t>
  </si>
  <si>
    <t>PRUEBA</t>
  </si>
  <si>
    <t>1. Caballo de Santiago =&amp;gt; {1:SHORTANSWER:%100%Blanco#Muy bien~%0%Negro#Debes leer bien~%0%Marrón#Debes leer bien}&lt;br/&gt; 
2. Caballo de Santiago =&amp;gt; {1:MULTICHOICE:=Blanco#Muy bien~%-50%Negro#Debes leer bien~%-50%Marrón#Debes leer bien}&lt;br/&gt; 
3. Marca los Colores:&lt;br/&gt; {1:MCHS:=Blanco#Muy bien~=Silla#Muy bien~%-50%Mesa~%-50%Suelo}&lt;br/&gt; 
4. Marca los Colores:&lt;br/&gt; {1:MRHS:=Blanco#Muy bien~=Negro#Muy bien~%-50%Mesa~%-50%Silla}&lt;br/&gt; 
5. Marca los Colores:&lt;br/&gt; {1:MRS:=Blanco#Muy bien~=Naranja#Correcto~=Azul~%-50%Mesa~%-50%Silla#No es un color~%-50%Boli}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</si>
</sst>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77">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4" fillId="2" borderId="0" xfId="0" applyFont="1" applyFill="1"/>
    <xf numFmtId="0" fontId="0" fillId="17" borderId="0" xfId="0" applyFill="1" applyAlignment="1">
      <alignment horizontal="center"/>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5"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6"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8"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8" fillId="2" borderId="0" xfId="0" applyFont="1" applyFill="1" applyAlignment="1">
      <alignment horizontal="center" vertical="center" textRotation="90"/>
    </xf>
  </cellXfs>
  <cellStyles count="2">
    <cellStyle name="Hipervínculo" xfId="1" builtinId="8"/>
    <cellStyle name="Normal" xfId="0" builtinId="0"/>
  </cellStyles>
  <dxfs count="348">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youtube.com/channel/UCTkOmf2IiTvxn1ch9hYjYQQ" TargetMode="External"/><Relationship Id="rId3" Type="http://schemas.openxmlformats.org/officeDocument/2006/relationships/hyperlink" Target="#DICCIONARIO!A1"/><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0" Type="http://schemas.openxmlformats.org/officeDocument/2006/relationships/hyperlink" Target="#'Datos PP'!A1"/><Relationship Id="rId4" Type="http://schemas.openxmlformats.org/officeDocument/2006/relationships/hyperlink" Target="#INICIO!A1"/><Relationship Id="rId9" Type="http://schemas.openxmlformats.org/officeDocument/2006/relationships/hyperlink" Target="#'Datos RC'!A1"/><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4.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5.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6.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7.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8.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9.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4" name="MENU">
          <a:extLst>
            <a:ext uri="{FF2B5EF4-FFF2-40B4-BE49-F238E27FC236}">
              <a16:creationId xmlns:a16="http://schemas.microsoft.com/office/drawing/2014/main" id="{652995F8-911C-4DCC-BFDE-18A844C10A6C}"/>
            </a:ext>
          </a:extLst>
        </xdr:cNvPr>
        <xdr:cNvGrpSpPr/>
      </xdr:nvGrpSpPr>
      <xdr:grpSpPr>
        <a:xfrm>
          <a:off x="1825414" y="0"/>
          <a:ext cx="5037660" cy="665594"/>
          <a:chOff x="1724476" y="0"/>
          <a:chExt cx="5037660" cy="660514"/>
        </a:xfrm>
      </xdr:grpSpPr>
      <xdr:sp macro="" textlink="">
        <xdr:nvSpPr>
          <xdr:cNvPr id="5" name="FONDO BLANCO">
            <a:extLst>
              <a:ext uri="{FF2B5EF4-FFF2-40B4-BE49-F238E27FC236}">
                <a16:creationId xmlns:a16="http://schemas.microsoft.com/office/drawing/2014/main" id="{0A32D1AD-9634-82DC-FF76-AA1B4B313291}"/>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6" name="FTP-MOODLE">
            <a:extLst>
              <a:ext uri="{FF2B5EF4-FFF2-40B4-BE49-F238E27FC236}">
                <a16:creationId xmlns:a16="http://schemas.microsoft.com/office/drawing/2014/main" id="{EB0E3F40-7831-3FB0-0962-7A0B778E1859}"/>
              </a:ext>
            </a:extLst>
          </xdr:cNvPr>
          <xdr:cNvGrpSpPr/>
        </xdr:nvGrpSpPr>
        <xdr:grpSpPr>
          <a:xfrm>
            <a:off x="5320436" y="0"/>
            <a:ext cx="427979" cy="660514"/>
            <a:chOff x="7590235" y="0"/>
            <a:chExt cx="427979" cy="666705"/>
          </a:xfrm>
        </xdr:grpSpPr>
        <xdr:pic>
          <xdr:nvPicPr>
            <xdr:cNvPr id="35" name="Moodle">
              <a:extLst>
                <a:ext uri="{FF2B5EF4-FFF2-40B4-BE49-F238E27FC236}">
                  <a16:creationId xmlns:a16="http://schemas.microsoft.com/office/drawing/2014/main" id="{E9ABC2B0-DD3E-99FC-804B-5A0FA36D7174}"/>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6" name="FTP">
              <a:extLst>
                <a:ext uri="{FF2B5EF4-FFF2-40B4-BE49-F238E27FC236}">
                  <a16:creationId xmlns:a16="http://schemas.microsoft.com/office/drawing/2014/main" id="{6EA470E1-F4DA-6732-5977-DAA06FD9B490}"/>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7" name="DICCIONARIO">
            <a:hlinkClick xmlns:r="http://schemas.openxmlformats.org/officeDocument/2006/relationships" r:id="rId5" tooltip="DICTIONARY"/>
            <a:extLst>
              <a:ext uri="{FF2B5EF4-FFF2-40B4-BE49-F238E27FC236}">
                <a16:creationId xmlns:a16="http://schemas.microsoft.com/office/drawing/2014/main" id="{3EBE43D0-E0A7-20C6-4702-7582F6BE30E5}"/>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8" name="INICIO">
            <a:hlinkClick xmlns:r="http://schemas.openxmlformats.org/officeDocument/2006/relationships" r:id="rId6" tooltip="INICIO / HOME"/>
            <a:extLst>
              <a:ext uri="{FF2B5EF4-FFF2-40B4-BE49-F238E27FC236}">
                <a16:creationId xmlns:a16="http://schemas.microsoft.com/office/drawing/2014/main" id="{884A7CC4-D0E1-C088-2C04-231F1D1C5C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9" name="TIPO PREGUNTAS">
            <a:extLst>
              <a:ext uri="{FF2B5EF4-FFF2-40B4-BE49-F238E27FC236}">
                <a16:creationId xmlns:a16="http://schemas.microsoft.com/office/drawing/2014/main" id="{02C4FF12-B8A4-2A40-3FC6-BEB4A31858F8}"/>
              </a:ext>
            </a:extLst>
          </xdr:cNvPr>
          <xdr:cNvGrpSpPr/>
        </xdr:nvGrpSpPr>
        <xdr:grpSpPr>
          <a:xfrm>
            <a:off x="1724476" y="15241"/>
            <a:ext cx="3589860" cy="610800"/>
            <a:chOff x="1724476" y="15241"/>
            <a:chExt cx="3589860" cy="610800"/>
          </a:xfrm>
        </xdr:grpSpPr>
        <xdr:sp macro="[0]!IR_OM" textlink="">
          <xdr:nvSpPr>
            <xdr:cNvPr id="10" name="OM">
              <a:hlinkClick xmlns:r="http://schemas.openxmlformats.org/officeDocument/2006/relationships" r:id="rId7" tooltip="OM 1R"/>
              <a:extLst>
                <a:ext uri="{FF2B5EF4-FFF2-40B4-BE49-F238E27FC236}">
                  <a16:creationId xmlns:a16="http://schemas.microsoft.com/office/drawing/2014/main" id="{4217BED3-68A8-2ABB-EE41-A83B095AAD4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11" name="O2">
              <a:hlinkClick xmlns:r="http://schemas.openxmlformats.org/officeDocument/2006/relationships" r:id="rId8" tooltip="OM +R"/>
              <a:extLst>
                <a:ext uri="{FF2B5EF4-FFF2-40B4-BE49-F238E27FC236}">
                  <a16:creationId xmlns:a16="http://schemas.microsoft.com/office/drawing/2014/main" id="{E42BD4F2-3855-064F-0954-3CF2DCC87ED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2" name="VF">
              <a:hlinkClick xmlns:r="http://schemas.openxmlformats.org/officeDocument/2006/relationships" r:id="rId9" tooltip="VF"/>
              <a:extLst>
                <a:ext uri="{FF2B5EF4-FFF2-40B4-BE49-F238E27FC236}">
                  <a16:creationId xmlns:a16="http://schemas.microsoft.com/office/drawing/2014/main" id="{F614AB0F-234F-A105-A21E-2C75DAE5876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3" name="EM">
              <a:hlinkClick xmlns:r="http://schemas.openxmlformats.org/officeDocument/2006/relationships" r:id="rId10" tooltip="EM"/>
              <a:extLst>
                <a:ext uri="{FF2B5EF4-FFF2-40B4-BE49-F238E27FC236}">
                  <a16:creationId xmlns:a16="http://schemas.microsoft.com/office/drawing/2014/main" id="{2D484B2B-423F-C633-0AFE-9C6DF00CEAE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4" name="RC">
              <a:hlinkClick xmlns:r="http://schemas.openxmlformats.org/officeDocument/2006/relationships" r:id="rId11" tooltip="RC"/>
              <a:extLst>
                <a:ext uri="{FF2B5EF4-FFF2-40B4-BE49-F238E27FC236}">
                  <a16:creationId xmlns:a16="http://schemas.microsoft.com/office/drawing/2014/main" id="{37D1C7E4-4B2E-3849-C0AE-DA4D841819B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32" name="PP">
              <a:hlinkClick xmlns:r="http://schemas.openxmlformats.org/officeDocument/2006/relationships" r:id="rId12" tooltip="PP"/>
              <a:extLst>
                <a:ext uri="{FF2B5EF4-FFF2-40B4-BE49-F238E27FC236}">
                  <a16:creationId xmlns:a16="http://schemas.microsoft.com/office/drawing/2014/main" id="{2DABB53B-BECF-8A54-D861-081F84BA86D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33" name="EN">
              <a:hlinkClick xmlns:r="http://schemas.openxmlformats.org/officeDocument/2006/relationships" r:id="rId13" tooltip="EN"/>
              <a:extLst>
                <a:ext uri="{FF2B5EF4-FFF2-40B4-BE49-F238E27FC236}">
                  <a16:creationId xmlns:a16="http://schemas.microsoft.com/office/drawing/2014/main" id="{AB048C99-ECFF-9749-9A31-D642DB02056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4" name="CL">
              <a:hlinkClick xmlns:r="http://schemas.openxmlformats.org/officeDocument/2006/relationships" r:id="rId14" tooltip="CL"/>
              <a:extLst>
                <a:ext uri="{FF2B5EF4-FFF2-40B4-BE49-F238E27FC236}">
                  <a16:creationId xmlns:a16="http://schemas.microsoft.com/office/drawing/2014/main" id="{32B36D06-E460-58EA-75A6-54A0E80212B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DEC6EDE5-1AE1-4BFC-AF12-893B1A34C1B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CACEB20F-85C7-90BF-FFA6-15237A144878}"/>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3AD0685C-B8B3-CB79-A47D-08187FCD8CB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680EF89F-D3E8-CAE3-C3E4-858777B2D501}"/>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9FABF1D3-50E5-EB7E-828B-9EBCDB4166E9}"/>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99E504AC-B225-90B7-783F-CA1F9E8FC41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B41A40CF-7BAD-6587-6311-8109D8B50169}"/>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86EF39A9-71F3-A363-E964-B90F9DD94C5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762E515B-D66F-D8BF-34C9-B6296FA2CF79}"/>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5175CF93-9BA7-A465-1A3C-67752FF351A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ED8271A-75C4-5363-47FD-D600D1BC1C42}"/>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D11C25C-2F5B-67BA-6088-E2E42D4444EC}"/>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1830FCC3-F127-09D1-0C63-BB901FEB015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EA77B59A-9CCB-3975-7671-99359D87208D}"/>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399C2A-5F5C-3E76-BF02-A11031A6B921}"/>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3D54A7F7-FAFC-CDD8-5B94-FC0FB8392B3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8B466AD0-B8DA-49D9-96E8-996B4B68FA97}"/>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9236AD3D-B1EC-C12A-4313-759D96154083}"/>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70C09BF4-716C-D5FA-73A3-39E50639FA99}"/>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BBD1F20D-6991-DAC0-0C0D-FEFF7AFA7CB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33378B1F-D77E-9BC4-13C7-8AA0A5DEB9E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2F69E77A-A1B1-9944-3270-942402A83987}"/>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506D1C52-BF58-43C8-65AD-3838C1FB900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C53F133A-94EC-D8B2-453B-A5096091EEEA}"/>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F4D27DB3-C1DA-D4CD-890C-D53ACA6D5F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00DC4A44-6B9C-90B1-5B47-6964C9D64A3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7F0CB82-B1A9-4DC7-84D9-372F1D5A02E9}"/>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CDBED940-5D18-0EB9-A9AB-002592D3AB4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7B54ACBC-3E90-5785-B89C-4EF648BB41D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3D72AED-B118-044F-B32F-640559E15BE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D6B47383-10F7-C479-C6DD-50B8A69230E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77D6D25-356F-BE8E-6AB7-72E5E5F018D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467CDBA-296D-461B-9C8D-DEA3B2E60460}"/>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E9A62C90-F812-CA8B-AB59-EC6B79B7ED2D}"/>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F9937D2-52DA-1721-0F6B-53F684E0258E}"/>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D76E5450-87A7-CB43-99B7-CA02896D26C6}"/>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DEA64456-11D0-F941-DD02-995183B4CF35}"/>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8AAE4D3-8373-94CE-1522-D8DD6990323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137D1F40-4AE4-21CE-6374-2E169F0520E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40916050-C023-0059-B00E-7887515C0EA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001F485E-D4D4-F8D4-F9E8-ECDA7039621F}"/>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6C686B9F-5229-9969-B209-2117828E00D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5132C1D4-8F88-E865-B713-76B185BB66A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A871BD4-6D22-0764-9066-20175567E60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C84EC3B1-D8A0-D513-CF5F-335DE48C43AB}"/>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A28B379C-0E7E-A902-011E-441214217FA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93BBC4-FA36-147C-EFDB-074EE689CBB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1DCC4D6-833E-C0F2-2A92-83113F0F2B5B}"/>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17873629-0592-4E2C-8702-D4461B2E8F95}"/>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14A685D3-9FB2-346B-5710-3A3C2870066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31E8E54-5C35-4838-263A-A9F73E46DC28}"/>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8B7AEB97-4ACE-ED2A-3FD0-516DE39B35EF}"/>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688B47F1-BDCD-503A-D722-0D70F4BDFB5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414375B-398C-DDCD-157A-A085AF6324EF}"/>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2DE764EE-B5FD-65C1-6F1A-66CFC751830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D0D48155-BE49-0D43-1584-F1954B8DA366}"/>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63098759-A9D4-EF37-952D-DCA5C319541C}"/>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E55E101-02E5-438C-C659-DD443D23EFA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1DB1878-0107-8463-267E-CE6E2738380E}"/>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8A95079-8A4A-EC4A-6DBA-D2FE71AF552D}"/>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0E80461-B320-AF0D-4FC0-CA002DCE021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66B77C8-F84C-5E2C-405A-469BD1648515}"/>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73936681-3612-6CAB-BC33-2F5FBB0E9308}"/>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B42E28D0-6B13-B229-FF44-609C624BD96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3A48975-AA85-47AE-9850-BC25D8E02023}"/>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BAA16C04-C3A0-3AF2-4A06-E73B0FC238C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FAFEECA0-DE2F-B7A0-A330-3CD0224DF19D}"/>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35527B13-D329-C705-140A-8F616254E7A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7D088487-AD84-8F03-BAEB-A0B0F6D82EBF}"/>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7049842-A47A-FAA1-F9C4-7570AD81217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98D11ED7-4DA2-A159-B512-4F1908FF163F}"/>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5116AA22-8335-C167-3A53-B9B9C1E09AD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18D32E6C-8128-D367-C1C7-D5A7DF821D4B}"/>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D8EC450C-D03B-AB94-CF2B-93294EFB52D1}"/>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EB87D17-6594-FADE-42FC-D92315D5B58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900B20A-99F0-A6A4-0C63-5D1B33A85707}"/>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D90E84BE-804D-5DFF-FD02-4340C6BB70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C7F595E6-C3CC-0316-8959-54D11D984BA9}"/>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F1E2A28-6756-691D-31BA-FC4F5266C44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7E4B3F71-D900-BC69-6B52-CE1D0286EBD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6022C338-6B42-4ECB-9AE2-B2638E24CF4F}"/>
            </a:ext>
          </a:extLst>
        </xdr:cNvPr>
        <xdr:cNvGrpSpPr/>
      </xdr:nvGrpSpPr>
      <xdr:grpSpPr>
        <a:xfrm>
          <a:off x="1625600" y="0"/>
          <a:ext cx="5037660" cy="665594"/>
          <a:chOff x="1724476" y="0"/>
          <a:chExt cx="5037660" cy="660514"/>
        </a:xfrm>
      </xdr:grpSpPr>
      <xdr:sp macro="" textlink="">
        <xdr:nvSpPr>
          <xdr:cNvPr id="3" name="FONDO BLANCO">
            <a:extLst>
              <a:ext uri="{FF2B5EF4-FFF2-40B4-BE49-F238E27FC236}">
                <a16:creationId xmlns:a16="http://schemas.microsoft.com/office/drawing/2014/main" id="{CC0BD42A-D9C5-3934-AC8B-68D944E077D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2F97CA11-2669-A5AF-174B-9682D249D17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1DC2AD54-91FE-9620-8C7B-1206930494F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F3F1DB80-C740-CACA-B01E-9438F2C6C4A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E0E825F-75C9-DAAC-C7FD-428F59F39E5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45C6C628-0F34-8FE8-D656-6496392BC373}"/>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1B1C376A-CAB8-F1D3-6FA9-88CE54E638C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5CE3E6F5-FA43-C708-E809-D1E9B1616C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CFA2221-BCF7-7AA2-BC40-F08C5208818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C4C0ECEF-72E9-4674-BD32-5103591F552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7F8860E-E4EE-07C4-1DC7-62A78037C11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685B877-0901-B970-100F-87B3CCB1967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29992A27-FC30-0B4C-B7BF-5900243940B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B940083-3931-23D1-928F-016721FEFBD4}"/>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19" name="CL">
              <a:hlinkClick xmlns:r="http://schemas.openxmlformats.org/officeDocument/2006/relationships" r:id="rId14" tooltip="CL"/>
              <a:extLst>
                <a:ext uri="{FF2B5EF4-FFF2-40B4-BE49-F238E27FC236}">
                  <a16:creationId xmlns:a16="http://schemas.microsoft.com/office/drawing/2014/main" id="{BA9F202F-6698-B021-7555-771106BCC2FA}"/>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astTest_PlugIn_V78\FastTest%20PlugIn.xlsm" TargetMode="External"/><Relationship Id="rId1" Type="http://schemas.openxmlformats.org/officeDocument/2006/relationships/externalLinkPath" Target="/Users/milag/Desktop/FastTest_PlugIn_V78/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0" dataDxfId="39" tableBorderDxfId="38">
  <autoFilter ref="S2:AF29" xr:uid="{00000000-0009-0000-0100-00000C000000}"/>
  <tableColumns count="14">
    <tableColumn id="1" xr3:uid="{00000000-0010-0000-0900-000001000000}" name="N Sub" totalsRowFunction="custom" dataDxfId="37" totalsRowDxfId="36">
      <calculatedColumnFormula>IF(Tabla_Menu[[#This Row],[Nivel]]=T2,0,COUNTIF(Tabla_Menu[Nivel],Tabla_Menu[[#This Row],[Nivel]]))</calculatedColumnFormula>
      <totalsRowFormula>COUNTIF(Tabla_Menu[N Sub],"&lt;&gt;0")</totalsRowFormula>
    </tableColumn>
    <tableColumn id="2" xr3:uid="{00000000-0010-0000-0900-000002000000}" name="Nivel" dataDxfId="35" totalsRowDxfId="34">
      <calculatedColumnFormula>IFERROR(INDIRECT(Tabla_Menu[[#This Row],[Nivel 1]]&amp;IDIOMA),"")</calculatedColumnFormula>
    </tableColumn>
    <tableColumn id="3" xr3:uid="{00000000-0010-0000-0900-000003000000}" name="Nombre" dataDxfId="33" totalsRowDxfId="32">
      <calculatedColumnFormula>IFERROR(INDIRECT(Tabla_Menu[[#This Row],[Nivel 2]]&amp;IDIOMA)&amp;IF(Tabla_Menu[[#This Row],[Nivel]]="",""," "&amp;Tabla_Menu[[#This Row],['[Teclas']]]),"")</calculatedColumnFormula>
    </tableColumn>
    <tableColumn id="4" xr3:uid="{00000000-0010-0000-0900-000004000000}" name="On Action" dataDxfId="31" totalsRowDxfId="30"/>
    <tableColumn id="5" xr3:uid="{00000000-0010-0000-0900-000005000000}" name="Face Id" dataDxfId="29" totalsRowDxfId="28"/>
    <tableColumn id="6" xr3:uid="{00000000-0010-0000-0900-000006000000}" name="Begin Group" dataDxfId="27" totalsRowDxfId="26"/>
    <tableColumn id="7" xr3:uid="{00000000-0010-0000-0900-000007000000}" name="Nivel 1" dataDxfId="25" totalsRowDxfId="24"/>
    <tableColumn id="8" xr3:uid="{00000000-0010-0000-0900-000008000000}" name="Nivel 2" dataDxfId="23" totalsRowDxfId="22"/>
    <tableColumn id="11" xr3:uid="{00000000-0010-0000-0900-00000B000000}" name="Teclas" dataDxfId="21" totalsRowDxfId="20"/>
    <tableColumn id="15" xr3:uid="{00000000-0010-0000-0900-00000F000000}" name="HOJAS NO MUESTRA" dataDxfId="19" totalsRowDxfId="18"/>
    <tableColumn id="10" xr3:uid="{00000000-0010-0000-0900-00000A000000}" name="N/A" dataDxfId="17" totalsRowDxfId="16">
      <calculatedColumnFormula>IF(OR(Tabla_Menu[[#This Row],[Nivel]]="",IFERROR(SEARCH(MID(CELL("nombrearchivo"),FIND(".xlsm]",CELL("nombrearchivo"),1)+6,100),Tabla_Menu[[#This Row],[HOJAS NO MUESTRA]],1),0)&gt;0),"N/A","")</calculatedColumnFormula>
    </tableColumn>
    <tableColumn id="14" xr3:uid="{00000000-0010-0000-0900-00000E000000}" name="Num N/A" dataDxfId="15" totalsRowDxfId="14">
      <calculatedColumnFormula>IF(Tabla_Menu[[#This Row],[N/A]]="",,COUNTIF(Tabla_Menu[Nivel &amp; Incluir],Tabla_Menu[[#This Row],[Nivel &amp; Incluir]]))</calculatedColumnFormula>
    </tableColumn>
    <tableColumn id="12" xr3:uid="{00000000-0010-0000-0900-00000C000000}" name="Nivel &amp; Incluir" dataDxfId="13" totalsRowDxfId="12">
      <calculatedColumnFormula>Tabla_Menu[[#This Row],[Nivel]]&amp;Tabla_Menu[[#This Row],[N/A]]</calculatedColumnFormula>
    </tableColumn>
    <tableColumn id="9" xr3:uid="{00000000-0010-0000-0900-000009000000}" name="[Teclas]" dataDxfId="11" totalsRowDxfId="10"/>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9" dataDxfId="8" totalsRowDxfId="6" tableBorderDxfId="7">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5" totalsRowDxfId="4">
      <totalsRowFormula>COUNTA(Tabla_Comandos[CommandBars])</totalsRowFormula>
    </tableColumn>
    <tableColumn id="2" xr3:uid="{00000000-0010-0000-0A00-000002000000}" name="Cambio" dataDxfId="3" totalsRowDxfId="2"/>
    <tableColumn id="3" xr3:uid="{00000000-0010-0000-0A00-000003000000}" name="Activa/Des" dataDxfId="1" totalsRow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7" totalsRowShown="0" headerRowDxfId="336">
  <autoFilter ref="A4:AI7"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6" totalsRowShown="0" headerRowDxfId="300">
  <autoFilter ref="A4:AI6"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6" totalsRowShown="0" headerRowDxfId="264">
  <autoFilter ref="A4:AI6"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7" totalsRowShown="0" headerRowDxfId="228">
  <autoFilter ref="A4:AI7"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6" totalsRowShown="0" headerRowDxfId="192">
  <autoFilter ref="A4:AI6"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6" totalsRowShown="0" headerRowDxfId="156" dataDxfId="155">
  <autoFilter ref="A4:AI6"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6" totalsRowShown="0" headerRowDxfId="117" dataDxfId="116">
  <autoFilter ref="A4:AI6" xr:uid="{00000000-0009-0000-0100-000007000000}"/>
  <tableColumns count="35">
    <tableColumn id="1" xr3:uid="{00000000-0010-0000-0700-000001000000}" name="C1" dataDxfId="115"/>
    <tableColumn id="2" xr3:uid="{00000000-0010-0000-0700-000002000000}" name="C2" dataDxfId="114"/>
    <tableColumn id="3" xr3:uid="{00000000-0010-0000-0700-000003000000}" name="Columna1" dataDxfId="113"/>
    <tableColumn id="4" xr3:uid="{00000000-0010-0000-0700-000004000000}" name="Columna2" dataDxfId="112"/>
    <tableColumn id="5" xr3:uid="{00000000-0010-0000-0700-000005000000}" name="Descripción" dataDxfId="111"/>
    <tableColumn id="6" xr3:uid="{00000000-0010-0000-0700-000006000000}" name="FastTest PlugIn - ENSAYO_x000a__x000a_Enunciado de la pregunta" dataDxfId="110"/>
    <tableColumn id="7" xr3:uid="{00000000-0010-0000-0700-000007000000}" name="Formato de la Respuesta_x000a_Requerir texto" dataDxfId="109"/>
    <tableColumn id="8" xr3:uid="{00000000-0010-0000-0700-000008000000}" name="Requerir texto" dataDxfId="108"/>
    <tableColumn id="9" xr3:uid="{00000000-0010-0000-0700-000009000000}" name="Tamaño de la caja de entrada" dataDxfId="107"/>
    <tableColumn id="10" xr3:uid="{00000000-0010-0000-0700-00000A000000}" name="Permitir archivos adjuntos" dataDxfId="106"/>
    <tableColumn id="11" xr3:uid="{00000000-0010-0000-0700-00000B000000}" name="Archivos adjuntos requeridos" dataDxfId="105"/>
    <tableColumn id="12" xr3:uid="{00000000-0010-0000-0700-00000C000000}" name="Plantilla de Respuesta" dataDxfId="104"/>
    <tableColumn id="13" xr3:uid="{00000000-0010-0000-0700-00000D000000}" name="Información para el evaluador" dataDxfId="103"/>
    <tableColumn id="14" xr3:uid="{00000000-0010-0000-0700-00000E000000}" name="Columna3" dataDxfId="102"/>
    <tableColumn id="15" xr3:uid="{00000000-0010-0000-0700-00000F000000}" name="Columna4" dataDxfId="101"/>
    <tableColumn id="16" xr3:uid="{00000000-0010-0000-0700-000010000000}" name="Columna5" dataDxfId="100"/>
    <tableColumn id="17" xr3:uid="{00000000-0010-0000-0700-000011000000}" name="Columna6" dataDxfId="99"/>
    <tableColumn id="18" xr3:uid="{00000000-0010-0000-0700-000012000000}" name="Columna7" dataDxfId="98"/>
    <tableColumn id="19" xr3:uid="{00000000-0010-0000-0700-000013000000}" name="Columna8" dataDxfId="97"/>
    <tableColumn id="20" xr3:uid="{00000000-0010-0000-0700-000014000000}" name="Columna9" dataDxfId="96"/>
    <tableColumn id="21" xr3:uid="{00000000-0010-0000-0700-000015000000}" name="Columna10" dataDxfId="95"/>
    <tableColumn id="22" xr3:uid="{00000000-0010-0000-0700-000016000000}" name="Columna11" dataDxfId="94"/>
    <tableColumn id="23" xr3:uid="{00000000-0010-0000-0700-000017000000}" name="Columna12" dataDxfId="93"/>
    <tableColumn id="24" xr3:uid="{00000000-0010-0000-0700-000018000000}" name="Columna13" dataDxfId="92"/>
    <tableColumn id="25" xr3:uid="{00000000-0010-0000-0700-000019000000}" name="Columna14" dataDxfId="91"/>
    <tableColumn id="26" xr3:uid="{00000000-0010-0000-0700-00001A000000}" name="Columna15" dataDxfId="90"/>
    <tableColumn id="27" xr3:uid="{00000000-0010-0000-0700-00001B000000}" name="Columna16" dataDxfId="89"/>
    <tableColumn id="28" xr3:uid="{00000000-0010-0000-0700-00001C000000}" name="Columna17" dataDxfId="88"/>
    <tableColumn id="29" xr3:uid="{00000000-0010-0000-0700-00001D000000}" name="Columna18" dataDxfId="87"/>
    <tableColumn id="30" xr3:uid="{00000000-0010-0000-0700-00001E000000}" name="Columna19" dataDxfId="86"/>
    <tableColumn id="31" xr3:uid="{00000000-0010-0000-0700-00001F000000}" name="Columna20" dataDxfId="85"/>
    <tableColumn id="32" xr3:uid="{00000000-0010-0000-0700-000020000000}" name="Columna21" dataDxfId="84"/>
    <tableColumn id="33" xr3:uid="{00000000-0010-0000-0700-000021000000}" name="Columna22" dataDxfId="83"/>
    <tableColumn id="34" xr3:uid="{00000000-0010-0000-0700-000022000000}" name="Columna23" dataDxfId="82"/>
    <tableColumn id="35" xr3:uid="{00000000-0010-0000-0700-000023000000}" name="Imagen"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5" totalsRowShown="0" headerRowDxfId="80" dataDxfId="79">
  <autoFilter ref="A4:AI5" xr:uid="{00000000-0009-0000-0100-000008000000}"/>
  <tableColumns count="35">
    <tableColumn id="1" xr3:uid="{00000000-0010-0000-0800-000001000000}" name="C1" dataDxfId="78"/>
    <tableColumn id="2" xr3:uid="{00000000-0010-0000-0800-000002000000}" name="C2" dataDxfId="77"/>
    <tableColumn id="3" xr3:uid="{00000000-0010-0000-0800-000003000000}" name="Columna1" dataDxfId="76"/>
    <tableColumn id="4" xr3:uid="{00000000-0010-0000-0800-000004000000}" name="Columna2" dataDxfId="75"/>
    <tableColumn id="5" xr3:uid="{00000000-0010-0000-0800-000005000000}" name="Descripcion" dataDxfId="74"/>
    <tableColumn id="6" xr3:uid="{00000000-0010-0000-0800-000006000000}" name="Enunciado" dataDxfId="73"/>
    <tableColumn id="7" xr3:uid="{00000000-0010-0000-0800-000007000000}" name="Ancho RC" dataDxfId="72"/>
    <tableColumn id="8" xr3:uid="{00000000-0010-0000-0800-000008000000}" name="Columna3" dataDxfId="71"/>
    <tableColumn id="9" xr3:uid="{00000000-0010-0000-0800-000009000000}" name="Ancho IM" dataDxfId="70"/>
    <tableColumn id="10" xr3:uid="{00000000-0010-0000-0800-00000A000000}" name="Columna5" dataDxfId="69"/>
    <tableColumn id="11" xr3:uid="{00000000-0010-0000-0800-00000B000000}" name="Columna6" dataDxfId="68"/>
    <tableColumn id="12" xr3:uid="{00000000-0010-0000-0800-00000C000000}" name="Columna7" dataDxfId="67"/>
    <tableColumn id="13" xr3:uid="{00000000-0010-0000-0800-00000D000000}" name="Columna8" dataDxfId="66"/>
    <tableColumn id="14" xr3:uid="{00000000-0010-0000-0800-00000E000000}" name="Columna9" dataDxfId="65"/>
    <tableColumn id="15" xr3:uid="{00000000-0010-0000-0800-00000F000000}" name="Columna10" dataDxfId="64"/>
    <tableColumn id="16" xr3:uid="{00000000-0010-0000-0800-000010000000}" name="Columna11" dataDxfId="63"/>
    <tableColumn id="17" xr3:uid="{00000000-0010-0000-0800-000011000000}" name="Columna12" dataDxfId="62"/>
    <tableColumn id="18" xr3:uid="{00000000-0010-0000-0800-000012000000}" name="Columna13" dataDxfId="61"/>
    <tableColumn id="19" xr3:uid="{00000000-0010-0000-0800-000013000000}" name="Columna14" dataDxfId="60"/>
    <tableColumn id="20" xr3:uid="{00000000-0010-0000-0800-000014000000}" name="Columna15" dataDxfId="59"/>
    <tableColumn id="21" xr3:uid="{00000000-0010-0000-0800-000015000000}" name="Columna16" dataDxfId="58"/>
    <tableColumn id="22" xr3:uid="{00000000-0010-0000-0800-000016000000}" name="Columna17" dataDxfId="57"/>
    <tableColumn id="23" xr3:uid="{00000000-0010-0000-0800-000017000000}" name="Columna18" dataDxfId="56"/>
    <tableColumn id="24" xr3:uid="{00000000-0010-0000-0800-000018000000}" name="Columna19" dataDxfId="55"/>
    <tableColumn id="25" xr3:uid="{00000000-0010-0000-0800-000019000000}" name="Columna20" dataDxfId="54"/>
    <tableColumn id="26" xr3:uid="{00000000-0010-0000-0800-00001A000000}" name="Columna21" dataDxfId="53"/>
    <tableColumn id="27" xr3:uid="{00000000-0010-0000-0800-00001B000000}" name="Columna22" dataDxfId="52"/>
    <tableColumn id="28" xr3:uid="{00000000-0010-0000-0800-00001C000000}" name="Columna23" dataDxfId="51"/>
    <tableColumn id="29" xr3:uid="{00000000-0010-0000-0800-00001D000000}" name="Columna24" dataDxfId="50"/>
    <tableColumn id="30" xr3:uid="{00000000-0010-0000-0800-00001E000000}" name="Columna25" dataDxfId="49"/>
    <tableColumn id="31" xr3:uid="{00000000-0010-0000-0800-00001F000000}" name="Pista 1" dataDxfId="48"/>
    <tableColumn id="32" xr3:uid="{00000000-0010-0000-0800-000020000000}" name="Pista 2" dataDxfId="47"/>
    <tableColumn id="33" xr3:uid="{00000000-0010-0000-0800-000021000000}" name="Pista 3" dataDxfId="46"/>
    <tableColumn id="34" xr3:uid="{00000000-0010-0000-0800-000022000000}" name="Pista 4" dataDxfId="45"/>
    <tableColumn id="35" xr3:uid="{00000000-0010-0000-0800-000023000000}" name="Imagen" dataDxfId="4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25" workbookViewId="0">
      <pane xSplit="19" ySplit="46" topLeftCell="T47" activePane="bottomRight" state="frozen"/>
      <selection pane="topRight" activeCell="T1" sqref="T1"/>
      <selection pane="bottomLeft" activeCell="A47" sqref="A47"/>
      <selection pane="bottomRight" activeCell="T47" sqref="T47"/>
    </sheetView>
  </sheetViews>
  <sheetFormatPr baseColWidth="10"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62" t="s">
        <v>387</v>
      </c>
      <c r="B1" s="252" t="s">
        <v>5</v>
      </c>
      <c r="C1" s="253"/>
      <c r="D1" s="253"/>
      <c r="E1" s="253"/>
      <c r="F1" s="253"/>
      <c r="G1" s="253"/>
      <c r="H1" s="253"/>
      <c r="I1" s="253"/>
      <c r="J1" s="253"/>
      <c r="K1" s="253"/>
      <c r="L1" s="253"/>
      <c r="M1" s="253"/>
      <c r="N1" s="253"/>
      <c r="O1" s="253"/>
      <c r="P1" s="253"/>
      <c r="Q1" s="253"/>
      <c r="R1" s="253"/>
      <c r="S1" s="254"/>
    </row>
    <row r="2" spans="1:19" ht="6" customHeight="1" x14ac:dyDescent="0.5">
      <c r="A2" s="263"/>
      <c r="B2" s="4"/>
      <c r="C2" s="5"/>
      <c r="D2" s="5"/>
      <c r="E2" s="5"/>
      <c r="F2" s="5"/>
      <c r="G2" s="5"/>
      <c r="H2" s="5"/>
      <c r="I2" s="5"/>
      <c r="J2" s="5"/>
      <c r="K2" s="5"/>
      <c r="L2" s="5"/>
      <c r="M2" s="5"/>
      <c r="N2" s="5"/>
      <c r="O2" s="5"/>
      <c r="P2" s="5"/>
      <c r="Q2" s="5"/>
      <c r="R2" s="5"/>
      <c r="S2" s="6"/>
    </row>
    <row r="3" spans="1:19" x14ac:dyDescent="0.5">
      <c r="A3" s="263"/>
      <c r="B3" s="4"/>
      <c r="C3" s="5"/>
      <c r="D3" s="5"/>
      <c r="E3" s="5"/>
      <c r="F3" s="5"/>
      <c r="G3" s="269" t="str">
        <f ca="1">INDIRECT("Z_IN_04_"&amp;IDIOMA)</f>
        <v>Esta Aplicación ha sido desarrollada, en la primera versión, por:</v>
      </c>
      <c r="H3" s="269"/>
      <c r="I3" s="269"/>
      <c r="J3" s="269"/>
      <c r="K3" s="269"/>
      <c r="L3" s="269"/>
      <c r="M3" s="269"/>
      <c r="N3" s="269"/>
      <c r="O3" s="5"/>
      <c r="P3" s="5"/>
      <c r="Q3" s="5"/>
      <c r="R3" s="5"/>
      <c r="S3" s="6"/>
    </row>
    <row r="4" spans="1:19" ht="6" customHeight="1" x14ac:dyDescent="0.5">
      <c r="A4" s="263"/>
      <c r="B4" s="4"/>
      <c r="C4" s="5"/>
      <c r="D4" s="5"/>
      <c r="E4" s="5"/>
      <c r="F4" s="5"/>
      <c r="G4" s="5"/>
      <c r="H4" s="5"/>
      <c r="I4" s="5"/>
      <c r="J4" s="5"/>
      <c r="K4" s="5"/>
      <c r="L4" s="5"/>
      <c r="M4" s="5"/>
      <c r="N4" s="5"/>
      <c r="O4" s="5"/>
      <c r="P4" s="5"/>
      <c r="Q4" s="5"/>
      <c r="R4" s="5"/>
      <c r="S4" s="6"/>
    </row>
    <row r="5" spans="1:19" ht="15.75" customHeight="1" x14ac:dyDescent="0.5">
      <c r="A5" s="263"/>
      <c r="B5" s="4"/>
      <c r="C5" s="5"/>
      <c r="D5" s="5"/>
      <c r="E5" s="5"/>
      <c r="F5" s="260"/>
      <c r="G5" s="260"/>
      <c r="H5" s="134"/>
      <c r="I5" s="270" t="s">
        <v>0</v>
      </c>
      <c r="J5" s="270"/>
      <c r="K5" s="270"/>
      <c r="L5" s="270"/>
      <c r="M5" s="5"/>
      <c r="N5" s="244"/>
      <c r="O5" s="244"/>
      <c r="P5" s="261" t="s">
        <v>651</v>
      </c>
      <c r="Q5" s="261"/>
      <c r="R5" s="261"/>
      <c r="S5" s="6"/>
    </row>
    <row r="6" spans="1:19" ht="6" customHeight="1" x14ac:dyDescent="0.5">
      <c r="A6" s="263"/>
      <c r="B6" s="4"/>
      <c r="C6" s="5"/>
      <c r="D6" s="5"/>
      <c r="E6" s="5"/>
      <c r="F6" s="260"/>
      <c r="G6" s="260"/>
      <c r="H6" s="134"/>
      <c r="I6" s="5"/>
      <c r="J6" s="5"/>
      <c r="K6" s="5"/>
      <c r="L6" s="5"/>
      <c r="M6" s="5"/>
      <c r="N6" s="244"/>
      <c r="O6" s="244"/>
      <c r="P6" s="272" t="str">
        <f ca="1">INDIRECT("Z_IN_01_"&amp;IDIOMA)</f>
        <v>CANAL YOUTUBE</v>
      </c>
      <c r="Q6" s="272"/>
      <c r="R6" s="272"/>
      <c r="S6" s="6"/>
    </row>
    <row r="7" spans="1:19" ht="15" customHeight="1" x14ac:dyDescent="0.5">
      <c r="A7" s="263"/>
      <c r="B7" s="4"/>
      <c r="C7" s="5"/>
      <c r="D7" s="5"/>
      <c r="E7" s="5"/>
      <c r="F7" s="260"/>
      <c r="G7" s="260"/>
      <c r="H7" s="134"/>
      <c r="I7" s="269" t="str">
        <f ca="1">INDIRECT("Z_IN_05_"&amp;IDIOMA)</f>
        <v>Universidad de Cádiz</v>
      </c>
      <c r="J7" s="269"/>
      <c r="K7" s="269"/>
      <c r="L7" s="269"/>
      <c r="M7" s="5"/>
      <c r="N7" s="244"/>
      <c r="O7" s="244"/>
      <c r="P7" s="272"/>
      <c r="Q7" s="272"/>
      <c r="R7" s="272"/>
      <c r="S7" s="6"/>
    </row>
    <row r="8" spans="1:19" ht="6" customHeight="1" x14ac:dyDescent="0.5">
      <c r="A8" s="263"/>
      <c r="B8" s="4"/>
      <c r="C8" s="5"/>
      <c r="D8" s="5"/>
      <c r="E8" s="5"/>
      <c r="F8" s="260"/>
      <c r="G8" s="260"/>
      <c r="H8" s="134"/>
      <c r="I8" s="5"/>
      <c r="J8" s="5"/>
      <c r="K8" s="5"/>
      <c r="L8" s="5"/>
      <c r="M8" s="5"/>
      <c r="N8" s="244"/>
      <c r="O8" s="244"/>
      <c r="P8" s="5"/>
      <c r="Q8" s="5"/>
      <c r="R8" s="5"/>
      <c r="S8" s="6"/>
    </row>
    <row r="9" spans="1:19" ht="14.7" thickBot="1" x14ac:dyDescent="0.55000000000000004">
      <c r="A9" s="264"/>
      <c r="B9" s="4"/>
      <c r="C9" s="255" t="str">
        <f ca="1">INDIRECT("Z_IN_03_"&amp;IDIOMA)</f>
        <v>LEER CON ATENCIÓN</v>
      </c>
      <c r="D9" s="255"/>
      <c r="E9" s="5"/>
      <c r="F9" s="260"/>
      <c r="G9" s="260"/>
      <c r="H9" s="134"/>
      <c r="I9" s="271" t="s">
        <v>10</v>
      </c>
      <c r="J9" s="271"/>
      <c r="K9" s="271"/>
      <c r="L9" s="271"/>
      <c r="M9" s="5"/>
      <c r="N9" s="244"/>
      <c r="O9" s="244"/>
      <c r="P9" s="273" t="s">
        <v>831</v>
      </c>
      <c r="Q9" s="273"/>
      <c r="R9" s="273"/>
      <c r="S9" s="6"/>
    </row>
    <row r="10" spans="1:19" ht="6" customHeight="1" x14ac:dyDescent="0.5">
      <c r="B10" s="4"/>
      <c r="C10" s="5"/>
      <c r="D10" s="5"/>
      <c r="E10" s="5"/>
      <c r="F10" s="260"/>
      <c r="G10" s="260"/>
      <c r="H10" s="134"/>
      <c r="I10" s="5"/>
      <c r="J10" s="5"/>
      <c r="K10" s="5"/>
      <c r="L10" s="5"/>
      <c r="M10" s="5"/>
      <c r="N10" s="244"/>
      <c r="O10" s="244"/>
      <c r="P10" s="5"/>
      <c r="Q10" s="5"/>
      <c r="R10" s="5"/>
      <c r="S10" s="6"/>
    </row>
    <row r="11" spans="1:19" ht="15" customHeight="1" x14ac:dyDescent="0.5">
      <c r="A11" s="265" t="s">
        <v>12</v>
      </c>
      <c r="B11" s="4"/>
      <c r="C11" s="5"/>
      <c r="D11" s="256" t="str">
        <f ca="1">INDIRECT("Z_IN_06_"&amp;IDIOMA)</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E11" s="256"/>
      <c r="F11" s="256"/>
      <c r="G11" s="256"/>
      <c r="H11" s="256"/>
      <c r="I11" s="256"/>
      <c r="J11" s="256"/>
      <c r="K11" s="256"/>
      <c r="L11" s="256"/>
      <c r="M11" s="256"/>
      <c r="N11" s="256"/>
      <c r="O11" s="256"/>
      <c r="P11" s="256"/>
      <c r="Q11" s="256"/>
      <c r="R11" s="256"/>
      <c r="S11" s="6"/>
    </row>
    <row r="12" spans="1:19" ht="6" customHeight="1" x14ac:dyDescent="0.5">
      <c r="A12" s="265"/>
      <c r="B12" s="4"/>
      <c r="C12" s="5"/>
      <c r="D12" s="256"/>
      <c r="E12" s="256"/>
      <c r="F12" s="256"/>
      <c r="G12" s="256"/>
      <c r="H12" s="256"/>
      <c r="I12" s="256"/>
      <c r="J12" s="256"/>
      <c r="K12" s="256"/>
      <c r="L12" s="256"/>
      <c r="M12" s="256"/>
      <c r="N12" s="256"/>
      <c r="O12" s="256"/>
      <c r="P12" s="256"/>
      <c r="Q12" s="256"/>
      <c r="R12" s="256"/>
      <c r="S12" s="6"/>
    </row>
    <row r="13" spans="1:19" x14ac:dyDescent="0.5">
      <c r="A13" s="265"/>
      <c r="B13" s="4"/>
      <c r="C13" s="5"/>
      <c r="D13" s="256"/>
      <c r="E13" s="256"/>
      <c r="F13" s="256"/>
      <c r="G13" s="256"/>
      <c r="H13" s="256"/>
      <c r="I13" s="256"/>
      <c r="J13" s="256"/>
      <c r="K13" s="256"/>
      <c r="L13" s="256"/>
      <c r="M13" s="256"/>
      <c r="N13" s="256"/>
      <c r="O13" s="256"/>
      <c r="P13" s="256"/>
      <c r="Q13" s="256"/>
      <c r="R13" s="256"/>
      <c r="S13" s="6"/>
    </row>
    <row r="14" spans="1:19" ht="6" customHeight="1" x14ac:dyDescent="0.5">
      <c r="B14" s="4"/>
      <c r="C14" s="5"/>
      <c r="D14" s="256"/>
      <c r="E14" s="256"/>
      <c r="F14" s="256"/>
      <c r="G14" s="256"/>
      <c r="H14" s="256"/>
      <c r="I14" s="256"/>
      <c r="J14" s="256"/>
      <c r="K14" s="256"/>
      <c r="L14" s="256"/>
      <c r="M14" s="256"/>
      <c r="N14" s="256"/>
      <c r="O14" s="256"/>
      <c r="P14" s="256"/>
      <c r="Q14" s="256"/>
      <c r="R14" s="256"/>
      <c r="S14" s="6"/>
    </row>
    <row r="15" spans="1:19" x14ac:dyDescent="0.5">
      <c r="B15" s="4"/>
      <c r="C15" s="5"/>
      <c r="D15" s="256"/>
      <c r="E15" s="256"/>
      <c r="F15" s="256"/>
      <c r="G15" s="256"/>
      <c r="H15" s="256"/>
      <c r="I15" s="256"/>
      <c r="J15" s="256"/>
      <c r="K15" s="256"/>
      <c r="L15" s="256"/>
      <c r="M15" s="256"/>
      <c r="N15" s="256"/>
      <c r="O15" s="256"/>
      <c r="P15" s="256"/>
      <c r="Q15" s="256"/>
      <c r="R15" s="256"/>
      <c r="S15" s="6"/>
    </row>
    <row r="16" spans="1:19" ht="6" customHeight="1" x14ac:dyDescent="0.5">
      <c r="B16" s="4"/>
      <c r="C16" s="5"/>
      <c r="D16" s="256"/>
      <c r="E16" s="256"/>
      <c r="F16" s="256"/>
      <c r="G16" s="256"/>
      <c r="H16" s="256"/>
      <c r="I16" s="256"/>
      <c r="J16" s="256"/>
      <c r="K16" s="256"/>
      <c r="L16" s="256"/>
      <c r="M16" s="256"/>
      <c r="N16" s="256"/>
      <c r="O16" s="256"/>
      <c r="P16" s="256"/>
      <c r="Q16" s="256"/>
      <c r="R16" s="256"/>
      <c r="S16" s="6"/>
    </row>
    <row r="17" spans="1:19" x14ac:dyDescent="0.5">
      <c r="A17" s="266" t="str">
        <f>IFERROR(HLOOKUP(LANGUAGE,DICCIONARIO!F1:K20,20,0),LANGUAGE)</f>
        <v>PERSONALIZAR DICCIONARIO</v>
      </c>
      <c r="B17" s="4"/>
      <c r="C17" s="5"/>
      <c r="D17" s="256"/>
      <c r="E17" s="256"/>
      <c r="F17" s="256"/>
      <c r="G17" s="256"/>
      <c r="H17" s="256"/>
      <c r="I17" s="256"/>
      <c r="J17" s="256"/>
      <c r="K17" s="256"/>
      <c r="L17" s="256"/>
      <c r="M17" s="256"/>
      <c r="N17" s="256"/>
      <c r="O17" s="256"/>
      <c r="P17" s="256"/>
      <c r="Q17" s="256"/>
      <c r="R17" s="256"/>
      <c r="S17" s="6"/>
    </row>
    <row r="18" spans="1:19" ht="6" customHeight="1" x14ac:dyDescent="0.5">
      <c r="A18" s="266"/>
      <c r="B18" s="4"/>
      <c r="C18" s="5"/>
      <c r="D18" s="256"/>
      <c r="E18" s="256"/>
      <c r="F18" s="256"/>
      <c r="G18" s="256"/>
      <c r="H18" s="256"/>
      <c r="I18" s="256"/>
      <c r="J18" s="256"/>
      <c r="K18" s="256"/>
      <c r="L18" s="256"/>
      <c r="M18" s="256"/>
      <c r="N18" s="256"/>
      <c r="O18" s="256"/>
      <c r="P18" s="256"/>
      <c r="Q18" s="256"/>
      <c r="R18" s="256"/>
      <c r="S18" s="6"/>
    </row>
    <row r="19" spans="1:19" x14ac:dyDescent="0.5">
      <c r="A19" s="266"/>
      <c r="B19" s="4"/>
      <c r="C19" s="5"/>
      <c r="D19" s="256"/>
      <c r="E19" s="256"/>
      <c r="F19" s="256"/>
      <c r="G19" s="256"/>
      <c r="H19" s="256"/>
      <c r="I19" s="256"/>
      <c r="J19" s="256"/>
      <c r="K19" s="256"/>
      <c r="L19" s="256"/>
      <c r="M19" s="256"/>
      <c r="N19" s="256"/>
      <c r="O19" s="256"/>
      <c r="P19" s="256"/>
      <c r="Q19" s="256"/>
      <c r="R19" s="256"/>
      <c r="S19" s="6"/>
    </row>
    <row r="20" spans="1:19" ht="6" customHeight="1" x14ac:dyDescent="0.5">
      <c r="B20" s="4"/>
      <c r="C20" s="5"/>
      <c r="D20" s="256"/>
      <c r="E20" s="256"/>
      <c r="F20" s="256"/>
      <c r="G20" s="256"/>
      <c r="H20" s="256"/>
      <c r="I20" s="256"/>
      <c r="J20" s="256"/>
      <c r="K20" s="256"/>
      <c r="L20" s="256"/>
      <c r="M20" s="256"/>
      <c r="N20" s="256"/>
      <c r="O20" s="256"/>
      <c r="P20" s="256"/>
      <c r="Q20" s="256"/>
      <c r="R20" s="256"/>
      <c r="S20" s="6"/>
    </row>
    <row r="21" spans="1:19" x14ac:dyDescent="0.5">
      <c r="B21" s="4"/>
      <c r="C21" s="5"/>
      <c r="D21" s="256"/>
      <c r="E21" s="256"/>
      <c r="F21" s="256"/>
      <c r="G21" s="256"/>
      <c r="H21" s="256"/>
      <c r="I21" s="256"/>
      <c r="J21" s="256"/>
      <c r="K21" s="256"/>
      <c r="L21" s="256"/>
      <c r="M21" s="256"/>
      <c r="N21" s="256"/>
      <c r="O21" s="256"/>
      <c r="P21" s="256"/>
      <c r="Q21" s="256"/>
      <c r="R21" s="256"/>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7" t="str">
        <f ca="1">INDIRECT("Z_BP_10_"&amp;IDIOMA)</f>
        <v>OM 1R</v>
      </c>
      <c r="D23" s="258"/>
      <c r="E23" s="257" t="str">
        <f ca="1">INDIRECT("Z_BP_11_"&amp;IDIOMA)</f>
        <v>OM +R</v>
      </c>
      <c r="F23" s="259"/>
      <c r="G23" s="257" t="str">
        <f ca="1">INDIRECT("Z_BP_12_"&amp;IDIOMA)</f>
        <v>VF</v>
      </c>
      <c r="H23" s="259"/>
      <c r="I23" s="257" t="str">
        <f ca="1">INDIRECT("Z_BP_13_"&amp;IDIOMA)</f>
        <v>EM</v>
      </c>
      <c r="J23" s="258"/>
      <c r="K23" s="257" t="str">
        <f ca="1">INDIRECT("Z_BP_14_"&amp;IDIOMA)</f>
        <v>RC</v>
      </c>
      <c r="L23" s="259"/>
      <c r="M23" s="257" t="str">
        <f ca="1">INDIRECT("Z_BP_15_"&amp;IDIOMA)</f>
        <v>PP</v>
      </c>
      <c r="N23" s="259"/>
      <c r="O23" s="257" t="str">
        <f ca="1">INDIRECT("Z_BP_31_"&amp;IDIOMA)</f>
        <v>EN</v>
      </c>
      <c r="P23" s="259"/>
      <c r="Q23" s="257" t="str">
        <f ca="1">INDIRECT("Z_BP_16_"&amp;IDIOMA)</f>
        <v>CL</v>
      </c>
      <c r="R23" s="259"/>
      <c r="S23" s="6"/>
    </row>
    <row r="24" spans="1:19" ht="14.45" customHeight="1" x14ac:dyDescent="0.5">
      <c r="B24" s="4"/>
      <c r="C24" s="248" t="str">
        <f ca="1">INDIRECT("Z_IN_08_"&amp;IDIOMA)</f>
        <v xml:space="preserve">Opción Múltiple 1R </v>
      </c>
      <c r="D24" s="249"/>
      <c r="E24" s="249" t="str">
        <f ca="1">INDIRECT("Z_IN_09_"&amp;IDIOMA)</f>
        <v xml:space="preserve">Opción Múltiple +R </v>
      </c>
      <c r="F24" s="249"/>
      <c r="G24" s="249" t="str">
        <f ca="1">INDIRECT("Z_IN_10_"&amp;IDIOMA)</f>
        <v>Verdadero/Falso</v>
      </c>
      <c r="H24" s="249"/>
      <c r="I24" s="249" t="str">
        <f ca="1">INDIRECT("Z_IN_11_"&amp;IDIOMA)</f>
        <v>Emparejar</v>
      </c>
      <c r="J24" s="249"/>
      <c r="K24" s="249" t="str">
        <f ca="1">INDIRECT("Z_IN_12_"&amp;IDIOMA)</f>
        <v>Respuesta Corta</v>
      </c>
      <c r="L24" s="249"/>
      <c r="M24" s="249" t="str">
        <f ca="1">INDIRECT("Z_IN_13_"&amp;IDIOMA)</f>
        <v>Palabra Perdida</v>
      </c>
      <c r="N24" s="249"/>
      <c r="O24" s="249" t="str">
        <f ca="1">INDIRECT("Z_IN_16_"&amp;IDIOMA)</f>
        <v>Ensayo</v>
      </c>
      <c r="P24" s="249"/>
      <c r="Q24" s="249" t="str">
        <f ca="1">INDIRECT("Z_IN_14_"&amp;IDIOMA)</f>
        <v>Cloze</v>
      </c>
      <c r="R24" s="274"/>
      <c r="S24" s="6"/>
    </row>
    <row r="25" spans="1:19" ht="6" customHeight="1" thickBot="1" x14ac:dyDescent="0.55000000000000004">
      <c r="B25" s="4"/>
      <c r="C25" s="250"/>
      <c r="D25" s="251"/>
      <c r="E25" s="251"/>
      <c r="F25" s="251"/>
      <c r="G25" s="251"/>
      <c r="H25" s="251"/>
      <c r="I25" s="251"/>
      <c r="J25" s="251"/>
      <c r="K25" s="251"/>
      <c r="L25" s="251"/>
      <c r="M25" s="251"/>
      <c r="N25" s="251"/>
      <c r="O25" s="251"/>
      <c r="P25" s="251"/>
      <c r="Q25" s="251"/>
      <c r="R25" s="275"/>
      <c r="S25" s="6"/>
    </row>
    <row r="26" spans="1:19" ht="15" customHeight="1" thickBot="1" x14ac:dyDescent="0.55000000000000004">
      <c r="B26" s="4"/>
      <c r="C26" s="245" t="str">
        <f ca="1">'Datos OM'!G2&amp;" "&amp;INDIRECT("Z_IN_15_"&amp;IDIOMA)</f>
        <v>3 Preguntas</v>
      </c>
      <c r="D26" s="247"/>
      <c r="E26" s="245" t="str">
        <f ca="1">'Datos O2'!G2&amp;" "&amp;INDIRECT("Z_IN_15_"&amp;IDIOMA)</f>
        <v>2 Preguntas</v>
      </c>
      <c r="F26" s="246"/>
      <c r="G26" s="245" t="str">
        <f ca="1">'Datos VF'!G2&amp;" "&amp;INDIRECT("Z_IN_15_"&amp;IDIOMA)</f>
        <v>2 Preguntas</v>
      </c>
      <c r="H26" s="246"/>
      <c r="I26" s="245" t="str">
        <f ca="1">'Datos EM'!G2&amp;" "&amp;INDIRECT("Z_IN_15_"&amp;IDIOMA)</f>
        <v>3 Preguntas</v>
      </c>
      <c r="J26" s="247"/>
      <c r="K26" s="245" t="str">
        <f ca="1">'Datos RC'!G2&amp;" "&amp;INDIRECT("Z_IN_15_"&amp;IDIOMA)</f>
        <v>2 Preguntas</v>
      </c>
      <c r="L26" s="246"/>
      <c r="M26" s="245" t="str">
        <f ca="1">'Datos PP'!G2&amp;" "&amp;INDIRECT("Z_IN_15_"&amp;IDIOMA)</f>
        <v>2 Preguntas</v>
      </c>
      <c r="N26" s="246"/>
      <c r="O26" s="245" t="str">
        <f ca="1">'Datos EN'!G2&amp;" "&amp;INDIRECT("Z_IN_15_"&amp;IDIOMA)</f>
        <v>2 Preguntas</v>
      </c>
      <c r="P26" s="246"/>
      <c r="Q26" s="245" t="str">
        <f ca="1">'Datos CL'!G2&amp;" "&amp;INDIRECT("Z_IN_15_"&amp;IDIOMA)</f>
        <v>1 Preguntas</v>
      </c>
      <c r="R26" s="246"/>
      <c r="S26" s="6"/>
    </row>
    <row r="27" spans="1:19" ht="6" customHeight="1" x14ac:dyDescent="0.5">
      <c r="B27" s="4"/>
      <c r="C27" s="5"/>
      <c r="D27" s="267" t="str">
        <f ca="1">INDIRECT("Z_IN_07_"&amp;IDIOMA)</f>
        <v>Esta HOJA sirve para almacenar las preguntas y poder reutilizarlas cuando sea necesario, sin tener que volver a escribirlas para un nuevo BANCO DE PREGUNTAS.</v>
      </c>
      <c r="E27" s="267"/>
      <c r="F27" s="267"/>
      <c r="G27" s="267"/>
      <c r="H27" s="267"/>
      <c r="I27" s="267"/>
      <c r="J27" s="267"/>
      <c r="K27" s="267"/>
      <c r="L27" s="267"/>
      <c r="M27" s="267"/>
      <c r="N27" s="144"/>
      <c r="O27" s="7"/>
      <c r="P27" s="7"/>
      <c r="Q27" s="7"/>
      <c r="R27" s="7"/>
      <c r="S27" s="6"/>
    </row>
    <row r="28" spans="1:19" ht="15" customHeight="1" x14ac:dyDescent="0.5">
      <c r="B28" s="4"/>
      <c r="C28" s="5"/>
      <c r="D28" s="268"/>
      <c r="E28" s="268"/>
      <c r="F28" s="268"/>
      <c r="G28" s="268"/>
      <c r="H28" s="268"/>
      <c r="I28" s="268"/>
      <c r="J28" s="268"/>
      <c r="K28" s="268"/>
      <c r="L28" s="268"/>
      <c r="M28" s="268"/>
      <c r="N28" s="145"/>
      <c r="O28" s="5"/>
      <c r="P28" s="244"/>
      <c r="Q28" s="244"/>
      <c r="R28" s="244"/>
      <c r="S28" s="6"/>
    </row>
    <row r="29" spans="1:19" ht="6" customHeight="1" x14ac:dyDescent="0.5">
      <c r="B29" s="4"/>
      <c r="C29" s="5"/>
      <c r="D29" s="268"/>
      <c r="E29" s="268"/>
      <c r="F29" s="268"/>
      <c r="G29" s="268"/>
      <c r="H29" s="268"/>
      <c r="I29" s="268"/>
      <c r="J29" s="268"/>
      <c r="K29" s="268"/>
      <c r="L29" s="268"/>
      <c r="M29" s="268"/>
      <c r="N29" s="145"/>
      <c r="O29" s="5"/>
      <c r="P29" s="244"/>
      <c r="Q29" s="244"/>
      <c r="R29" s="244"/>
      <c r="S29" s="6"/>
    </row>
    <row r="30" spans="1:19" x14ac:dyDescent="0.5">
      <c r="B30" s="4"/>
      <c r="C30" s="5"/>
      <c r="D30" s="268"/>
      <c r="E30" s="268"/>
      <c r="F30" s="268"/>
      <c r="G30" s="268"/>
      <c r="H30" s="268"/>
      <c r="I30" s="268"/>
      <c r="J30" s="268"/>
      <c r="K30" s="268"/>
      <c r="L30" s="268"/>
      <c r="M30" s="268"/>
      <c r="N30" s="145"/>
      <c r="O30" s="5"/>
      <c r="P30" s="244"/>
      <c r="Q30" s="244"/>
      <c r="R30" s="244"/>
      <c r="S30" s="6"/>
    </row>
    <row r="31" spans="1:19" ht="6" customHeight="1" x14ac:dyDescent="0.5">
      <c r="B31" s="4"/>
      <c r="C31" s="5"/>
      <c r="D31" s="268"/>
      <c r="E31" s="268"/>
      <c r="F31" s="268"/>
      <c r="G31" s="268"/>
      <c r="H31" s="268"/>
      <c r="I31" s="268"/>
      <c r="J31" s="268"/>
      <c r="K31" s="268"/>
      <c r="L31" s="268"/>
      <c r="M31" s="268"/>
      <c r="N31" s="145"/>
      <c r="O31" s="5"/>
      <c r="P31" s="244"/>
      <c r="Q31" s="244"/>
      <c r="R31" s="244"/>
      <c r="S31" s="6"/>
    </row>
    <row r="32" spans="1:19" x14ac:dyDescent="0.5">
      <c r="B32" s="4"/>
      <c r="C32" s="5"/>
      <c r="D32" s="268"/>
      <c r="E32" s="268"/>
      <c r="F32" s="268"/>
      <c r="G32" s="268"/>
      <c r="H32" s="268"/>
      <c r="I32" s="268"/>
      <c r="J32" s="268"/>
      <c r="K32" s="268"/>
      <c r="L32" s="268"/>
      <c r="M32" s="268"/>
      <c r="N32" s="145"/>
      <c r="O32" s="5"/>
      <c r="P32" s="244"/>
      <c r="Q32" s="244"/>
      <c r="R32" s="244"/>
      <c r="S32" s="6"/>
    </row>
    <row r="33" spans="1:19" ht="6" customHeight="1" x14ac:dyDescent="0.5">
      <c r="B33" s="4"/>
      <c r="C33" s="5"/>
      <c r="D33" s="268"/>
      <c r="E33" s="268"/>
      <c r="F33" s="268"/>
      <c r="G33" s="268"/>
      <c r="H33" s="268"/>
      <c r="I33" s="268"/>
      <c r="J33" s="268"/>
      <c r="K33" s="268"/>
      <c r="L33" s="268"/>
      <c r="M33" s="268"/>
      <c r="N33" s="145"/>
      <c r="O33" s="5"/>
      <c r="P33" s="244"/>
      <c r="Q33" s="244"/>
      <c r="R33" s="244"/>
      <c r="S33" s="6"/>
    </row>
    <row r="34" spans="1:19" x14ac:dyDescent="0.5">
      <c r="B34" s="4"/>
      <c r="C34" s="5"/>
      <c r="D34" s="268"/>
      <c r="E34" s="268"/>
      <c r="F34" s="268"/>
      <c r="G34" s="268"/>
      <c r="H34" s="268"/>
      <c r="I34" s="268"/>
      <c r="J34" s="268"/>
      <c r="K34" s="268"/>
      <c r="L34" s="268"/>
      <c r="M34" s="268"/>
      <c r="N34" s="145"/>
      <c r="O34" s="5"/>
      <c r="P34" s="244"/>
      <c r="Q34" s="244"/>
      <c r="R34" s="244"/>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S</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PERSONALIZAR DICCIONARIO</v>
      </c>
      <c r="B46" s="43" t="s">
        <v>388</v>
      </c>
    </row>
    <row r="47" spans="1:19" ht="5.0999999999999996" customHeight="1" thickTop="1" x14ac:dyDescent="0.5"/>
  </sheetData>
  <sheetProtection selectLockedCells="1" autoFilter="0"/>
  <mergeCells count="42">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 ref="B1:S1"/>
    <mergeCell ref="C9:D9"/>
    <mergeCell ref="D11:R21"/>
    <mergeCell ref="C23:D23"/>
    <mergeCell ref="E23:F23"/>
    <mergeCell ref="G23:H23"/>
    <mergeCell ref="I23:J23"/>
    <mergeCell ref="K23:L23"/>
    <mergeCell ref="N5:O10"/>
    <mergeCell ref="F5:G10"/>
    <mergeCell ref="P5:R5"/>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s>
  <dataValidations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baseColWidth="10"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INICIO</v>
      </c>
      <c r="E1" s="34" t="str">
        <f>LANGUAGE</f>
        <v>ESPAÑOL</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PERSONALIZAR DICCIONARIO</v>
      </c>
      <c r="E2" s="35" t="str">
        <f>IFERROR(INDEX(F2:K20,1,MATCH(E1,F20:K20,0)),IDIOMA)</f>
        <v>S</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May+</v>
      </c>
    </row>
    <row r="3" spans="1:35" ht="14.7" thickBot="1" x14ac:dyDescent="0.55000000000000004">
      <c r="A3" s="50" t="str">
        <f t="shared" ref="A3:A44" si="1">$A$1&amp;B3&amp;"_"&amp;C3&amp;"_"&amp;$A$2</f>
        <v>Z_IN_00_CS</v>
      </c>
      <c r="B3" s="49" t="s">
        <v>25</v>
      </c>
      <c r="C3" s="50" t="s">
        <v>26</v>
      </c>
      <c r="D3" s="168"/>
      <c r="E3" s="146" t="str">
        <f>IFERROR(IF(D3&lt;&gt;"",D3,HLOOKUP($E$2,$F$2:K3,ROW(D3)-1,0)),F3)</f>
        <v>INICIO</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MENU EXCEL</v>
      </c>
      <c r="U3" s="191" t="str">
        <f ca="1">IFERROR(INDIRECT(Tabla_Menu[[#This Row],[Nivel 2]]&amp;IDIOMA)&amp;IF(Tabla_Menu[[#This Row],[Nivel]]="",""," "&amp;Tabla_Menu[[#This Row],['[Teclas']]]),"")</f>
        <v xml:space="preserve">MENU EXCEL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MENU EXCEL</v>
      </c>
      <c r="AF3" s="179"/>
    </row>
    <row r="4" spans="1:35" outlineLevel="1" x14ac:dyDescent="0.5">
      <c r="A4" s="136" t="str">
        <f t="shared" si="1"/>
        <v>Z_IN_01_CS</v>
      </c>
      <c r="B4" s="135" t="str">
        <f t="shared" ref="B4:B20" si="2">B3</f>
        <v>IN</v>
      </c>
      <c r="C4" s="136" t="s">
        <v>32</v>
      </c>
      <c r="D4" s="198"/>
      <c r="E4" s="149" t="str">
        <f>IFERROR(IF(D4&lt;&gt;"",D4,HLOOKUP($E$2,$F$2:K4,ROW(D4)-1,0)),F4)</f>
        <v>CANAL YOUTUBE</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MENÚ GENERAL</v>
      </c>
      <c r="U4" s="191" t="str">
        <f ca="1">IFERROR(INDIRECT(Tabla_Menu[[#This Row],[Nivel 2]]&amp;IDIOMA)&amp;IF(Tabla_Menu[[#This Row],[Nivel]]="",""," "&amp;Tabla_Menu[[#This Row],['[Teclas']]]),"")</f>
        <v xml:space="preserve">GUARDAR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MENÚ GENERAL</v>
      </c>
      <c r="AF4" s="179"/>
    </row>
    <row r="5" spans="1:35" outlineLevel="1" x14ac:dyDescent="0.5">
      <c r="A5" s="138" t="str">
        <f t="shared" si="1"/>
        <v>Z_IN_02_CS</v>
      </c>
      <c r="B5" s="137" t="str">
        <f t="shared" si="2"/>
        <v>IN</v>
      </c>
      <c r="C5" s="138" t="s">
        <v>33</v>
      </c>
      <c r="D5" s="170"/>
      <c r="E5" s="148" t="str">
        <f>IFERROR(IF(D5&lt;&gt;"",D5,HLOOKUP($E$2,$F$2:K5,ROW(D5)-1,0)),F5)</f>
        <v>NO FUNCIONA CON
VERSIONES DE EXCEL 
ANTERIORES A 2007
NI CON LA ÚLTIMA ACTUALIZACIÓN DE MAC</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MENÚ GENERAL</v>
      </c>
      <c r="U5" s="191" t="str">
        <f ca="1">IFERROR(INDIRECT(Tabla_Menu[[#This Row],[Nivel 2]]&amp;IDIOMA)&amp;IF(Tabla_Menu[[#This Row],[Nivel]]="",""," "&amp;Tabla_Menu[[#This Row],['[Teclas']]]),"")</f>
        <v xml:space="preserve">CERRAR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MENÚ GENERAL</v>
      </c>
      <c r="AF5" s="179"/>
    </row>
    <row r="6" spans="1:35" outlineLevel="1" x14ac:dyDescent="0.5">
      <c r="A6" s="136" t="str">
        <f t="shared" si="1"/>
        <v>Z_IN_03_CS</v>
      </c>
      <c r="B6" s="135" t="str">
        <f t="shared" si="2"/>
        <v>IN</v>
      </c>
      <c r="C6" s="136" t="s">
        <v>40</v>
      </c>
      <c r="D6" s="169"/>
      <c r="E6" s="147" t="str">
        <f>IFERROR(IF(D6&lt;&gt;"",D6,HLOOKUP($E$2,$F$2:K6,ROW(D6)-1,0)),F6)</f>
        <v>LEER CON ATENCIÓN</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MENÚ GENERAL</v>
      </c>
      <c r="U6" s="191" t="str">
        <f ca="1">IFERROR(INDIRECT(Tabla_Menu[[#This Row],[Nivel 2]]&amp;IDIOMA)&amp;IF(Tabla_Menu[[#This Row],[Nivel]]="",""," "&amp;Tabla_Menu[[#This Row],['[Teclas']]]),"")</f>
        <v xml:space="preserve">COPIAR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MENÚ GENERAL</v>
      </c>
      <c r="AF6" s="179"/>
    </row>
    <row r="7" spans="1:35" outlineLevel="1" x14ac:dyDescent="0.5">
      <c r="A7" s="138" t="str">
        <f t="shared" si="1"/>
        <v>Z_IN_04_CS</v>
      </c>
      <c r="B7" s="137" t="str">
        <f t="shared" si="2"/>
        <v>IN</v>
      </c>
      <c r="C7" s="138" t="s">
        <v>46</v>
      </c>
      <c r="D7" s="170"/>
      <c r="E7" s="148" t="str">
        <f>IFERROR(IF(D7&lt;&gt;"",D7,HLOOKUP($E$2,$F$2:K7,ROW(D7)-1,0)),F7)</f>
        <v>Esta Aplicación ha sido desarrollada, en la primera versión, por:</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MENÚ GENERAL</v>
      </c>
      <c r="U7" s="191" t="str">
        <f ca="1">IFERROR(INDIRECT(Tabla_Menu[[#This Row],[Nivel 2]]&amp;IDIOMA)&amp;IF(Tabla_Menu[[#This Row],[Nivel]]="",""," "&amp;Tabla_Menu[[#This Row],['[Teclas']]]),"")</f>
        <v xml:space="preserve">PEGAR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MENÚ GENERAL</v>
      </c>
      <c r="AF7" s="179"/>
    </row>
    <row r="8" spans="1:35" outlineLevel="1" x14ac:dyDescent="0.5">
      <c r="A8" s="136" t="str">
        <f t="shared" si="1"/>
        <v>Z_IN_05_CS</v>
      </c>
      <c r="B8" s="135" t="str">
        <f t="shared" si="2"/>
        <v>IN</v>
      </c>
      <c r="C8" s="136" t="s">
        <v>52</v>
      </c>
      <c r="D8" s="169"/>
      <c r="E8" s="147" t="str">
        <f>IFERROR(IF(D8&lt;&gt;"",D8,HLOOKUP($E$2,$F$2:K8,ROW(D8)-1,0)),F8)</f>
        <v>Universidad de Cádiz</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IR A…</v>
      </c>
      <c r="U8" s="191" t="str">
        <f ca="1">IFERROR(INDIRECT(Tabla_Menu[[#This Row],[Nivel 2]]&amp;IDIOMA)&amp;IF(Tabla_Menu[[#This Row],[Nivel]]="",""," "&amp;Tabla_Menu[[#This Row],['[Teclas']]]),"")</f>
        <v xml:space="preserve">INICIO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IR A…</v>
      </c>
      <c r="AF8" s="179"/>
    </row>
    <row r="9" spans="1:35" outlineLevel="1" x14ac:dyDescent="0.5">
      <c r="A9" s="138" t="str">
        <f t="shared" si="1"/>
        <v>Z_IN_06_CS</v>
      </c>
      <c r="B9" s="137" t="str">
        <f t="shared" si="2"/>
        <v>IN</v>
      </c>
      <c r="C9" s="138" t="s">
        <v>58</v>
      </c>
      <c r="D9" s="170"/>
      <c r="E9" s="148" t="str">
        <f>IFERROR(IF(D9&lt;&gt;"",D9,HLOOKUP($E$2,$F$2:K9,ROW(D9)-1,0)),F9)</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IR A…</v>
      </c>
      <c r="U9" s="191" t="str">
        <f ca="1">IFERROR(INDIRECT(Tabla_Menu[[#This Row],[Nivel 2]]&amp;IDIOMA)&amp;IF(Tabla_Menu[[#This Row],[Nivel]]="",""," "&amp;Tabla_Menu[[#This Row],['[Teclas']]]),"")</f>
        <v xml:space="preserve">DICCIONARIO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IR A…</v>
      </c>
      <c r="AF9" s="179"/>
    </row>
    <row r="10" spans="1:35" outlineLevel="1" x14ac:dyDescent="0.5">
      <c r="A10" s="136" t="str">
        <f t="shared" si="1"/>
        <v>Z_IN_07_CS</v>
      </c>
      <c r="B10" s="135" t="str">
        <f t="shared" si="2"/>
        <v>IN</v>
      </c>
      <c r="C10" s="136" t="s">
        <v>65</v>
      </c>
      <c r="D10" s="169"/>
      <c r="E10" s="147" t="str">
        <f>IFERROR(IF(D10&lt;&gt;"",D10,HLOOKUP($E$2,$F$2:K10,ROW(D10)-1,0)),F10)</f>
        <v>Esta HOJA sirve para almacenar las preguntas y poder reutilizarlas cuando sea necesario, sin tener que volver a escribirlas para un nuevo BANCO DE PREGUNTAS.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IR A…</v>
      </c>
      <c r="U10" s="191" t="str">
        <f ca="1">IFERROR(INDIRECT(Tabla_Menu[[#This Row],[Nivel 2]]&amp;IDIOMA)&amp;IF(Tabla_Menu[[#This Row],[Nivel]]="",""," "&amp;Tabla_Menu[[#This Row],['[Teclas']]]),"")</f>
        <v xml:space="preserve">Opción Múltiple 1R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IR A…</v>
      </c>
      <c r="AF10" s="179"/>
    </row>
    <row r="11" spans="1:35" outlineLevel="1" x14ac:dyDescent="0.5">
      <c r="A11" s="138" t="str">
        <f t="shared" si="1"/>
        <v>Z_IN_08_CS</v>
      </c>
      <c r="B11" s="137" t="str">
        <f t="shared" si="2"/>
        <v>IN</v>
      </c>
      <c r="C11" s="138" t="s">
        <v>66</v>
      </c>
      <c r="D11" s="170"/>
      <c r="E11" s="148" t="str">
        <f>IFERROR(IF(D11&lt;&gt;"",D11,HLOOKUP($E$2,$F$2:K11,ROW(D11)-1,0)),F11)</f>
        <v xml:space="preserve">Opción Múltiple 1R </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IR A…</v>
      </c>
      <c r="U11" s="191" t="str">
        <f ca="1">IFERROR(INDIRECT(Tabla_Menu[[#This Row],[Nivel 2]]&amp;IDIOMA)&amp;IF(Tabla_Menu[[#This Row],[Nivel]]="",""," "&amp;Tabla_Menu[[#This Row],['[Teclas']]]),"")</f>
        <v xml:space="preserve">Opción Múltiple +R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IR A…</v>
      </c>
      <c r="AF11" s="179"/>
    </row>
    <row r="12" spans="1:35" outlineLevel="1" x14ac:dyDescent="0.5">
      <c r="A12" s="136" t="str">
        <f t="shared" si="1"/>
        <v>Z_IN_09_CS</v>
      </c>
      <c r="B12" s="135" t="str">
        <f t="shared" si="2"/>
        <v>IN</v>
      </c>
      <c r="C12" s="136" t="s">
        <v>70</v>
      </c>
      <c r="D12" s="169"/>
      <c r="E12" s="147" t="str">
        <f>IFERROR(IF(D12&lt;&gt;"",D12,HLOOKUP($E$2,$F$2:K12,ROW(D12)-1,0)),F12)</f>
        <v xml:space="preserve">Opción Múltiple +R </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IR A…</v>
      </c>
      <c r="U12" s="191" t="str">
        <f ca="1">IFERROR(INDIRECT(Tabla_Menu[[#This Row],[Nivel 2]]&amp;IDIOMA)&amp;IF(Tabla_Menu[[#This Row],[Nivel]]="",""," "&amp;Tabla_Menu[[#This Row],['[Teclas']]]),"")</f>
        <v xml:space="preserve">Verdadero/Falso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IR A…</v>
      </c>
      <c r="AF12" s="179"/>
    </row>
    <row r="13" spans="1:35" outlineLevel="1" x14ac:dyDescent="0.5">
      <c r="A13" s="138" t="str">
        <f t="shared" si="1"/>
        <v>Z_IN_10_CS</v>
      </c>
      <c r="B13" s="137" t="str">
        <f t="shared" si="2"/>
        <v>IN</v>
      </c>
      <c r="C13" s="138" t="s">
        <v>71</v>
      </c>
      <c r="D13" s="170"/>
      <c r="E13" s="148" t="str">
        <f>IFERROR(IF(D13&lt;&gt;"",D13,HLOOKUP($E$2,$F$2:K13,ROW(D13)-1,0)),F13)</f>
        <v>Verdadero/Falso</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IR A…</v>
      </c>
      <c r="U13" s="191" t="str">
        <f ca="1">IFERROR(INDIRECT(Tabla_Menu[[#This Row],[Nivel 2]]&amp;IDIOMA)&amp;IF(Tabla_Menu[[#This Row],[Nivel]]="",""," "&amp;Tabla_Menu[[#This Row],['[Teclas']]]),"")</f>
        <v xml:space="preserve">Emparejar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IR A…</v>
      </c>
      <c r="AF13" s="179"/>
    </row>
    <row r="14" spans="1:35" outlineLevel="1" x14ac:dyDescent="0.5">
      <c r="A14" s="136" t="str">
        <f t="shared" si="1"/>
        <v>Z_IN_11_CS</v>
      </c>
      <c r="B14" s="135" t="str">
        <f t="shared" si="2"/>
        <v>IN</v>
      </c>
      <c r="C14" s="136" t="s">
        <v>72</v>
      </c>
      <c r="D14" s="169"/>
      <c r="E14" s="147" t="str">
        <f>IFERROR(IF(D14&lt;&gt;"",D14,HLOOKUP($E$2,$F$2:K14,ROW(D14)-1,0)),F14)</f>
        <v>Emparejar</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IR A…</v>
      </c>
      <c r="U14" s="191" t="str">
        <f ca="1">IFERROR(INDIRECT(Tabla_Menu[[#This Row],[Nivel 2]]&amp;IDIOMA)&amp;IF(Tabla_Menu[[#This Row],[Nivel]]="",""," "&amp;Tabla_Menu[[#This Row],['[Teclas']]]),"")</f>
        <v xml:space="preserve">Respuesta Corta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IR A…</v>
      </c>
      <c r="AF14" s="179"/>
    </row>
    <row r="15" spans="1:35" outlineLevel="1" x14ac:dyDescent="0.5">
      <c r="A15" s="138" t="str">
        <f t="shared" si="1"/>
        <v>Z_IN_12_CS</v>
      </c>
      <c r="B15" s="137" t="str">
        <f t="shared" si="2"/>
        <v>IN</v>
      </c>
      <c r="C15" s="138" t="s">
        <v>74</v>
      </c>
      <c r="D15" s="170"/>
      <c r="E15" s="148" t="str">
        <f>IFERROR(IF(D15&lt;&gt;"",D15,HLOOKUP($E$2,$F$2:K15,ROW(D15)-1,0)),F15)</f>
        <v>Respuesta Corta</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IR A…</v>
      </c>
      <c r="U15" s="191" t="str">
        <f ca="1">IFERROR(INDIRECT(Tabla_Menu[[#This Row],[Nivel 2]]&amp;IDIOMA)&amp;IF(Tabla_Menu[[#This Row],[Nivel]]="",""," "&amp;Tabla_Menu[[#This Row],['[Teclas']]]),"")</f>
        <v xml:space="preserve">Palabra Perdida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IR A…</v>
      </c>
      <c r="AF15" s="179"/>
    </row>
    <row r="16" spans="1:35" outlineLevel="1" x14ac:dyDescent="0.5">
      <c r="A16" s="136" t="str">
        <f t="shared" si="1"/>
        <v>Z_IN_13_CS</v>
      </c>
      <c r="B16" s="135" t="str">
        <f t="shared" si="2"/>
        <v>IN</v>
      </c>
      <c r="C16" s="136" t="s">
        <v>76</v>
      </c>
      <c r="D16" s="169"/>
      <c r="E16" s="147" t="str">
        <f>IFERROR(IF(D16&lt;&gt;"",D16,HLOOKUP($E$2,$F$2:K16,ROW(D16)-1,0)),F16)</f>
        <v>Palabra Perdida</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IR A…</v>
      </c>
      <c r="U16" s="191" t="str">
        <f ca="1">IFERROR(INDIRECT(Tabla_Menu[[#This Row],[Nivel 2]]&amp;IDIOMA)&amp;IF(Tabla_Menu[[#This Row],[Nivel]]="",""," "&amp;Tabla_Menu[[#This Row],['[Teclas']]]),"")</f>
        <v xml:space="preserve">Ensayo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IR A…</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IR A…</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IR A…</v>
      </c>
      <c r="AF17" s="179"/>
    </row>
    <row r="18" spans="1:32" outlineLevel="1" x14ac:dyDescent="0.5">
      <c r="A18" s="136" t="str">
        <f t="shared" si="1"/>
        <v>Z_IN_15_CS</v>
      </c>
      <c r="B18" s="135" t="str">
        <f t="shared" si="2"/>
        <v>IN</v>
      </c>
      <c r="C18" s="136" t="s">
        <v>81</v>
      </c>
      <c r="D18" s="169"/>
      <c r="E18" s="147" t="str">
        <f>IFERROR(IF(D18&lt;&gt;"",D18,HLOOKUP($E$2,$F$2:K18,ROW(D18)-1,0)),F18)</f>
        <v>Preguntas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DICCIONARIO</v>
      </c>
      <c r="U18" s="191" t="str">
        <f ca="1">IFERROR(INDIRECT(Tabla_Menu[[#This Row],[Nivel 2]]&amp;IDIOMA)&amp;IF(Tabla_Menu[[#This Row],[Nivel]]="",""," "&amp;Tabla_Menu[[#This Row],['[Teclas']]]),"")</f>
        <v xml:space="preserve">LINK DICCIONARIO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DICCIONARIO</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Ensayo</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PERSONALIZAR DICCIONARIO</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Banco de preguntas</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Preguntas Almacenadas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DICCIONARIO</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Enunciado de la pregunta</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Descripción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Respuesta Correcta</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Respuesta Incorrecta</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Retroalim.</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Pista</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Puntos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OM 1R</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OM +R</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VF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EM</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RC</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PP</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Pareja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Mayúsculas</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Respuesta</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Palabra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VERDADERO</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FALSO</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Grupo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Formato de la Respuesta</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Requerir texto</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Tamaño de la caja de entrada</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Permitir archivos adjuntos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Archivos adjuntos requeridos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Plantilla de Respuesta</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Información para el evaluador</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EN</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Ancho RC</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Nº max. Respuestas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MENSAJES MACROS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Copia el link (Ctrl+C) y 
pega (Ctrl+V) en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MENÚ GENERAL</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 xml:space="preserve">GUARDAR </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CERRAR</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AYUDA</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COPIAR</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PEGAR</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IR A…</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DICCIONARIO</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MENU EXCEL</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¿Desea guardar los cambios?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FIN</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43" priority="4"/>
  </conditionalFormatting>
  <conditionalFormatting sqref="F54">
    <cfRule type="duplicateValues" dxfId="42" priority="2"/>
  </conditionalFormatting>
  <conditionalFormatting sqref="F56:F66">
    <cfRule type="duplicateValues" dxfId="41"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OM 1R                  OM +R                    VF                         EM                                INICIO</v>
      </c>
      <c r="G1" s="51" t="str">
        <f ca="1">INDIRECT("Z_BP_01_"&amp;IDIOMA)</f>
        <v>Preguntas Almacenadas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RC                         PP                         EN                         CL                                 DICCIONARIO</v>
      </c>
      <c r="G2" s="34">
        <f>COUNTA(Tabla_OM[Enunciado])</f>
        <v>3</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V"&amp;MID(Version,5,7)&amp;UPPER(INICIO!C24)&amp;"
"&amp;INDIRECT("Z_BP_03_"&amp;IDIOMA)</f>
        <v>FastTest PlugIn - V7.8  - OPCIÓN MÚLTIPLE 1R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81"/>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IF(COUNTIF(Tabla_OM[[#This Row],[Puntos 1]:[Puntos 6]],"&gt;0")=0,"",COUNTIF(Tabla_OM[[#This Row],[Puntos 1]:[Puntos 6]],"&gt;0"))</f>
        <v>1</v>
      </c>
      <c r="B5" s="150">
        <f>IF(Tabla_OM[[#This Row],[NRC]]="","",COUNTA(Tabla_OM[[#This Row],[Respuesta 1]:[Respuesta 6]])-Tabla_OM[[#This Row],[NRC]])</f>
        <v>5</v>
      </c>
      <c r="D5" s="23"/>
      <c r="E5" s="77" t="s">
        <v>832</v>
      </c>
      <c r="F5" s="76" t="s">
        <v>833</v>
      </c>
      <c r="G5" s="12" t="s">
        <v>834</v>
      </c>
      <c r="H5" s="13" t="s">
        <v>835</v>
      </c>
      <c r="I5" s="14" t="s">
        <v>836</v>
      </c>
      <c r="J5" s="15" t="s">
        <v>837</v>
      </c>
      <c r="K5" s="16" t="s">
        <v>838</v>
      </c>
      <c r="L5" s="17" t="s">
        <v>839</v>
      </c>
      <c r="M5" s="24" t="s">
        <v>840</v>
      </c>
      <c r="N5" s="25" t="s">
        <v>841</v>
      </c>
      <c r="O5" s="26" t="s">
        <v>842</v>
      </c>
      <c r="P5" s="27" t="s">
        <v>843</v>
      </c>
      <c r="Q5" s="28" t="s">
        <v>844</v>
      </c>
      <c r="R5" s="29" t="s">
        <v>845</v>
      </c>
      <c r="S5" s="24">
        <v>100</v>
      </c>
      <c r="T5" s="25">
        <v>0</v>
      </c>
      <c r="U5" s="26">
        <v>0</v>
      </c>
      <c r="V5" s="27">
        <v>0</v>
      </c>
      <c r="W5" s="28">
        <v>0</v>
      </c>
      <c r="X5" s="29">
        <v>0</v>
      </c>
      <c r="Y5" s="29"/>
      <c r="Z5" s="29"/>
      <c r="AA5" s="29"/>
      <c r="AB5" s="29"/>
      <c r="AC5" s="29"/>
      <c r="AD5" s="29"/>
      <c r="AE5" s="30"/>
      <c r="AF5" s="31"/>
      <c r="AG5" s="32"/>
      <c r="AH5" s="33"/>
      <c r="AI5" s="86"/>
    </row>
    <row r="6" spans="1:35" x14ac:dyDescent="0.5">
      <c r="A6" s="150">
        <f>IF(COUNTIF(Tabla_OM[[#This Row],[Puntos 1]:[Puntos 6]],"&gt;0")=0,"",COUNTIF(Tabla_OM[[#This Row],[Puntos 1]:[Puntos 6]],"&gt;0"))</f>
        <v>1</v>
      </c>
      <c r="B6" s="150">
        <f>IF(Tabla_OM[[#This Row],[NRC]]="","",COUNTA(Tabla_OM[[#This Row],[Respuesta 1]:[Respuesta 6]])-Tabla_OM[[#This Row],[NRC]])</f>
        <v>5</v>
      </c>
      <c r="D6" s="23"/>
      <c r="E6" s="77" t="s">
        <v>846</v>
      </c>
      <c r="F6" s="76" t="s">
        <v>847</v>
      </c>
      <c r="G6" s="12" t="s">
        <v>848</v>
      </c>
      <c r="H6" s="13" t="s">
        <v>849</v>
      </c>
      <c r="I6" s="14" t="s">
        <v>850</v>
      </c>
      <c r="J6" s="15" t="s">
        <v>851</v>
      </c>
      <c r="K6" s="16" t="s">
        <v>852</v>
      </c>
      <c r="L6" s="17" t="s">
        <v>853</v>
      </c>
      <c r="M6" s="24">
        <v>1</v>
      </c>
      <c r="N6" s="25">
        <v>2</v>
      </c>
      <c r="O6" s="26">
        <v>3</v>
      </c>
      <c r="P6" s="27">
        <v>4</v>
      </c>
      <c r="Q6" s="28">
        <v>5</v>
      </c>
      <c r="R6" s="29">
        <v>6</v>
      </c>
      <c r="S6" s="24">
        <v>100</v>
      </c>
      <c r="T6" s="25"/>
      <c r="U6" s="26"/>
      <c r="V6" s="27"/>
      <c r="W6" s="28"/>
      <c r="X6" s="29"/>
      <c r="Y6" s="29"/>
      <c r="Z6" s="29"/>
      <c r="AA6" s="29"/>
      <c r="AB6" s="29"/>
      <c r="AC6" s="29"/>
      <c r="AD6" s="29"/>
      <c r="AE6" s="30"/>
      <c r="AF6" s="31"/>
      <c r="AG6" s="32"/>
      <c r="AH6" s="33"/>
      <c r="AI6" s="86"/>
    </row>
    <row r="7" spans="1:35" ht="35" x14ac:dyDescent="0.5">
      <c r="A7" s="150">
        <f>IF(COUNTIF(Tabla_OM[[#This Row],[Puntos 1]:[Puntos 6]],"&gt;0")=0,"",COUNTIF(Tabla_OM[[#This Row],[Puntos 1]:[Puntos 6]],"&gt;0"))</f>
        <v>1</v>
      </c>
      <c r="B7" s="150">
        <f>IF(Tabla_OM[[#This Row],[NRC]]="","",COUNTA(Tabla_OM[[#This Row],[Respuesta 1]:[Respuesta 6]])-Tabla_OM[[#This Row],[NRC]])</f>
        <v>2</v>
      </c>
      <c r="D7" s="23"/>
      <c r="E7" s="77" t="s">
        <v>854</v>
      </c>
      <c r="F7" s="76" t="s">
        <v>855</v>
      </c>
      <c r="G7" s="12" t="s">
        <v>856</v>
      </c>
      <c r="H7" s="13" t="s">
        <v>857</v>
      </c>
      <c r="I7" s="14" t="s">
        <v>858</v>
      </c>
      <c r="J7" s="15"/>
      <c r="K7" s="16"/>
      <c r="L7" s="17"/>
      <c r="M7" s="24"/>
      <c r="N7" s="25"/>
      <c r="O7" s="26"/>
      <c r="P7" s="27"/>
      <c r="Q7" s="28"/>
      <c r="R7" s="29"/>
      <c r="S7" s="24">
        <v>100</v>
      </c>
      <c r="T7" s="25"/>
      <c r="U7" s="26"/>
      <c r="V7" s="27"/>
      <c r="W7" s="28"/>
      <c r="X7" s="29"/>
      <c r="Y7" s="29"/>
      <c r="Z7" s="29"/>
      <c r="AA7" s="29"/>
      <c r="AB7" s="29"/>
      <c r="AC7" s="29"/>
      <c r="AD7" s="29"/>
      <c r="AE7" s="30"/>
      <c r="AF7" s="31"/>
      <c r="AG7" s="32"/>
      <c r="AH7" s="33"/>
      <c r="AI7" s="86"/>
    </row>
  </sheetData>
  <sheetProtection algorithmName="SHA-512" hashValue="YOB91Fuj+3u4WDaED5n4f/OaN9EH1K6IQ8aMqpaZE1friiufMmsqv+6lE1Prqoo8BoJeyYO5fbOV5UvFJ7y7Gg==" saltValue="ymliw0ucuCB2vrjEGbGfug=="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COUNTA(Tabla_O2[Enunciado])</f>
        <v>2</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V"&amp;MID(Version,5,7)&amp;UPPER(INICIO!E24)&amp;"
"&amp;INDIRECT("Z_BP_03_"&amp;IDIOMA)</f>
        <v>FastTest PlugIn - V7.8  - OPCIÓN MÚLTIPLE +R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200" t="str">
        <f ca="1">INDIRECT("Z_BP_33_"&amp; IDIOMA)</f>
        <v>Nº max. Respuestas</v>
      </c>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IF(COUNTIF(Tabla_O2[[#This Row],[Puntos 1]:[Puntos 6]],"&gt;0")=0,"",COUNTIF(Tabla_O2[[#This Row],[Puntos 1]:[Puntos 6]],"&gt;0"))</f>
        <v>2</v>
      </c>
      <c r="B5" s="150">
        <f>IF(Tabla_O2[[#This Row],[NRC]]="","",COUNTA(Tabla_O2[[#This Row],[Respuesta 1]:[Respuesta 6]])-Tabla_O2[[#This Row],[NRC]])</f>
        <v>4</v>
      </c>
      <c r="D5" s="23"/>
      <c r="E5" s="77" t="s">
        <v>832</v>
      </c>
      <c r="F5" s="76" t="s">
        <v>833</v>
      </c>
      <c r="G5" s="12" t="s">
        <v>859</v>
      </c>
      <c r="H5" s="13" t="s">
        <v>860</v>
      </c>
      <c r="I5" s="14" t="s">
        <v>836</v>
      </c>
      <c r="J5" s="15" t="s">
        <v>837</v>
      </c>
      <c r="K5" s="16" t="s">
        <v>838</v>
      </c>
      <c r="L5" s="17" t="s">
        <v>835</v>
      </c>
      <c r="M5" s="24" t="s">
        <v>840</v>
      </c>
      <c r="N5" s="25" t="s">
        <v>840</v>
      </c>
      <c r="O5" s="26" t="s">
        <v>842</v>
      </c>
      <c r="P5" s="27" t="s">
        <v>843</v>
      </c>
      <c r="Q5" s="28" t="s">
        <v>844</v>
      </c>
      <c r="R5" s="29" t="s">
        <v>845</v>
      </c>
      <c r="S5" s="24">
        <v>50</v>
      </c>
      <c r="T5" s="25">
        <v>50</v>
      </c>
      <c r="U5" s="26"/>
      <c r="V5" s="27"/>
      <c r="W5" s="28"/>
      <c r="X5" s="29"/>
      <c r="Y5" s="199"/>
      <c r="Z5" s="29"/>
      <c r="AA5" s="29"/>
      <c r="AB5" s="29"/>
      <c r="AC5" s="29"/>
      <c r="AD5" s="29"/>
      <c r="AE5" s="30"/>
      <c r="AF5" s="31"/>
      <c r="AG5" s="32"/>
      <c r="AH5" s="33"/>
      <c r="AI5" s="86"/>
    </row>
    <row r="6" spans="1:35" x14ac:dyDescent="0.5">
      <c r="A6" s="150">
        <f>IF(COUNTIF(Tabla_O2[[#This Row],[Puntos 1]:[Puntos 6]],"&gt;0")=0,"",COUNTIF(Tabla_O2[[#This Row],[Puntos 1]:[Puntos 6]],"&gt;0"))</f>
        <v>2</v>
      </c>
      <c r="B6" s="150">
        <f>IF(Tabla_O2[[#This Row],[NRC]]="","",COUNTA(Tabla_O2[[#This Row],[Respuesta 1]:[Respuesta 6]])-Tabla_O2[[#This Row],[NRC]])</f>
        <v>4</v>
      </c>
      <c r="D6" s="23"/>
      <c r="E6" s="77" t="s">
        <v>846</v>
      </c>
      <c r="F6" s="151" t="s">
        <v>847</v>
      </c>
      <c r="G6" s="12" t="s">
        <v>848</v>
      </c>
      <c r="H6" s="13" t="s">
        <v>861</v>
      </c>
      <c r="I6" s="14" t="s">
        <v>849</v>
      </c>
      <c r="J6" s="15" t="s">
        <v>850</v>
      </c>
      <c r="K6" s="16" t="s">
        <v>862</v>
      </c>
      <c r="L6" s="17" t="s">
        <v>863</v>
      </c>
      <c r="M6" s="24" t="s">
        <v>840</v>
      </c>
      <c r="N6" s="25" t="s">
        <v>840</v>
      </c>
      <c r="O6" s="26" t="s">
        <v>842</v>
      </c>
      <c r="P6" s="27" t="s">
        <v>843</v>
      </c>
      <c r="Q6" s="28" t="s">
        <v>844</v>
      </c>
      <c r="R6" s="29" t="s">
        <v>845</v>
      </c>
      <c r="S6" s="24">
        <v>50</v>
      </c>
      <c r="T6" s="25">
        <v>50</v>
      </c>
      <c r="U6" s="26"/>
      <c r="V6" s="27"/>
      <c r="W6" s="28"/>
      <c r="X6" s="29"/>
      <c r="Y6" s="199"/>
      <c r="Z6" s="29"/>
      <c r="AA6" s="29"/>
      <c r="AB6" s="29"/>
      <c r="AC6" s="29"/>
      <c r="AD6" s="29"/>
      <c r="AE6" s="30"/>
      <c r="AF6" s="31"/>
      <c r="AG6" s="32"/>
      <c r="AH6" s="33"/>
      <c r="AI6" s="86"/>
    </row>
  </sheetData>
  <sheetProtection algorithmName="SHA-512" hashValue="2WSvFVy4FC/5b5Rn3OwjnoztJ5DGt8fFxlcgnj8cahRlmYPS+giG9VqSQIZQy8PtleU9yKtUa9bJyejLnRM48Q==" saltValue="006DGcNIV2yuDetjL9P2Lg=="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COUNTA(Tabla_VF[Enunciado])</f>
        <v>2</v>
      </c>
    </row>
    <row r="3" spans="1:35" ht="50.1" customHeight="1" x14ac:dyDescent="0.5">
      <c r="A3" s="171"/>
      <c r="B3" s="171"/>
      <c r="C3" s="78"/>
      <c r="D3" s="21"/>
      <c r="E3" s="22" t="str">
        <f ca="1">INDIRECT("Z_BP_04_"&amp;IDIOMA)</f>
        <v>Descripción</v>
      </c>
      <c r="F3" s="36" t="str">
        <f ca="1">"FastTest PlugIn - V"&amp;MID(Version,5,7)&amp;UPPER(INICIO!G24)&amp;"
"&amp;INDIRECT("Z_BP_03_"&amp;IDIOMA)</f>
        <v>FastTest PlugIn - V7.8  - VERDADERO/FALSO
Enunciado de la pregunta</v>
      </c>
      <c r="G3" s="67" t="str">
        <f ca="1">'Datos OM'!G3</f>
        <v>Respuesta 1</v>
      </c>
      <c r="H3" s="74" t="str">
        <f ca="1">'Datos OM'!M3</f>
        <v>Retroalim. 1</v>
      </c>
      <c r="I3" s="75" t="str">
        <f ca="1">'Datos OM'!N3</f>
        <v>Retroalim. 2</v>
      </c>
      <c r="J3" s="79"/>
      <c r="K3" s="80"/>
      <c r="L3" s="81"/>
      <c r="M3" s="73"/>
      <c r="N3" s="74"/>
      <c r="O3" s="75"/>
      <c r="P3" s="79"/>
      <c r="Q3" s="80"/>
      <c r="R3" s="81"/>
      <c r="S3" s="81"/>
      <c r="T3" s="81"/>
      <c r="U3" s="81"/>
      <c r="V3" s="81"/>
      <c r="W3" s="81"/>
      <c r="X3" s="81"/>
      <c r="Y3" s="81"/>
      <c r="Z3" s="81"/>
      <c r="AA3" s="81"/>
      <c r="AB3" s="81"/>
      <c r="AC3" s="81"/>
      <c r="AD3" s="81"/>
      <c r="AE3" s="82" t="str">
        <f ca="1">'Datos OM'!AE3</f>
        <v>Pista 1</v>
      </c>
      <c r="AF3" s="83" t="str">
        <f ca="1">'Datos OM'!AF3</f>
        <v>Pista 2</v>
      </c>
      <c r="AG3" s="84" t="str">
        <f ca="1">'Datos OM'!AG3</f>
        <v>Pista 3</v>
      </c>
      <c r="AH3" s="85" t="str">
        <f ca="1">'Datos OM'!AH3</f>
        <v>Pista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t="s">
        <v>832</v>
      </c>
      <c r="F5" s="76" t="s">
        <v>864</v>
      </c>
      <c r="G5" s="12" t="b">
        <v>1</v>
      </c>
      <c r="H5" s="25" t="s">
        <v>865</v>
      </c>
      <c r="I5" s="26" t="s">
        <v>866</v>
      </c>
      <c r="J5" s="27"/>
      <c r="K5" s="28"/>
      <c r="L5" s="29"/>
      <c r="M5" s="24"/>
      <c r="N5" s="25"/>
      <c r="O5" s="26"/>
      <c r="P5" s="27"/>
      <c r="Q5" s="28"/>
      <c r="R5" s="29"/>
      <c r="S5" s="29"/>
      <c r="T5" s="29"/>
      <c r="U5" s="29"/>
      <c r="V5" s="29"/>
      <c r="W5" s="29"/>
      <c r="X5" s="29"/>
      <c r="Y5" s="29"/>
      <c r="Z5" s="29"/>
      <c r="AA5" s="29"/>
      <c r="AB5" s="29"/>
      <c r="AC5" s="29"/>
      <c r="AD5" s="29"/>
      <c r="AE5" s="30" t="s">
        <v>275</v>
      </c>
      <c r="AF5" s="31" t="s">
        <v>276</v>
      </c>
      <c r="AG5" s="32" t="s">
        <v>277</v>
      </c>
      <c r="AH5" s="33" t="s">
        <v>278</v>
      </c>
      <c r="AI5" s="66"/>
    </row>
    <row r="6" spans="1:35" x14ac:dyDescent="0.5">
      <c r="A6" s="172"/>
      <c r="B6" s="172"/>
      <c r="D6" s="23"/>
      <c r="E6" s="77" t="s">
        <v>867</v>
      </c>
      <c r="F6" s="76" t="s">
        <v>868</v>
      </c>
      <c r="G6" s="12" t="b">
        <v>0</v>
      </c>
      <c r="H6" s="25" t="s">
        <v>869</v>
      </c>
      <c r="I6" s="26" t="s">
        <v>870</v>
      </c>
      <c r="J6" s="27"/>
      <c r="K6" s="28"/>
      <c r="L6" s="29"/>
      <c r="M6" s="24"/>
      <c r="N6" s="25"/>
      <c r="O6" s="26"/>
      <c r="P6" s="27"/>
      <c r="Q6" s="28"/>
      <c r="R6" s="29"/>
      <c r="S6" s="29"/>
      <c r="T6" s="29"/>
      <c r="U6" s="29"/>
      <c r="V6" s="29"/>
      <c r="W6" s="29"/>
      <c r="X6" s="29"/>
      <c r="Y6" s="29"/>
      <c r="Z6" s="29"/>
      <c r="AA6" s="29"/>
      <c r="AB6" s="29"/>
      <c r="AC6" s="29"/>
      <c r="AD6" s="29"/>
      <c r="AE6" s="30" t="s">
        <v>275</v>
      </c>
      <c r="AF6" s="31" t="s">
        <v>276</v>
      </c>
      <c r="AG6" s="32" t="s">
        <v>277</v>
      </c>
      <c r="AH6" s="33" t="s">
        <v>278</v>
      </c>
      <c r="AI6" s="66"/>
    </row>
  </sheetData>
  <sheetProtection algorithmName="SHA-512" hashValue="NKg3qVyqpFcTDr6lCVDSuGbXNLLz/HplLHHmf0kAsrWpsvlEChmIGkqhKLkhN0BcFHs5xQVCv2qLSTN8SlYM5Q==" saltValue="2Yo6J36pomd+itbUfWObFg=="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COUNTA(Tabla_EM[Enunciado])</f>
        <v>3</v>
      </c>
    </row>
    <row r="3" spans="1:35" ht="50.1" customHeight="1" x14ac:dyDescent="0.5">
      <c r="A3" s="61" t="str">
        <f ca="1">INDIRECT("Z_BP_17_"&amp;IDIOMA)</f>
        <v xml:space="preserve">Pareja </v>
      </c>
      <c r="B3" s="1"/>
      <c r="C3" s="18"/>
      <c r="D3" s="18"/>
      <c r="E3" s="22" t="str">
        <f ca="1">'Datos OM'!E3</f>
        <v>Descripción</v>
      </c>
      <c r="F3" s="36" t="str">
        <f ca="1">"FastTest PlugIn - V"&amp;MID(Version,5,7)&amp;UPPER(INICIO!I24)&amp;"
"&amp;INDIRECT("Z_BP_03_"&amp;IDIOMA)</f>
        <v>FastTest PlugIn - V7.8  - EMPAREJAR
Enunciado de la pregunta</v>
      </c>
      <c r="G3" s="103" t="str">
        <f ca="1">$A$3&amp;" 01.1"</f>
        <v>Pareja  01.1</v>
      </c>
      <c r="H3" s="103" t="str">
        <f ca="1">$A$3&amp;" 01.2"</f>
        <v>Pareja  01.2</v>
      </c>
      <c r="I3" s="105" t="str">
        <f ca="1">$A$3&amp;" 02.1"</f>
        <v>Pareja  02.1</v>
      </c>
      <c r="J3" s="105" t="str">
        <f ca="1">$A$3&amp;" 02.2"</f>
        <v>Pareja  02.2</v>
      </c>
      <c r="K3" s="132" t="str">
        <f ca="1">$A$3&amp;" 03.1"</f>
        <v>Pareja  03.1</v>
      </c>
      <c r="L3" s="132" t="str">
        <f ca="1">$A$3&amp;" 03.2"</f>
        <v>Pareja  03.2</v>
      </c>
      <c r="M3" s="107" t="str">
        <f ca="1">$A$3&amp;" 04.1"</f>
        <v>Pareja  04.1</v>
      </c>
      <c r="N3" s="107" t="str">
        <f ca="1">$A$3&amp;" 04.2"</f>
        <v>Pareja  04.2</v>
      </c>
      <c r="O3" s="109" t="str">
        <f ca="1">$A$3&amp;" 05.1"</f>
        <v>Pareja  05.1</v>
      </c>
      <c r="P3" s="109" t="str">
        <f ca="1">$A$3&amp;" 05.2"</f>
        <v>Pareja  05.2</v>
      </c>
      <c r="Q3" s="111" t="str">
        <f ca="1">$A$3&amp;" 06.1"</f>
        <v>Pareja  06.1</v>
      </c>
      <c r="R3" s="111" t="str">
        <f ca="1">$A$3&amp;" 06.2"</f>
        <v>Pareja  06.2</v>
      </c>
      <c r="S3" s="103" t="str">
        <f ca="1">$A$3&amp;" 07.1"</f>
        <v>Pareja  07.1</v>
      </c>
      <c r="T3" s="103" t="str">
        <f ca="1">$A$3&amp;" 07.2"</f>
        <v>Pareja  07.2</v>
      </c>
      <c r="U3" s="105" t="str">
        <f ca="1">$A$3&amp;" 08.1"</f>
        <v>Pareja  08.1</v>
      </c>
      <c r="V3" s="105" t="str">
        <f ca="1">$A$3&amp;" 08.2"</f>
        <v>Pareja  08.2</v>
      </c>
      <c r="W3" s="132" t="str">
        <f ca="1">$A$3&amp;" 09.1"</f>
        <v>Pareja  09.1</v>
      </c>
      <c r="X3" s="132" t="str">
        <f ca="1">$A$3&amp;" 09.2"</f>
        <v>Pareja  09.2</v>
      </c>
      <c r="Y3" s="107" t="str">
        <f ca="1">$A$3&amp;" 10.1"</f>
        <v>Pareja  10.1</v>
      </c>
      <c r="Z3" s="107" t="str">
        <f ca="1">$A$3&amp;" 10.2"</f>
        <v>Pareja  10.2</v>
      </c>
      <c r="AA3" s="109" t="str">
        <f ca="1">$A$3&amp;" 11.1"</f>
        <v>Pareja  11.1</v>
      </c>
      <c r="AB3" s="109" t="str">
        <f ca="1">$A$3&amp;" 11.2"</f>
        <v>Pareja  11.2</v>
      </c>
      <c r="AC3" s="111" t="str">
        <f ca="1">$A$3&amp;" 12.1"</f>
        <v>Pareja  12.1</v>
      </c>
      <c r="AD3" s="111" t="str">
        <f ca="1">$A$3&amp;" 12.1"</f>
        <v>Pareja  12.1</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f>IF(COUNTA(Tabla_EM[[#This Row],[Pareja  01.1]:[Pareja  12.14]])/2=0,"",COUNTA(Tabla_EM[[#This Row],[Pareja  01.1]:[Pareja  12.14]])/2)</f>
        <v>12</v>
      </c>
      <c r="B5" s="173"/>
      <c r="D5" s="23"/>
      <c r="E5" s="77" t="s">
        <v>871</v>
      </c>
      <c r="F5" s="76" t="s">
        <v>872</v>
      </c>
      <c r="G5" s="87" t="s">
        <v>873</v>
      </c>
      <c r="H5" s="87" t="s">
        <v>874</v>
      </c>
      <c r="I5" s="88" t="s">
        <v>875</v>
      </c>
      <c r="J5" s="88" t="s">
        <v>876</v>
      </c>
      <c r="K5" s="89" t="s">
        <v>877</v>
      </c>
      <c r="L5" s="89" t="s">
        <v>878</v>
      </c>
      <c r="M5" s="90" t="s">
        <v>879</v>
      </c>
      <c r="N5" s="90" t="s">
        <v>880</v>
      </c>
      <c r="O5" s="91" t="s">
        <v>881</v>
      </c>
      <c r="P5" s="91" t="s">
        <v>882</v>
      </c>
      <c r="Q5" s="92" t="s">
        <v>883</v>
      </c>
      <c r="R5" s="92" t="s">
        <v>884</v>
      </c>
      <c r="S5" s="87" t="s">
        <v>885</v>
      </c>
      <c r="T5" s="87" t="s">
        <v>886</v>
      </c>
      <c r="U5" s="88" t="s">
        <v>887</v>
      </c>
      <c r="V5" s="88" t="s">
        <v>888</v>
      </c>
      <c r="W5" s="89" t="s">
        <v>889</v>
      </c>
      <c r="X5" s="89" t="s">
        <v>890</v>
      </c>
      <c r="Y5" s="90" t="s">
        <v>891</v>
      </c>
      <c r="Z5" s="90" t="s">
        <v>892</v>
      </c>
      <c r="AA5" s="91" t="s">
        <v>893</v>
      </c>
      <c r="AB5" s="91" t="s">
        <v>894</v>
      </c>
      <c r="AC5" s="92" t="s">
        <v>895</v>
      </c>
      <c r="AD5" s="92" t="s">
        <v>896</v>
      </c>
      <c r="AE5" s="30" t="s">
        <v>275</v>
      </c>
      <c r="AF5" s="31" t="s">
        <v>276</v>
      </c>
      <c r="AG5" s="32" t="s">
        <v>277</v>
      </c>
      <c r="AH5" s="33" t="s">
        <v>897</v>
      </c>
      <c r="AI5" s="86"/>
    </row>
    <row r="6" spans="1:35" x14ac:dyDescent="0.5">
      <c r="A6" s="62">
        <f>IF(COUNTA(Tabla_EM[[#This Row],[Pareja  01.1]:[Pareja  12.14]])/2=0,"",COUNTA(Tabla_EM[[#This Row],[Pareja  01.1]:[Pareja  12.14]])/2)</f>
        <v>12</v>
      </c>
      <c r="B6" s="243"/>
      <c r="D6" s="23"/>
      <c r="E6" s="77" t="s">
        <v>898</v>
      </c>
      <c r="F6" s="76" t="s">
        <v>899</v>
      </c>
      <c r="G6" s="87">
        <v>1</v>
      </c>
      <c r="H6" s="87" t="s">
        <v>900</v>
      </c>
      <c r="I6" s="88">
        <v>2</v>
      </c>
      <c r="J6" s="88" t="s">
        <v>901</v>
      </c>
      <c r="K6" s="89">
        <v>3</v>
      </c>
      <c r="L6" s="89" t="s">
        <v>902</v>
      </c>
      <c r="M6" s="90">
        <v>4</v>
      </c>
      <c r="N6" s="90" t="s">
        <v>903</v>
      </c>
      <c r="O6" s="91">
        <v>5</v>
      </c>
      <c r="P6" s="91" t="s">
        <v>904</v>
      </c>
      <c r="Q6" s="92">
        <v>6</v>
      </c>
      <c r="R6" s="92" t="s">
        <v>905</v>
      </c>
      <c r="S6" s="87">
        <v>7</v>
      </c>
      <c r="T6" s="87" t="s">
        <v>906</v>
      </c>
      <c r="U6" s="88">
        <v>8</v>
      </c>
      <c r="V6" s="88" t="s">
        <v>907</v>
      </c>
      <c r="W6" s="89">
        <v>9</v>
      </c>
      <c r="X6" s="89" t="s">
        <v>908</v>
      </c>
      <c r="Y6" s="90">
        <v>10</v>
      </c>
      <c r="Z6" s="90" t="s">
        <v>909</v>
      </c>
      <c r="AA6" s="91">
        <v>11</v>
      </c>
      <c r="AB6" s="91" t="s">
        <v>910</v>
      </c>
      <c r="AC6" s="92">
        <v>12</v>
      </c>
      <c r="AD6" s="92" t="s">
        <v>911</v>
      </c>
      <c r="AE6" s="93" t="s">
        <v>275</v>
      </c>
      <c r="AF6" s="94" t="s">
        <v>276</v>
      </c>
      <c r="AG6" s="95" t="s">
        <v>277</v>
      </c>
      <c r="AH6" s="96" t="s">
        <v>897</v>
      </c>
      <c r="AI6" s="86"/>
    </row>
    <row r="7" spans="1:35" ht="143.35" x14ac:dyDescent="0.5">
      <c r="A7" s="62">
        <f>IF(COUNTA(Tabla_EM[[#This Row],[Pareja  01.1]:[Pareja  12.14]])/2=0,"",COUNTA(Tabla_EM[[#This Row],[Pareja  01.1]:[Pareja  12.14]])/2)</f>
        <v>12</v>
      </c>
      <c r="B7" s="243"/>
      <c r="D7" s="23"/>
      <c r="E7" s="77" t="s">
        <v>898</v>
      </c>
      <c r="F7" s="76" t="s">
        <v>899</v>
      </c>
      <c r="G7" s="87" t="s">
        <v>912</v>
      </c>
      <c r="H7" s="87" t="s">
        <v>883</v>
      </c>
      <c r="I7" s="88" t="s">
        <v>913</v>
      </c>
      <c r="J7" s="88" t="s">
        <v>914</v>
      </c>
      <c r="K7" s="89" t="s">
        <v>915</v>
      </c>
      <c r="L7" s="89" t="s">
        <v>916</v>
      </c>
      <c r="M7" s="90" t="s">
        <v>917</v>
      </c>
      <c r="N7" s="90" t="s">
        <v>918</v>
      </c>
      <c r="O7" s="91" t="s">
        <v>919</v>
      </c>
      <c r="P7" s="91" t="s">
        <v>919</v>
      </c>
      <c r="Q7" s="92" t="s">
        <v>919</v>
      </c>
      <c r="R7" s="92" t="s">
        <v>919</v>
      </c>
      <c r="S7" s="87" t="s">
        <v>919</v>
      </c>
      <c r="T7" s="87" t="s">
        <v>919</v>
      </c>
      <c r="U7" s="88" t="s">
        <v>919</v>
      </c>
      <c r="V7" s="88" t="s">
        <v>919</v>
      </c>
      <c r="W7" s="89" t="s">
        <v>919</v>
      </c>
      <c r="X7" s="89" t="s">
        <v>919</v>
      </c>
      <c r="Y7" s="90" t="s">
        <v>919</v>
      </c>
      <c r="Z7" s="90" t="s">
        <v>919</v>
      </c>
      <c r="AA7" s="91" t="s">
        <v>919</v>
      </c>
      <c r="AB7" s="91" t="s">
        <v>919</v>
      </c>
      <c r="AC7" s="92" t="s">
        <v>919</v>
      </c>
      <c r="AD7" s="92" t="s">
        <v>919</v>
      </c>
      <c r="AE7" s="93" t="s">
        <v>275</v>
      </c>
      <c r="AF7" s="94" t="s">
        <v>276</v>
      </c>
      <c r="AG7" s="95" t="s">
        <v>277</v>
      </c>
      <c r="AH7" s="96" t="s">
        <v>897</v>
      </c>
      <c r="AI7" s="86"/>
    </row>
  </sheetData>
  <sheetProtection algorithmName="SHA-512" hashValue="n1H/OTeUoXJrijwvm33DxTt/zgnJ8szZMmzzukkgWhG3iq0AuXEJe5y+plf0NaH+cchLbrjd6WwxAxhjfAkeWg==" saltValue="3uKjaxWaU/lvD8+S6sVOjg=="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D5" sqref="D5:AI6"/>
    </sheetView>
  </sheetViews>
  <sheetFormatPr baseColWidth="10"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COUNTA(Tabl_RC[Enunciado])</f>
        <v>2</v>
      </c>
    </row>
    <row r="3" spans="1:35" ht="50.1" customHeight="1" x14ac:dyDescent="0.5">
      <c r="A3" s="61" t="str">
        <f ca="1">INDIRECT("Z_BP_19_"&amp;IDIOMA)</f>
        <v>Respuesta</v>
      </c>
      <c r="B3" s="3"/>
      <c r="C3" s="18"/>
      <c r="D3" s="53" t="str">
        <f ca="1">INDIRECT("Z_BP_18_"&amp;IDIOMA)</f>
        <v>Mayúsculas</v>
      </c>
      <c r="E3" s="22" t="str">
        <f ca="1">'Datos OM'!E3</f>
        <v>Descripción</v>
      </c>
      <c r="F3" s="36" t="str">
        <f ca="1">"FastTest PlugIn - V"&amp;MID(Version,5,7)&amp;UPPER(INICIO!K24)&amp;"
"&amp;INDIRECT("Z_BP_03_"&amp;IDIOMA)</f>
        <v>FastTest PlugIn - V7.8  - RESPUESTA CORTA
Enunciado de la pregunta</v>
      </c>
      <c r="G3" s="103" t="str">
        <f ca="1">$A$3&amp;" 01"</f>
        <v>Respuesta 01</v>
      </c>
      <c r="H3" s="104" t="str">
        <f ca="1">INDIRECT("Z_BP_09_"&amp;IDIOMA)&amp;" 01"</f>
        <v>Puntos 01</v>
      </c>
      <c r="I3" s="104" t="str">
        <f ca="1">INDIRECT("Z_BP_07_"&amp;IDIOMA)&amp;" 01"</f>
        <v>Retroalim. 01</v>
      </c>
      <c r="J3" s="105" t="str">
        <f ca="1">$A$3&amp;" 02"</f>
        <v>Respuesta 02</v>
      </c>
      <c r="K3" s="106" t="str">
        <f ca="1">INDIRECT("Z_BP_09_"&amp;IDIOMA)&amp;" 02"</f>
        <v>Puntos 02</v>
      </c>
      <c r="L3" s="106" t="str">
        <f ca="1">INDIRECT("Z_BP_07_"&amp;IDIOMA)&amp;" 02"</f>
        <v>Retroalim. 02</v>
      </c>
      <c r="M3" s="105" t="str">
        <f ca="1">$A$3&amp;" 03"</f>
        <v>Respuesta 03</v>
      </c>
      <c r="N3" s="106" t="str">
        <f ca="1">INDIRECT("Z_BP_09_"&amp;IDIOMA)&amp;" 03"</f>
        <v>Puntos 03</v>
      </c>
      <c r="O3" s="106" t="str">
        <f ca="1">INDIRECT("Z_BP_07_"&amp;IDIOMA)&amp;" 03"</f>
        <v>Retroalim. 03</v>
      </c>
      <c r="P3" s="107" t="str">
        <f ca="1">$A$3&amp;" 04"</f>
        <v>Respuesta 04</v>
      </c>
      <c r="Q3" s="108" t="str">
        <f ca="1">INDIRECT("Z_BP_09_"&amp;IDIOMA)&amp;" 04"</f>
        <v>Puntos 04</v>
      </c>
      <c r="R3" s="108" t="str">
        <f ca="1">INDIRECT("Z_BP_07_"&amp;IDIOMA)&amp;" 04"</f>
        <v>Retroalim. 04</v>
      </c>
      <c r="S3" s="109" t="str">
        <f ca="1">$A$3&amp;" 05"</f>
        <v>Respuesta 05</v>
      </c>
      <c r="T3" s="110" t="str">
        <f ca="1">INDIRECT("Z_BP_09_"&amp;IDIOMA)&amp;" 05"</f>
        <v>Puntos 05</v>
      </c>
      <c r="U3" s="110" t="str">
        <f ca="1">INDIRECT("Z_BP_07_"&amp;IDIOMA)&amp;" 05"</f>
        <v>Retroalim. 05</v>
      </c>
      <c r="V3" s="111" t="str">
        <f ca="1">$A$3&amp;" 06"</f>
        <v>Respuesta 06</v>
      </c>
      <c r="W3" s="112" t="str">
        <f ca="1">INDIRECT("Z_BP_09_"&amp;IDIOMA)&amp;" 06"</f>
        <v>Puntos 06</v>
      </c>
      <c r="X3" s="112" t="str">
        <f ca="1">INDIRECT("Z_BP_07_"&amp;IDIOMA)&amp;" 06"</f>
        <v>Retroalim. 06</v>
      </c>
      <c r="Y3" s="103" t="str">
        <f ca="1">$A$3&amp;" 07"</f>
        <v>Respuesta 07</v>
      </c>
      <c r="Z3" s="104" t="str">
        <f ca="1">INDIRECT("Z_BP_09_"&amp;IDIOMA)&amp;" 07"</f>
        <v>Puntos 07</v>
      </c>
      <c r="AA3" s="104" t="str">
        <f ca="1">INDIRECT("Z_BP_07_"&amp;IDIOMA)&amp;" 07"</f>
        <v>Retroalim. 07</v>
      </c>
      <c r="AB3" s="105" t="str">
        <f ca="1">$A$3&amp;" 08"</f>
        <v>Respuesta 08</v>
      </c>
      <c r="AC3" s="106" t="str">
        <f ca="1">INDIRECT("Z_BP_09_"&amp;IDIOMA)&amp;" 08"</f>
        <v>Puntos 08</v>
      </c>
      <c r="AD3" s="106" t="str">
        <f ca="1">INDIRECT("Z_BP_07_"&amp;IDIOMA)&amp;" 08"</f>
        <v>Retroalim. 08</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5" s="19"/>
      <c r="C5" s="20"/>
      <c r="D5" s="97">
        <v>1</v>
      </c>
      <c r="E5" s="77" t="s">
        <v>920</v>
      </c>
      <c r="F5" s="76" t="s">
        <v>921</v>
      </c>
      <c r="G5" s="87" t="s">
        <v>922</v>
      </c>
      <c r="H5" s="98">
        <v>100</v>
      </c>
      <c r="I5" s="98" t="s">
        <v>923</v>
      </c>
      <c r="J5" s="88" t="s">
        <v>924</v>
      </c>
      <c r="K5" s="99">
        <v>100</v>
      </c>
      <c r="L5" s="99" t="s">
        <v>923</v>
      </c>
      <c r="M5" s="88" t="s">
        <v>925</v>
      </c>
      <c r="N5" s="99">
        <v>100</v>
      </c>
      <c r="O5" s="99" t="s">
        <v>923</v>
      </c>
      <c r="P5" s="90" t="s">
        <v>926</v>
      </c>
      <c r="Q5" s="100">
        <v>100</v>
      </c>
      <c r="R5" s="100" t="s">
        <v>923</v>
      </c>
      <c r="S5" s="91" t="s">
        <v>927</v>
      </c>
      <c r="T5" s="101">
        <v>100</v>
      </c>
      <c r="U5" s="101" t="s">
        <v>923</v>
      </c>
      <c r="V5" s="92" t="s">
        <v>928</v>
      </c>
      <c r="W5" s="102">
        <v>100</v>
      </c>
      <c r="X5" s="102" t="s">
        <v>923</v>
      </c>
      <c r="Y5" s="87" t="s">
        <v>929</v>
      </c>
      <c r="Z5" s="98">
        <v>100</v>
      </c>
      <c r="AA5" s="98" t="s">
        <v>923</v>
      </c>
      <c r="AB5" s="88" t="s">
        <v>930</v>
      </c>
      <c r="AC5" s="99">
        <v>100</v>
      </c>
      <c r="AD5" s="99" t="s">
        <v>923</v>
      </c>
      <c r="AE5" s="93" t="s">
        <v>931</v>
      </c>
      <c r="AF5" s="94" t="s">
        <v>932</v>
      </c>
      <c r="AG5" s="95" t="s">
        <v>933</v>
      </c>
      <c r="AH5" s="96" t="s">
        <v>934</v>
      </c>
      <c r="AI5" s="86"/>
    </row>
    <row r="6" spans="1:35" x14ac:dyDescent="0.5">
      <c r="A6"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3</v>
      </c>
      <c r="B6" s="19"/>
      <c r="C6" s="20"/>
      <c r="D6" s="97">
        <v>0</v>
      </c>
      <c r="E6" s="77" t="s">
        <v>935</v>
      </c>
      <c r="F6" s="76" t="s">
        <v>936</v>
      </c>
      <c r="G6" s="87" t="s">
        <v>937</v>
      </c>
      <c r="H6" s="98">
        <v>100</v>
      </c>
      <c r="I6" s="98" t="s">
        <v>923</v>
      </c>
      <c r="J6" s="88" t="s">
        <v>938</v>
      </c>
      <c r="K6" s="99">
        <v>50</v>
      </c>
      <c r="L6" s="99" t="s">
        <v>939</v>
      </c>
      <c r="M6" s="88" t="s">
        <v>940</v>
      </c>
      <c r="N6" s="99">
        <v>100</v>
      </c>
      <c r="O6" s="99" t="s">
        <v>941</v>
      </c>
      <c r="P6" s="90"/>
      <c r="Q6" s="100"/>
      <c r="R6" s="100"/>
      <c r="S6" s="91"/>
      <c r="T6" s="101"/>
      <c r="U6" s="101"/>
      <c r="V6" s="92"/>
      <c r="W6" s="102"/>
      <c r="X6" s="102"/>
      <c r="Y6" s="87"/>
      <c r="Z6" s="98"/>
      <c r="AA6" s="98"/>
      <c r="AB6" s="88"/>
      <c r="AC6" s="99"/>
      <c r="AD6" s="99"/>
      <c r="AE6" s="93"/>
      <c r="AF6" s="94"/>
      <c r="AG6" s="95"/>
      <c r="AH6" s="96"/>
      <c r="AI6" s="86"/>
    </row>
  </sheetData>
  <sheetProtection algorithmName="SHA-512" hashValue="bTBPsrt/eTYS2RZQXmEh4t2TiGrFMwfnhp5yOONDUNHhUdDE43BXTTIiEVNfJJ/wGSTE2+YHaXFL6FUoBe95Tg==" saltValue="N0IRrQIENoXrkmfrwQ6MiQ=="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COUNTA(Tabla_PP[Enunciado])</f>
        <v>2</v>
      </c>
    </row>
    <row r="3" spans="1:35" ht="50.1" customHeight="1" x14ac:dyDescent="0.5">
      <c r="A3" s="64" t="str">
        <f ca="1">INDIRECT("Z_BP_20_"&amp;IDIOMA)</f>
        <v xml:space="preserve">Palabra </v>
      </c>
      <c r="B3" s="1"/>
      <c r="C3" s="18"/>
      <c r="D3" s="18"/>
      <c r="E3" s="11" t="str">
        <f ca="1">'Datos OM'!E3</f>
        <v>Descripción</v>
      </c>
      <c r="F3" s="36" t="str">
        <f ca="1">"FastTest PlugIn - V"&amp;MID(Version,5,7)&amp;UPPER(INICIO!M24)&amp;"
"&amp;INDIRECT("Z_BP_03_"&amp;IDIOMA)</f>
        <v>FastTest PlugIn - V7.8  - PALABRA PERDIDA
Enunciado de la pregunta</v>
      </c>
      <c r="G3" s="117" t="str">
        <f ca="1">INDIRECT("Z_BP_23_"&amp;IDIOMA)&amp;"
"&amp;H3</f>
        <v>Grupo 
Palabra  01</v>
      </c>
      <c r="H3" s="117" t="str">
        <f ca="1">INDIRECT("Z_BP_20_"&amp;IDIOMA)&amp;" 01"</f>
        <v>Palabra  01</v>
      </c>
      <c r="I3" s="118" t="str">
        <f ca="1">INDIRECT("Z_BP_23_"&amp;IDIOMA)&amp;"
"&amp;J3</f>
        <v>Grupo 
Palabra  02</v>
      </c>
      <c r="J3" s="118" t="str">
        <f ca="1">INDIRECT("Z_BP_20_"&amp;IDIOMA)&amp;" 02"</f>
        <v>Palabra  02</v>
      </c>
      <c r="K3" s="117" t="str">
        <f ca="1">INDIRECT("Z_BP_23_"&amp;IDIOMA)&amp;"
"&amp;L3</f>
        <v>Grupo 
Palabra  03</v>
      </c>
      <c r="L3" s="117" t="str">
        <f ca="1">INDIRECT("Z_BP_20_"&amp;IDIOMA)&amp;" 03"</f>
        <v>Palabra  03</v>
      </c>
      <c r="M3" s="118" t="str">
        <f ca="1">INDIRECT("Z_BP_23_"&amp;IDIOMA)&amp;"
"&amp;N3</f>
        <v>Grupo 
Palabra  04</v>
      </c>
      <c r="N3" s="118" t="str">
        <f ca="1">INDIRECT("Z_BP_20_"&amp;IDIOMA)&amp;" 04"</f>
        <v>Palabra  04</v>
      </c>
      <c r="O3" s="117" t="str">
        <f ca="1">INDIRECT("Z_BP_23_"&amp;IDIOMA)&amp;"
"&amp;P3</f>
        <v>Grupo 
Palabra  05</v>
      </c>
      <c r="P3" s="117" t="str">
        <f ca="1">INDIRECT("Z_BP_20_"&amp;IDIOMA)&amp;" 05"</f>
        <v>Palabra  05</v>
      </c>
      <c r="Q3" s="118" t="str">
        <f ca="1">INDIRECT("Z_BP_23_"&amp;IDIOMA)&amp;"
"&amp;R3</f>
        <v>Grupo 
Palabra  06</v>
      </c>
      <c r="R3" s="118" t="str">
        <f ca="1">INDIRECT("Z_BP_20_"&amp;IDIOMA)&amp;" 06"</f>
        <v>Palabra  06</v>
      </c>
      <c r="S3" s="117" t="str">
        <f ca="1">INDIRECT("Z_BP_23_"&amp;IDIOMA)&amp;"
"&amp;T3</f>
        <v>Grupo 
Palabra  07</v>
      </c>
      <c r="T3" s="117" t="str">
        <f ca="1">INDIRECT("Z_BP_20_"&amp;IDIOMA)&amp;" 07"</f>
        <v>Palabra  07</v>
      </c>
      <c r="U3" s="118" t="str">
        <f ca="1">INDIRECT("Z_BP_23_"&amp;IDIOMA)&amp;"
"&amp;V3</f>
        <v>Grupo 
Palabra  08</v>
      </c>
      <c r="V3" s="118" t="str">
        <f ca="1">INDIRECT("Z_BP_20_"&amp;IDIOMA)&amp;" 08"</f>
        <v>Palabra  08</v>
      </c>
      <c r="W3" s="117" t="str">
        <f ca="1">INDIRECT("Z_BP_23_"&amp;IDIOMA)&amp;"
"&amp;X3</f>
        <v>Grupo 
Palabra  09</v>
      </c>
      <c r="X3" s="117" t="str">
        <f ca="1">INDIRECT("Z_BP_20_"&amp;IDIOMA)&amp;" 09"</f>
        <v>Palabra  09</v>
      </c>
      <c r="Y3" s="118" t="str">
        <f ca="1">INDIRECT("Z_BP_23_"&amp;IDIOMA)&amp;"
"&amp;Z3</f>
        <v>Grupo 
Palabra  10</v>
      </c>
      <c r="Z3" s="118" t="str">
        <f ca="1">INDIRECT("Z_BP_20_"&amp;IDIOMA)&amp;" 10"</f>
        <v>Palabra  10</v>
      </c>
      <c r="AA3" s="117" t="str">
        <f ca="1">INDIRECT("Z_BP_23_"&amp;IDIOMA)&amp;"
"&amp;AB3</f>
        <v>Grupo 
Palabra  11</v>
      </c>
      <c r="AB3" s="117" t="str">
        <f ca="1">INDIRECT("Z_BP_20_"&amp;IDIOMA)&amp;" 11"</f>
        <v>Palabra  11</v>
      </c>
      <c r="AC3" s="118" t="str">
        <f ca="1">INDIRECT("Z_BP_23_"&amp;IDIOMA)&amp;"
"&amp;AD3</f>
        <v>Grupo 
Palabra  12</v>
      </c>
      <c r="AD3" s="118" t="str">
        <f ca="1">INDIRECT("Z_BP_20_"&amp;IDIOMA)&amp;" 12"</f>
        <v>Palabra  12</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f>IF(COUNTA(Tabla_PP[[#This Row],[GP 01]:[P 12]])/2=0,"",COUNTA(Tabla_PP[[#This Row],[GP 01]:[P 12]])/2)</f>
        <v>12</v>
      </c>
      <c r="B5" s="11"/>
      <c r="C5" s="152"/>
      <c r="D5" s="152"/>
      <c r="E5" s="119" t="s">
        <v>942</v>
      </c>
      <c r="F5" s="151" t="s">
        <v>943</v>
      </c>
      <c r="G5" s="12">
        <v>1</v>
      </c>
      <c r="H5" s="12" t="s">
        <v>922</v>
      </c>
      <c r="I5" s="13">
        <v>1</v>
      </c>
      <c r="J5" s="13" t="s">
        <v>924</v>
      </c>
      <c r="K5" s="12">
        <v>1</v>
      </c>
      <c r="L5" s="12" t="s">
        <v>927</v>
      </c>
      <c r="M5" s="13">
        <v>1</v>
      </c>
      <c r="N5" s="13" t="s">
        <v>928</v>
      </c>
      <c r="O5" s="12">
        <v>2</v>
      </c>
      <c r="P5" s="12" t="s">
        <v>944</v>
      </c>
      <c r="Q5" s="13">
        <v>2</v>
      </c>
      <c r="R5" s="13" t="s">
        <v>945</v>
      </c>
      <c r="S5" s="12">
        <v>2</v>
      </c>
      <c r="T5" s="12" t="s">
        <v>946</v>
      </c>
      <c r="U5" s="13">
        <v>3</v>
      </c>
      <c r="V5" s="13" t="s">
        <v>947</v>
      </c>
      <c r="W5" s="12">
        <v>3</v>
      </c>
      <c r="X5" s="12" t="s">
        <v>948</v>
      </c>
      <c r="Y5" s="13">
        <v>3</v>
      </c>
      <c r="Z5" s="13" t="s">
        <v>949</v>
      </c>
      <c r="AA5" s="12">
        <v>3</v>
      </c>
      <c r="AB5" s="12" t="s">
        <v>950</v>
      </c>
      <c r="AC5" s="13">
        <v>3</v>
      </c>
      <c r="AD5" s="13" t="s">
        <v>951</v>
      </c>
      <c r="AE5" s="153" t="s">
        <v>952</v>
      </c>
      <c r="AF5" s="154" t="s">
        <v>953</v>
      </c>
      <c r="AG5" s="155" t="s">
        <v>954</v>
      </c>
      <c r="AH5" s="156" t="s">
        <v>955</v>
      </c>
      <c r="AI5" s="86"/>
    </row>
    <row r="6" spans="1:35" ht="35" x14ac:dyDescent="0.5">
      <c r="A6" s="62">
        <f>IF(COUNTA(Tabla_PP[[#This Row],[GP 01]:[P 12]])/2=0,"",COUNTA(Tabla_PP[[#This Row],[GP 01]:[P 12]])/2)</f>
        <v>12</v>
      </c>
      <c r="B6" s="11"/>
      <c r="C6" s="152"/>
      <c r="D6" s="152"/>
      <c r="E6" s="119" t="s">
        <v>942</v>
      </c>
      <c r="F6" s="151" t="s">
        <v>956</v>
      </c>
      <c r="G6" s="12">
        <v>1</v>
      </c>
      <c r="H6" s="12" t="s">
        <v>922</v>
      </c>
      <c r="I6" s="13">
        <v>1</v>
      </c>
      <c r="J6" s="13" t="s">
        <v>924</v>
      </c>
      <c r="K6" s="12">
        <v>1</v>
      </c>
      <c r="L6" s="12" t="s">
        <v>927</v>
      </c>
      <c r="M6" s="13">
        <v>1</v>
      </c>
      <c r="N6" s="13" t="s">
        <v>928</v>
      </c>
      <c r="O6" s="12">
        <v>2</v>
      </c>
      <c r="P6" s="12" t="s">
        <v>944</v>
      </c>
      <c r="Q6" s="13">
        <v>2</v>
      </c>
      <c r="R6" s="13" t="s">
        <v>945</v>
      </c>
      <c r="S6" s="12">
        <v>2</v>
      </c>
      <c r="T6" s="12" t="s">
        <v>946</v>
      </c>
      <c r="U6" s="13">
        <v>3</v>
      </c>
      <c r="V6" s="13" t="s">
        <v>947</v>
      </c>
      <c r="W6" s="12">
        <v>3</v>
      </c>
      <c r="X6" s="12" t="s">
        <v>948</v>
      </c>
      <c r="Y6" s="13">
        <v>3</v>
      </c>
      <c r="Z6" s="13" t="s">
        <v>949</v>
      </c>
      <c r="AA6" s="12">
        <v>3</v>
      </c>
      <c r="AB6" s="12" t="s">
        <v>950</v>
      </c>
      <c r="AC6" s="13">
        <v>3</v>
      </c>
      <c r="AD6" s="13" t="s">
        <v>951</v>
      </c>
      <c r="AE6" s="153" t="s">
        <v>952</v>
      </c>
      <c r="AF6" s="154" t="s">
        <v>953</v>
      </c>
      <c r="AG6" s="155" t="s">
        <v>954</v>
      </c>
      <c r="AH6" s="156" t="s">
        <v>955</v>
      </c>
      <c r="AI6" s="86"/>
    </row>
  </sheetData>
  <sheetProtection algorithmName="SHA-512" hashValue="Q/kX9mmsMTxbUH4yKTpaXKi9Vs2QfN+6Fh0+QKfm8dCFznO4gLvwmL4XMC6SBPwOBeHodQ8m19W5Ma+sX+skIw==" saltValue="fWx9PfENFLyT1DMn4inRhA==" spinCount="100000" sheet="1" objects="1" scenarios="1"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COUNTA(Tabla_EN[FastTest PlugIn - ENSAYO
Enunciado de la pregunta])</f>
        <v>2</v>
      </c>
    </row>
    <row r="3" spans="1:35" ht="50.1" customHeight="1" x14ac:dyDescent="0.5">
      <c r="A3" s="174"/>
      <c r="B3" s="1"/>
      <c r="C3" s="18"/>
      <c r="D3" s="18"/>
      <c r="E3" s="11" t="str">
        <f ca="1">'Datos OM'!E3</f>
        <v>Descripción</v>
      </c>
      <c r="F3" s="36" t="str">
        <f ca="1">"FastTest PlugIn - V"&amp;MID(Version,5,7)&amp;UPPER(INICIO!O24)&amp;"
"&amp;INDIRECT("Z_BP_03_"&amp;IDIOMA)</f>
        <v>FastTest PlugIn - V7.8  - ENSAYO
Enunciado de la pregunta</v>
      </c>
      <c r="G3" s="55" t="str">
        <f ca="1">INDIRECT("Z_BP_24_"&amp;IDIOMA)&amp;"
"&amp;H3</f>
        <v>Formato de la Respuesta
Requerir texto</v>
      </c>
      <c r="H3" s="74" t="str">
        <f ca="1">INDIRECT("Z_BP_25_"&amp;IDIOMA)</f>
        <v>Requerir texto</v>
      </c>
      <c r="I3" s="69" t="str">
        <f ca="1">INDIRECT("Z_BP_26_"&amp;IDIOMA)</f>
        <v>Tamaño de la caja de entrada</v>
      </c>
      <c r="J3" s="56" t="str">
        <f ca="1">INDIRECT("Z_BP_27_"&amp;IDIOMA)</f>
        <v>Permitir archivos adjuntos</v>
      </c>
      <c r="K3" s="57" t="str">
        <f ca="1">INDIRECT("Z_BP_28_"&amp;IDIOMA)</f>
        <v>Archivos adjuntos requeridos</v>
      </c>
      <c r="L3" s="58" t="str">
        <f ca="1">INDIRECT("Z_BP_29_"&amp;IDIOMA)</f>
        <v>Plantilla de Respuesta</v>
      </c>
      <c r="M3" s="55" t="str">
        <f ca="1">INDIRECT("Z_BP_30_"&amp;IDIOMA)</f>
        <v>Información para el evaluador</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ht="23.35" x14ac:dyDescent="0.5">
      <c r="A5" s="175"/>
      <c r="B5" s="176"/>
      <c r="C5" s="152"/>
      <c r="D5" s="152"/>
      <c r="E5" s="119" t="s">
        <v>957</v>
      </c>
      <c r="F5" s="151" t="s">
        <v>958</v>
      </c>
      <c r="G5" s="128" t="s">
        <v>959</v>
      </c>
      <c r="H5" s="25"/>
      <c r="I5" s="14">
        <v>5</v>
      </c>
      <c r="J5" s="129" t="s">
        <v>960</v>
      </c>
      <c r="K5" s="130"/>
      <c r="L5" s="131" t="s">
        <v>961</v>
      </c>
      <c r="M5" s="128" t="s">
        <v>962</v>
      </c>
      <c r="N5" s="157"/>
      <c r="O5" s="158"/>
      <c r="P5" s="158"/>
      <c r="Q5" s="157"/>
      <c r="R5" s="157"/>
      <c r="S5" s="158"/>
      <c r="T5" s="158"/>
      <c r="U5" s="157"/>
      <c r="V5" s="157"/>
      <c r="W5" s="158"/>
      <c r="X5" s="158"/>
      <c r="Y5" s="157"/>
      <c r="Z5" s="157"/>
      <c r="AA5" s="158"/>
      <c r="AB5" s="158"/>
      <c r="AC5" s="157"/>
      <c r="AD5" s="157"/>
      <c r="AE5" s="159"/>
      <c r="AF5" s="160"/>
      <c r="AG5" s="161"/>
      <c r="AH5" s="162"/>
      <c r="AI5" s="86"/>
    </row>
    <row r="6" spans="1:35" ht="23.35" x14ac:dyDescent="0.5">
      <c r="A6" s="175"/>
      <c r="B6" s="176"/>
      <c r="C6" s="152"/>
      <c r="D6" s="152"/>
      <c r="E6" s="119" t="s">
        <v>963</v>
      </c>
      <c r="F6" s="151" t="s">
        <v>964</v>
      </c>
      <c r="G6" s="128" t="s">
        <v>959</v>
      </c>
      <c r="H6" s="25" t="s">
        <v>965</v>
      </c>
      <c r="I6" s="14">
        <v>5</v>
      </c>
      <c r="J6" s="129">
        <v>3</v>
      </c>
      <c r="K6" s="130" t="s">
        <v>960</v>
      </c>
      <c r="L6" s="131" t="s">
        <v>961</v>
      </c>
      <c r="M6" s="128" t="s">
        <v>962</v>
      </c>
      <c r="N6" s="157"/>
      <c r="O6" s="158"/>
      <c r="P6" s="158"/>
      <c r="Q6" s="157"/>
      <c r="R6" s="157"/>
      <c r="S6" s="158"/>
      <c r="T6" s="158"/>
      <c r="U6" s="157"/>
      <c r="V6" s="157"/>
      <c r="W6" s="158"/>
      <c r="X6" s="158"/>
      <c r="Y6" s="157"/>
      <c r="Z6" s="157"/>
      <c r="AA6" s="158"/>
      <c r="AB6" s="158"/>
      <c r="AC6" s="157"/>
      <c r="AD6" s="157"/>
      <c r="AE6" s="159"/>
      <c r="AF6" s="160"/>
      <c r="AG6" s="161"/>
      <c r="AH6" s="162"/>
      <c r="AI6" s="86"/>
    </row>
  </sheetData>
  <sheetProtection algorithmName="SHA-512" hashValue="BrsqAkMZfpaXGnm+GobHeaZGB1te8QV9HKXY9Uc9Z5FE5aOQ8QuBGkMoxmnXog/OBv2fsLEZb2WmG+SFAeI3uw==" saltValue="EHduCJuJzUnEVv5MZa7WIw==" spinCount="100000" sheet="1" objects="1" scenarios="1" selectLockedCells="1" autoFilter="0"/>
  <conditionalFormatting sqref="G5:K6">
    <cfRule type="cellIs" dxfId="119" priority="3" operator="equal">
      <formula>""</formula>
    </cfRule>
    <cfRule type="cellIs" dxfId="118"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5"/>
    </sheetView>
  </sheetViews>
  <sheetFormatPr baseColWidth="10"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RC                         PP                         EN                         CL                                 DICCIONARIO</v>
      </c>
      <c r="G2" s="34">
        <f>COUNTA(Tabla_CL[Enunciado])</f>
        <v>1</v>
      </c>
    </row>
    <row r="3" spans="1:35" ht="50.1" customHeight="1" x14ac:dyDescent="0.5">
      <c r="A3" s="276"/>
      <c r="B3" s="276"/>
      <c r="C3" s="18"/>
      <c r="D3" s="18"/>
      <c r="E3" s="22" t="str">
        <f ca="1">'Datos OM'!E3</f>
        <v>Descripción</v>
      </c>
      <c r="F3" s="36" t="str">
        <f ca="1">"FastTest PlugIn - V"&amp;MID(Version,5,7)&amp;UPPER(INICIO!Q24)&amp;"
"&amp;INDIRECT("Z_BP_03_"&amp;IDIOMA)</f>
        <v>FastTest PlugIn - V7.8  - CLOZE
Enunciado de la pregunta</v>
      </c>
      <c r="G3" s="133" t="str">
        <f ca="1">INDIRECT("Z_BP_32_"&amp;IDIOMA)</f>
        <v>Ancho RC</v>
      </c>
      <c r="H3" s="74"/>
      <c r="I3" s="69" t="str">
        <f ca="1">MID(G3,1,SEARCH(" ",G3,1))&amp;AI3</f>
        <v>Ancho Imagen</v>
      </c>
      <c r="J3" s="56"/>
      <c r="K3" s="57"/>
      <c r="L3" s="58"/>
      <c r="M3" s="55"/>
      <c r="N3" s="121"/>
      <c r="O3" s="120"/>
      <c r="P3" s="120"/>
      <c r="Q3" s="121"/>
      <c r="R3" s="121"/>
      <c r="S3" s="120"/>
      <c r="T3" s="120"/>
      <c r="U3" s="121"/>
      <c r="V3" s="121"/>
      <c r="W3" s="120"/>
      <c r="X3" s="120"/>
      <c r="Y3" s="121"/>
      <c r="Z3" s="121"/>
      <c r="AA3" s="120"/>
      <c r="AB3" s="120"/>
      <c r="AC3" s="121"/>
      <c r="AD3" s="121"/>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ht="93.35" x14ac:dyDescent="0.5">
      <c r="A5" s="175"/>
      <c r="B5" s="176"/>
      <c r="C5" s="152"/>
      <c r="D5" s="152"/>
      <c r="E5" s="77" t="s">
        <v>966</v>
      </c>
      <c r="F5" s="151" t="s">
        <v>967</v>
      </c>
      <c r="G5" s="163">
        <v>10</v>
      </c>
      <c r="H5" s="25"/>
      <c r="I5" s="14"/>
      <c r="J5" s="129"/>
      <c r="K5" s="130"/>
      <c r="L5" s="131"/>
      <c r="M5" s="128"/>
      <c r="N5" s="157"/>
      <c r="O5" s="158"/>
      <c r="P5" s="158"/>
      <c r="Q5" s="157"/>
      <c r="R5" s="157"/>
      <c r="S5" s="158"/>
      <c r="T5" s="158"/>
      <c r="U5" s="157"/>
      <c r="V5" s="157"/>
      <c r="W5" s="158"/>
      <c r="X5" s="158"/>
      <c r="Y5" s="157"/>
      <c r="Z5" s="157"/>
      <c r="AA5" s="158"/>
      <c r="AB5" s="158"/>
      <c r="AC5" s="157"/>
      <c r="AD5" s="157"/>
      <c r="AE5" s="164"/>
      <c r="AF5" s="165"/>
      <c r="AG5" s="166"/>
      <c r="AH5" s="167"/>
      <c r="AI5" s="86"/>
    </row>
  </sheetData>
  <sheetProtection algorithmName="SHA-512" hashValue="JH1wqX7cIEkNjhkYZWGnZ7NorGdcZxsvZFuyMtsnrJjWQvjaqjxn8GPoLvYxuphEjK+yL0MJTYyUe8o5/C4aOA==" saltValue="MRIVnwU5WVEaEeRWwamVWA=="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Milagros [Alazne] Huerta Gómez de Merodio</cp:lastModifiedBy>
  <cp:lastPrinted>2021-05-08T09:25:40Z</cp:lastPrinted>
  <dcterms:created xsi:type="dcterms:W3CDTF">2021-02-15T22:57:22Z</dcterms:created>
  <dcterms:modified xsi:type="dcterms:W3CDTF">2023-04-02T20:54:31Z</dcterms:modified>
  <cp:category>DOCENCIA</cp:category>
</cp:coreProperties>
</file>