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updateLinks="never" codeName="ThisWorkbook"/>
  <mc:AlternateContent xmlns:mc="http://schemas.openxmlformats.org/markup-compatibility/2006">
    <mc:Choice Requires="x15">
      <x15ac:absPath xmlns:x15ac="http://schemas.microsoft.com/office/spreadsheetml/2010/11/ac" url="C:\Users\milag\Desktop\FTP_81\0.EJEMPLOS_EXAMPLES\"/>
    </mc:Choice>
  </mc:AlternateContent>
  <xr:revisionPtr revIDLastSave="0" documentId="13_ncr:1_{B44935B7-5ADB-466E-9F99-F9D48E8DE430}" xr6:coauthVersionLast="47" xr6:coauthVersionMax="47" xr10:uidLastSave="{00000000-0000-0000-0000-000000000000}"/>
  <bookViews>
    <workbookView showHorizontalScroll="0" showVerticalScroll="0" showSheetTabs="0" xWindow="-93" yWindow="-93" windowWidth="19386" windowHeight="1298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6" i="19"/>
  <c r="A6" i="18"/>
  <c r="A7" i="18"/>
  <c r="A6" i="16"/>
  <c r="B6" i="16" s="1"/>
  <c r="A6" i="15"/>
  <c r="B6" i="15" s="1"/>
  <c r="A7" i="15"/>
  <c r="B7" i="15" s="1"/>
  <c r="B67" i="8"/>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G3" i="15"/>
  <c r="AI2" i="8" l="1"/>
  <c r="E2" i="8"/>
  <c r="E67" i="8" s="1"/>
  <c r="AI3" i="22"/>
  <c r="AI3" i="21"/>
  <c r="AI3" i="20"/>
  <c r="AI3" i="19"/>
  <c r="AI3" i="18"/>
  <c r="AI3" i="16"/>
  <c r="AI3" i="17"/>
  <c r="T22" i="8"/>
  <c r="T24" i="8"/>
  <c r="T21" i="8"/>
  <c r="T23" i="8"/>
  <c r="T26" i="8"/>
  <c r="Y3" i="16"/>
  <c r="T25" i="8"/>
  <c r="T19" i="8"/>
  <c r="T20" i="8"/>
  <c r="T27" i="8"/>
  <c r="T28" i="8"/>
  <c r="T29" i="8"/>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T9" i="8"/>
  <c r="E3" i="15"/>
  <c r="U28" i="8"/>
  <c r="D1" i="8"/>
  <c r="T11" i="8"/>
  <c r="T4" i="8"/>
  <c r="F2" i="15"/>
  <c r="T7" i="8"/>
  <c r="U26" i="8"/>
  <c r="U23" i="8"/>
  <c r="T17" i="8"/>
  <c r="U21" i="8"/>
  <c r="T15" i="8"/>
  <c r="U25" i="8"/>
  <c r="T12" i="8"/>
  <c r="U27" i="8"/>
  <c r="T14" i="8"/>
  <c r="T10" i="8"/>
  <c r="U19" i="8"/>
  <c r="T16" i="8"/>
  <c r="T5" i="8"/>
  <c r="U22" i="8"/>
  <c r="T6" i="8"/>
  <c r="T3" i="8"/>
  <c r="F1" i="15"/>
  <c r="U24" i="8"/>
  <c r="U20" i="8"/>
  <c r="T13" i="8"/>
  <c r="T8" i="8"/>
  <c r="U29" i="8"/>
  <c r="T18" i="8"/>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O24" i="6"/>
  <c r="Q3" i="19"/>
  <c r="Q26" i="6"/>
  <c r="D11" i="6"/>
  <c r="AA3" i="19"/>
  <c r="U9" i="8"/>
  <c r="L3" i="21"/>
  <c r="I3" i="21"/>
  <c r="N3" i="20"/>
  <c r="E3" i="17"/>
  <c r="W3" i="19"/>
  <c r="U15" i="8"/>
  <c r="J3" i="21"/>
  <c r="K26" i="6"/>
  <c r="AC3" i="19"/>
  <c r="G26" i="6"/>
  <c r="H3" i="16"/>
  <c r="U8" i="8"/>
  <c r="O23" i="6"/>
  <c r="G1" i="18"/>
  <c r="I3" i="19"/>
  <c r="R3" i="15"/>
  <c r="I23" i="6"/>
  <c r="W3" i="16"/>
  <c r="W3" i="15"/>
  <c r="Z3" i="20"/>
  <c r="AD3" i="20"/>
  <c r="M3" i="21"/>
  <c r="P3" i="20"/>
  <c r="M23" i="6"/>
  <c r="L3" i="20"/>
  <c r="C23" i="6"/>
  <c r="C24" i="6"/>
  <c r="C9" i="6"/>
  <c r="J3" i="16"/>
  <c r="M26" i="6"/>
  <c r="G1" i="15"/>
  <c r="A3" i="20"/>
  <c r="U14" i="8"/>
  <c r="AF3" i="15"/>
  <c r="V3" i="16"/>
  <c r="U6" i="8"/>
  <c r="J3" i="15"/>
  <c r="D27" i="6"/>
  <c r="G1" i="17"/>
  <c r="G1" i="21"/>
  <c r="O3" i="19"/>
  <c r="U18" i="8"/>
  <c r="AE3" i="15"/>
  <c r="A3" i="15"/>
  <c r="U11" i="8"/>
  <c r="U4" i="8"/>
  <c r="X3" i="16"/>
  <c r="I26" i="6"/>
  <c r="AD3" i="19"/>
  <c r="P3" i="16"/>
  <c r="G3" i="22"/>
  <c r="U3" i="15"/>
  <c r="E24" i="6"/>
  <c r="B3" i="16"/>
  <c r="AF3" i="16"/>
  <c r="AE3" i="16"/>
  <c r="U3" i="16"/>
  <c r="AH3" i="16"/>
  <c r="H3" i="20"/>
  <c r="I7" i="6"/>
  <c r="U3" i="19"/>
  <c r="L3" i="16"/>
  <c r="G1" i="19"/>
  <c r="L3" i="15"/>
  <c r="S3" i="15"/>
  <c r="T3" i="20"/>
  <c r="G23" i="6"/>
  <c r="I3" i="16"/>
  <c r="E23" i="6"/>
  <c r="U13" i="8"/>
  <c r="M3" i="16"/>
  <c r="G1" i="16"/>
  <c r="Q3" i="16"/>
  <c r="M24" i="6"/>
  <c r="T3" i="19"/>
  <c r="L3" i="19"/>
  <c r="Q3" i="15"/>
  <c r="N3" i="15"/>
  <c r="T3" i="16"/>
  <c r="Q23" i="6"/>
  <c r="N3" i="16"/>
  <c r="R3" i="19"/>
  <c r="H3" i="21"/>
  <c r="X3" i="15"/>
  <c r="K3" i="21"/>
  <c r="T3" i="15"/>
  <c r="G3" i="6"/>
  <c r="C26" i="6"/>
  <c r="U17" i="8"/>
  <c r="AB3" i="20"/>
  <c r="K23" i="6"/>
  <c r="K3" i="15"/>
  <c r="V3" i="20"/>
  <c r="B3" i="15"/>
  <c r="K24" i="6"/>
  <c r="A3" i="18"/>
  <c r="AG3" i="16"/>
  <c r="H3" i="19"/>
  <c r="I24" i="6"/>
  <c r="G1" i="20"/>
  <c r="K3" i="19"/>
  <c r="Z3" i="19"/>
  <c r="I3" i="15"/>
  <c r="D3" i="19"/>
  <c r="H3" i="15"/>
  <c r="S3" i="16"/>
  <c r="O3" i="15"/>
  <c r="U10" i="8"/>
  <c r="U16" i="8"/>
  <c r="E26" i="6"/>
  <c r="P3" i="15"/>
  <c r="E3" i="16"/>
  <c r="R3" i="20"/>
  <c r="N3" i="19"/>
  <c r="R3" i="16"/>
  <c r="K3" i="16"/>
  <c r="G24" i="6"/>
  <c r="V3" i="15"/>
  <c r="A3" i="19"/>
  <c r="Q24" i="6"/>
  <c r="G1" i="22"/>
  <c r="O3" i="16"/>
  <c r="M3" i="15"/>
  <c r="O26" i="6"/>
  <c r="AG3" i="15"/>
  <c r="A3" i="16"/>
  <c r="U12" i="8"/>
  <c r="G3" i="16"/>
  <c r="AH3" i="15"/>
  <c r="J3" i="20"/>
  <c r="U3" i="8"/>
  <c r="X3" i="19"/>
  <c r="U5" i="8"/>
  <c r="P6" i="6"/>
  <c r="X3" i="20"/>
  <c r="U7" i="8"/>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F3" i="17"/>
  <c r="AC3" i="20"/>
  <c r="Y3" i="20"/>
  <c r="F3" i="16"/>
  <c r="F3" i="22"/>
  <c r="F3" i="18"/>
  <c r="AA3" i="20"/>
  <c r="G3" i="21"/>
  <c r="F3" i="19"/>
  <c r="Q3" i="20"/>
  <c r="O3" i="20"/>
  <c r="F3" i="21"/>
  <c r="G3" i="20"/>
  <c r="U3" i="20"/>
  <c r="M3" i="20"/>
  <c r="K3" i="20"/>
  <c r="S3" i="20"/>
  <c r="I3" i="20"/>
  <c r="F3" i="20"/>
  <c r="F3" i="15"/>
  <c r="W3" i="20"/>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<sst xmlns="http://schemas.openxmlformats.org/spreadsheetml/2006/main" count="1404" uniqueCount="976">
  <si>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</si>
  <si>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</si>
  <si>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</si>
  <si>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</si>
  <si>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</si>
  <si>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</si>
  <si>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</si>
  <si>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</si>
  <si>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</si>
  <si>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</si>
  <si>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</si>
  <si>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</si>
  <si>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</si>
  <si>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</si>
  <si>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</si>
  <si>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</si>
  <si>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</si>
  <si>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</si>
  <si>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</si>
  <si>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</si>
  <si>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</si>
  <si>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</si>
  <si>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</si>
  <si>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</si>
  <si>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</si>
  <si>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</si>
  <si>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</si>
  <si>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</si>
  <si>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</si>
  <si>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</si>
  <si>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</si>
  <si>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</si>
  <si>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</si>
  <si>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</si>
  <si>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</si>
  <si>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</si>
  <si>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</si>
  <si>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</si>
  <si>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</si>
  <si>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</si>
  <si>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</si>
  <si>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</si>
  <si>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</si>
  <si>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</si>
  <si>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</si>
  <si>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</si>
  <si>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</si>
  <si>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</si>
  <si>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</si>
  <si>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</si>
  <si>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</si>
  <si>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</si>
  <si>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</si>
  <si>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</si>
  <si>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</si>
  <si>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</si>
  <si>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</si>
  <si>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</si>
  <si>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</si>
  <si>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</si>
  <si>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</si>
  <si>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</si>
  <si>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</si>
  <si>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</si>
  <si>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</si>
  <si>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</si>
  <si>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</si>
  <si>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</si>
  <si>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</si>
  <si>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</si>
  <si>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</si>
  <si>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</si>
  <si>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</si>
  <si>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</si>
  <si>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</si>
  <si>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</si>
  <si>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</si>
  <si>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</si>
  <si>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</si>
  <si>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</si>
  <si>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</si>
  <si>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</si>
  <si>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</si>
  <si>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</si>
  <si>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</si>
  <si>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</si>
  <si>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</si>
  <si>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</si>
  <si>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</si>
  <si>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</si>
  <si>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</si>
  <si>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</si>
  <si>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</si>
  <si>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</si>
  <si>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</si>
  <si>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</si>
  <si>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</si>
  <si>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</si>
  <si>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</si>
  <si>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</si>
  <si>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</si>
  <si>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</si>
  <si>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</si>
  <si>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</si>
  <si>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</si>
  <si>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</si>
  <si>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</si>
  <si>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</si>
  <si>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</si>
  <si>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</si>
  <si>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</si>
  <si>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</si>
  <si>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</si>
  <si>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</si>
  <si>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</si>
  <si>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</si>
  <si>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</si>
  <si>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</si>
  <si>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</si>
  <si>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</si>
  <si>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</si>
  <si>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</si>
  <si>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</si>
  <si>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</si>
  <si>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</si>
  <si>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</si>
  <si>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</si>
  <si>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</si>
  <si>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</si>
  <si>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</si>
  <si>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</si>
  <si>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</si>
  <si>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</si>
  <si>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</si>
  <si>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</si>
  <si>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</si>
  <si>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</si>
  <si>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</si>
  <si>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</si>
  <si>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</si>
  <si>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</si>
  <si>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</si>
  <si>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</si>
  <si>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</si>
  <si>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</si>
  <si>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</si>
  <si>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</si>
  <si>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</si>
  <si>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</si>
  <si>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</si>
  <si>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</si>
  <si>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</si>
  <si>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</si>
  <si>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</si>
  <si>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</si>
  <si>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</si>
  <si>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</si>
  <si>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</si>
  <si>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</si>
  <si>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</si>
  <si>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</si>
  <si>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</si>
  <si>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</si>
  <si>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</si>
  <si>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</si>
  <si>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</si>
  <si>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</si>
  <si>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</si>
  <si>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</si>
  <si>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</si>
  <si>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</si>
  <si>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</si>
  <si>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</si>
  <si>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</si>
  <si>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</si>
  <si>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</si>
  <si>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</si>
  <si>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</si>
  <si>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</si>
  <si>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</si>
  <si>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</si>
  <si>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</si>
  <si>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</si>
  <si>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</si>
  <si>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</si>
  <si>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</si>
  <si>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</si>
  <si>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</si>
  <si>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</si>
  <si>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</si>
  <si>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</si>
  <si>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</si>
  <si>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</si>
  <si>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</si>
  <si>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</si>
  <si>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</si>
  <si>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</si>
  <si>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</si>
  <si>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</si>
  <si>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</si>
  <si>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</si>
  <si>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</si>
  <si>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</si>
  <si>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</si>
  <si>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</si>
  <si>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</si>
  <si>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</si>
  <si>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</si>
  <si>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</si>
  <si>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</si>
  <si>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</si>
  <si>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</si>
  <si>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</si>
  <si>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</si>
  <si>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</si>
  <si>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</si>
  <si>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</si>
  <si>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</si>
  <si>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</si>
  <si>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</si>
  <si>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</si>
  <si>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</si>
  <si>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</si>
  <si>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</si>
  <si>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</si>
  <si>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</si>
  <si>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</si>
  <si>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</si>
  <si>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</si>
  <si>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</si>
  <si>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</si>
  <si>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</si>
  <si>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</si>
  <si>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</si>
  <si>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</si>
  <si>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</si>
  <si>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</si>
  <si>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</si>
  <si>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</si>
  <si>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</si>
  <si>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</si>
  <si>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</si>
  <si>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</si>
  <si>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</si>
  <si>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</si>
  <si>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</si>
  <si>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</si>
  <si>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</si>
  <si>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</si>
  <si>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</si>
  <si>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</si>
  <si>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</si>
  <si>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</si>
  <si>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</si>
  <si>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</si>
  <si>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</si>
  <si>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</si>
  <si>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</si>
  <si>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</si>
  <si>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</si>
  <si>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</si>
  <si>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</si>
  <si>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</si>
  <si>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</si>
  <si>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</si>
  <si>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</si>
  <si>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</si>
  <si>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</si>
  <si>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</si>
  <si>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</si>
  <si>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</si>
  <si>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</si>
  <si>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</si>
  <si>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</si>
  <si>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</si>
  <si>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</si>
  <si>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</si>
  <si>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</si>
  <si>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</si>
  <si>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</si>
  <si>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</si>
  <si>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</si>
  <si>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</si>
  <si>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</si>
  <si>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</si>
  <si>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</si>
  <si>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</si>
  <si>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</si>
  <si>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</si>
  <si>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</si>
  <si>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</si>
  <si>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</si>
  <si>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</si>
  <si>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</si>
  <si>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</si>
  <si>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</si>
  <si>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</si>
  <si>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</si>
  <si>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</si>
  <si>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</si>
  <si>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</si>
  <si>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</si>
  <si>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</si>
  <si>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</si>
  <si>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</si>
  <si>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</si>
  <si>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</si>
  <si>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</si>
  <si>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</si>
  <si>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</si>
  <si>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</si>
  <si>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</si>
  <si>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</si>
  <si>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</si>
  <si>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</si>
  <si>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</si>
  <si>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</si>
  <si>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</si>
  <si>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</si>
  <si>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</si>
  <si>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</si>
  <si>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</si>
  <si>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</si>
  <si>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</si>
  <si>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</si>
  <si>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</si>
  <si>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</si>
  <si>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</si>
  <si>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</si>
  <si>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</si>
  <si>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</si>
  <si>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</si>
  <si>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</si>
  <si>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</si>
  <si>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</si>
  <si>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</si>
  <si>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</si>
  <si>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</si>
  <si>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</si>
  <si>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</si>
  <si>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</si>
  <si>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</si>
  <si>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</si>
  <si>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</si>
  <si>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</si>
  <si>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</si>
  <si>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</si>
  <si>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</si>
  <si>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</si>
  <si>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</si>
  <si>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</si>
  <si>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</si>
  <si>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</si>
  <si>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</si>
  <si>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</si>
  <si>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</si>
  <si>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</si>
  <si>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</si>
  <si>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</si>
  <si>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</si>
  <si>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</si>
  <si>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</si>
  <si>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</si>
  <si>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</si>
  <si>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</si>
  <si>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</si>
  <si>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</si>
  <si>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</si>
  <si>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</si>
  <si>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</si>
  <si>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</si>
  <si>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</si>
  <si>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</si>
  <si>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</si>
  <si>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</si>
  <si>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</si>
  <si>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</si>
  <si>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</si>
  <si>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</si>
  <si>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</si>
  <si>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</si>
  <si>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</si>
  <si>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</si>
  <si>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</si>
  <si>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</si>
  <si>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</si>
  <si>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</si>
  <si>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</si>
  <si>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</si>
  <si>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</si>
  <si>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</si>
  <si>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</si>
  <si>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</si>
  <si>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</si>
  <si>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</si>
  <si>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</si>
  <si>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</si>
  <si>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</si>
  <si>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</si>
  <si>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</si>
  <si>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</si>
  <si>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</si>
  <si>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</si>
  <si>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</si>
  <si>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</si>
  <si>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</si>
  <si>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</si>
  <si>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</si>
  <si>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</si>
  <si>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</si>
  <si>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</si>
  <si>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</si>
  <si>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</si>
  <si>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</si>
  <si>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</si>
  <si>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</si>
  <si>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</si>
  <si>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</si>
  <si>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</si>
  <si>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</si>
  <si>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</si>
  <si>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</si>
  <si>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</si>
  <si>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</si>
  <si>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</si>
  <si>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</si>
  <si>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</si>
  <si>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</si>
  <si>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</si>
  <si>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</si>
  <si>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</si>
  <si>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</si>
  <si>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</si>
  <si>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</si>
  <si>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</si>
  <si>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</si>
  <si>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</si>
  <si>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</si>
  <si>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</si>
  <si>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</si>
  <si>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</si>
  <si>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</si>
  <si>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</si>
  <si>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</si>
  <si>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</si>
  <si>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</si>
  <si>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</si>
  <si>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</si>
  <si>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</si>
  <si>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</si>
  <si>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</si>
  <si>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</si>
  <si>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</si>
  <si>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</si>
  <si>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</si>
  <si>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</si>
  <si>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</si>
  <si>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</si>
  <si>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</si>
  <si>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</si>
  <si>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</si>
  <si>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</si>
  <si>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</si>
  <si>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</si>
  <si>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</si>
  <si>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</si>
  <si>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</si>
  <si>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</si>
  <si>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</si>
  <si>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</si>
  <si>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</si>
  <si>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</si>
  <si>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</si>
  <si>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</si>
  <si>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</si>
  <si>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</si>
  <si>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</si>
  <si>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</si>
  <si>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</si>
  <si>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</si>
  <si>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</si>
  <si>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</si>
  <si>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</si>
  <si>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</si>
  <si>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</si>
  <si>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</si>
  <si>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</si>
  <si>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</si>
  <si>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</si>
  <si>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</si>
  <si>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</si>
  <si>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</si>
  <si>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</si>
  <si>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</si>
  <si>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</si>
  <si>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</si>
  <si>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</si>
  <si>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</si>
  <si>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</si>
  <si>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</si>
  <si>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</si>
  <si>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</si>
  <si>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</si>
  <si>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</si>
  <si>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</si>
  <si>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</si>
  <si>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</si>
  <si>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</si>
  <si>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</si>
  <si>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</si>
  <si>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</si>
  <si>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</si>
  <si>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</si>
  <si>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</si>
  <si>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</si>
  <si>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</si>
  <si>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</si>
  <si>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</si>
  <si>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</si>
  <si>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</si>
  <si>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</si>
  <si>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</si>
  <si>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</si>
  <si>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</si>
  <si>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</si>
  <si>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</si>
  <si>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</si>
  <si>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</si>
  <si>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</si>
  <si>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</si>
  <si>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</si>
  <si>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</si>
  <si>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</si>
  <si>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</si>
  <si>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</si>
  <si>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</si>
  <si>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</si>
  <si>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</si>
  <si>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</si>
  <si>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</si>
  <si>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</si>
  <si>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</si>
  <si>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</si>
  <si>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</si>
  <si>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</si>
  <si>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</si>
  <si>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</si>
  <si>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</si>
  <si>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</si>
  <si>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</si>
  <si>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</si>
  <si>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</si>
  <si>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</si>
  <si>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</si>
  <si>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</si>
  <si>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</si>
  <si>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</si>
  <si>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</si>
  <si>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</si>
  <si>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</si>
  <si>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</si>
  <si>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</si>
  <si>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</si>
  <si>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</si>
  <si>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</si>
  <si>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</si>
  <si>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</si>
  <si>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</si>
  <si>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</si>
  <si>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</si>
  <si>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</si>
  <si>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</si>
  <si>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</si>
  <si>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</si>
  <si>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</si>
  <si>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</si>
  <si>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</si>
  <si>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</si>
  <si>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</si>
  <si>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</si>
  <si>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</si>
  <si>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</si>
  <si>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</si>
  <si>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</si>
  <si>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</si>
  <si>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</si>
  <si>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</si>
  <si>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</si>
  <si>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</si>
  <si>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</si>
  <si>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</si>
  <si>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</si>
  <si>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</si>
  <si>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</si>
  <si>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</si>
  <si>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</si>
  <si>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</si>
  <si>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</si>
  <si>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</si>
  <si>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</si>
  <si>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</si>
  <si>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</si>
  <si>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</si>
  <si>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</si>
  <si>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</si>
  <si>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</si>
  <si>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</si>
  <si>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</si>
  <si>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</si>
  <si>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</si>
  <si>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</si>
  <si>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</si>
  <si>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</si>
  <si>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</si>
  <si>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</si>
  <si>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</si>
  <si>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</si>
  <si>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</si>
  <si>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</si>
  <si>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</si>
  <si>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</si>
  <si>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</si>
  <si>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</si>
  <si>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</si>
  <si>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</si>
  <si>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</si>
  <si>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</si>
  <si>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</si>
  <si>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</si>
  <si>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</si>
  <si>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</si>
  <si>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</si>
  <si>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</si>
  <si>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</si>
  <si>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</si>
  <si>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</si>
  <si>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</si>
  <si>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</si>
  <si>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</si>
  <si>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</si>
  <si>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</si>
  <si>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</si>
  <si>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</si>
  <si>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</si>
  <si>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</si>
  <si>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</si>
  <si>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</si>
  <si>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</si>
  <si>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</si>
  <si>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</si>
  <si>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</si>
  <si>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</si>
  <si>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</si>
  <si>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</si>
  <si>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</si>
  <si>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</si>
  <si>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</si>
  <si>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</si>
  <si>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</si>
  <si>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</si>
  <si>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</si>
  <si>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</si>
  <si>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</si>
  <si>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</si>
  <si>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</si>
  <si>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</si>
  <si>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</si>
  <si>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</si>
  <si>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</si>
  <si>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</si>
  <si>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</si>
  <si>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</si>
  <si>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</si>
  <si>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</si>
  <si>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</si>
  <si>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</si>
  <si>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</si>
  <si>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</si>
  <si>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</si>
  <si>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</si>
  <si>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</si>
  <si>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</si>
  <si>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</si>
  <si>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</si>
  <si>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</si>
  <si>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</si>
  <si>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</si>
  <si>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</si>
  <si>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</si>
  <si>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</si>
  <si>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</si>
  <si>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</si>
  <si>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</si>
  <si>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</si>
  <si>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</si>
  <si>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</si>
  <si>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</si>
  <si>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</si>
  <si>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</si>
  <si>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</si>
  <si>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</si>
  <si>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</si>
  <si>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</si>
  <si>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</si>
  <si>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</si>
  <si>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</si>
  <si>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</si>
  <si>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</si>
  <si>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</si>
  <si>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</si>
  <si>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</si>
  <si>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</si>
  <si>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</si>
  <si>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</si>
  <si>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</si>
  <si>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</si>
  <si>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</si>
  <si>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</si>
  <si>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</si>
  <si>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</si>
  <si>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</si>
  <si>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</si>
  <si>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</si>
  <si>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</si>
  <si>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</si>
  <si>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</si>
  <si>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</si>
  <si>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</si>
  <si>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</si>
  <si>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</si>
  <si>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</si>
  <si>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</si>
  <si>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</si>
  <si>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</si>
  <si>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</si>
  <si>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</si>
  <si>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</si>
  <si>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</si>
  <si>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</si>
  <si>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</si>
  <si>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</si>
  <si>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</si>
  <si>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</si>
  <si>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</si>
  <si>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</si>
  <si>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</si>
  <si>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</si>
  <si>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</si>
  <si>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</si>
  <si>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</si>
  <si>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</si>
  <si>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</si>
  <si>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</si>
  <si>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</si>
  <si>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</si>
  <si>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</si>
  <si>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</si>
  <si>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</si>
  <si>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</si>
  <si>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</si>
  <si>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</si>
  <si>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</si>
  <si>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</si>
  <si>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</si>
  <si>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</si>
  <si>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</si>
  <si>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</si>
  <si>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</si>
  <si>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</si>
  <si>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</si>
  <si>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</si>
  <si>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</si>
  <si>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</si>
  <si>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</si>
  <si>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</si>
  <si>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</si>
  <si>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</si>
  <si>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</si>
  <si>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</si>
  <si>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</si>
  <si>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</si>
  <si>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</si>
  <si>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</si>
  <si>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</si>
  <si>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</si>
  <si>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</si>
  <si>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</si>
  <si>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</si>
  <si>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</si>
  <si>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</si>
  <si>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</si>
  <si>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</si>
  <si>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</si>
  <si>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</si>
  <si>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</si>
  <si>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</si>
  <si>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</si>
  <si>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</si>
  <si>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</si>
  <si>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</si>
  <si>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</si>
  <si>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</si>
  <si>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</si>
  <si>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</si>
  <si>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</si>
  <si>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</si>
  <si>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</si>
  <si>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</si>
  <si>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</si>
  <si>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</si>
  <si>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</si>
  <si>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</si>
  <si>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</si>
  <si>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</si>
  <si>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</si>
  <si>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</si>
  <si>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</si>
  <si>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</si>
  <si>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</si>
  <si>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</si>
  <si>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</si>
  <si>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</si>
  <si>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</si>
  <si>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</si>
  <si>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</si>
  <si>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</si>
  <si>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</si>
  <si>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</si>
  <si>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</si>
  <si>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</si>
  <si>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</si>
  <si>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</si>
  <si>
    <t>Attention to reading</t>
  </si>
  <si>
    <t>What colour is the White horse of Santiago?</t>
  </si>
  <si>
    <t>White</t>
  </si>
  <si>
    <t>Black</t>
  </si>
  <si>
    <t>Brown</t>
  </si>
  <si>
    <t>Gray</t>
  </si>
  <si>
    <t>Beige</t>
  </si>
  <si>
    <t>Very good, I see that you have read the question correctly</t>
  </si>
  <si>
    <t>You must pay attention to what you read 1.</t>
  </si>
  <si>
    <t>You must pay attention to what you read 2.</t>
  </si>
  <si>
    <t>You must pay attention to what you read 3.</t>
  </si>
  <si>
    <t>You must pay attention to what you read 4.</t>
  </si>
  <si>
    <t>You must pay attention to what you read 5.</t>
  </si>
  <si>
    <t>Units</t>
  </si>
  <si>
    <t>In what units is length measured? &lt;/p&gt; Read the question well.</t>
  </si>
  <si>
    <t>m</t>
  </si>
  <si>
    <t>m^{^2^}^</t>
  </si>
  <si>
    <t>m^{^3^}^</t>
  </si>
  <si>
    <t>m^{^4^}^</t>
  </si>
  <si>
    <t>m_{_2_}_</t>
  </si>
  <si>
    <t>m_{_3_}_</t>
  </si>
  <si>
    <t>Math</t>
  </si>
  <si>
    <t>What is the derivative of the following function? \(\frac{\sin(x)}{x-1}\)</t>
  </si>
  <si>
    <t>\(\frac{\cos(x)}{x-1}-\frac{\sin(x)}{(x-1)^2}\)</t>
  </si>
  <si>
    <t>\(\frac{\cos^2(x)}{x-1}\)</t>
  </si>
  <si>
    <t>\(-\frac{\cos^2(x)}{x-1}\)</t>
  </si>
  <si>
    <t>WHITE</t>
  </si>
  <si>
    <t>mm</t>
  </si>
  <si>
    <t>mm^{^2^}^</t>
  </si>
  <si>
    <t>mm^{^3^}^</t>
  </si>
  <si>
    <t>Santiago's WHITE horse is white</t>
  </si>
  <si>
    <t>Very well.</t>
  </si>
  <si>
    <t>You must pay attention to what you read.</t>
  </si>
  <si>
    <t>Read the question better.</t>
  </si>
  <si>
    <t>Hint 1</t>
  </si>
  <si>
    <t>Hint 2</t>
  </si>
  <si>
    <t>Hint 3</t>
  </si>
  <si>
    <t>Hint 4</t>
  </si>
  <si>
    <t>Reading</t>
  </si>
  <si>
    <t>Santiago's BLACK horse is white</t>
  </si>
  <si>
    <t>Alright, I see you read the question</t>
  </si>
  <si>
    <t>Read the question well</t>
  </si>
  <si>
    <t>Basic knowledge</t>
  </si>
  <si>
    <t>Match the names.</t>
  </si>
  <si>
    <t>Desk</t>
  </si>
  <si>
    <t>Chair</t>
  </si>
  <si>
    <t>Board</t>
  </si>
  <si>
    <t>Whiteboard</t>
  </si>
  <si>
    <t>Beach</t>
  </si>
  <si>
    <t>Sand</t>
  </si>
  <si>
    <t>Sun</t>
  </si>
  <si>
    <t>Moon</t>
  </si>
  <si>
    <t>Meal</t>
  </si>
  <si>
    <t>Dinner</t>
  </si>
  <si>
    <t>Kid</t>
  </si>
  <si>
    <t>Girl</t>
  </si>
  <si>
    <t>Board game</t>
  </si>
  <si>
    <t>Parcheesi</t>
  </si>
  <si>
    <t>Car</t>
  </si>
  <si>
    <t>Motorcycle</t>
  </si>
  <si>
    <t>Dog</t>
  </si>
  <si>
    <t>Cat</t>
  </si>
  <si>
    <t>Beak</t>
  </si>
  <si>
    <t>Shovel</t>
  </si>
  <si>
    <t>Husband</t>
  </si>
  <si>
    <t>Woman</t>
  </si>
  <si>
    <t>Eyes</t>
  </si>
  <si>
    <t>Nose</t>
  </si>
  <si>
    <t>Numbers</t>
  </si>
  <si>
    <t>Link the pairs.</t>
  </si>
  <si>
    <t>one</t>
  </si>
  <si>
    <t>two</t>
  </si>
  <si>
    <t>three</t>
  </si>
  <si>
    <t>four</t>
  </si>
  <si>
    <t>five</t>
  </si>
  <si>
    <t>six</t>
  </si>
  <si>
    <t>seven</t>
  </si>
  <si>
    <t>Eight</t>
  </si>
  <si>
    <t>nine</t>
  </si>
  <si>
    <t>ten</t>
  </si>
  <si>
    <t>eleven</t>
  </si>
  <si>
    <t>twelve</t>
  </si>
  <si>
    <t>Figures</t>
  </si>
  <si>
    <t>&lt;img src = "https://dl.dropboxusercontent.com/s/oh1ssro2fay57yo/Alumno_hablando_rapido.gif" width = "" height = "100"&gt;</t>
  </si>
  <si>
    <t>&lt;img src = "https://dl.dropboxusercontent.com/s/2smr0aec6oujybp/Antonio_hablando_izq_rapido.gif" width = "" height = "120"&gt;</t>
  </si>
  <si>
    <t>Guy</t>
  </si>
  <si>
    <t>&lt;img src = "https://dl.dropboxusercontent.com/s/qfxkf5guj4pjibp/Profe_hablando_rapido.gif" width = "" height = "100"&gt;</t>
  </si>
  <si>
    <t>Teacher</t>
  </si>
  <si>
    <t>&lt;img src = "https://dl.dropboxusercontent.com/s/myylbuzhhn0uox7/Alicia_hablando_rapido.gif" width = "" height = "120"&gt;</t>
  </si>
  <si>
    <t/>
  </si>
  <si>
    <t>Rainbow</t>
  </si>
  <si>
    <t>Write a color of the rainbow.&lt;br&gt;Be careful with capital letters.</t>
  </si>
  <si>
    <t>Red</t>
  </si>
  <si>
    <t>Very well</t>
  </si>
  <si>
    <t>Orange</t>
  </si>
  <si>
    <t>Yellow</t>
  </si>
  <si>
    <t>Green</t>
  </si>
  <si>
    <t>Blue</t>
  </si>
  <si>
    <t>Purple</t>
  </si>
  <si>
    <t>H1</t>
  </si>
  <si>
    <t>H2</t>
  </si>
  <si>
    <t>P3</t>
  </si>
  <si>
    <t>P4</t>
  </si>
  <si>
    <t>Countries</t>
  </si>
  <si>
    <t>The capital of Spain.</t>
  </si>
  <si>
    <t>Madrid</t>
  </si>
  <si>
    <t>madrid</t>
  </si>
  <si>
    <t>Be careful with the spelling</t>
  </si>
  <si>
    <t>MADRID</t>
  </si>
  <si>
    <t>Do not write everything in capital letters.</t>
  </si>
  <si>
    <t>Summer</t>
  </si>
  <si>
    <t>On the beach of [[1]] they invited us to pizza, typical food of [[7]]. If we add 2 + 2 we have [[11]].</t>
  </si>
  <si>
    <t>Cadiz</t>
  </si>
  <si>
    <t>Seville</t>
  </si>
  <si>
    <t>Jaen</t>
  </si>
  <si>
    <t>Cordoba</t>
  </si>
  <si>
    <t>Spain</t>
  </si>
  <si>
    <t>Portugal</t>
  </si>
  <si>
    <t>Italy</t>
  </si>
  <si>
    <t>One</t>
  </si>
  <si>
    <t>Two</t>
  </si>
  <si>
    <t>Three</t>
  </si>
  <si>
    <t>Four</t>
  </si>
  <si>
    <t>Five</t>
  </si>
  <si>
    <t>H3</t>
  </si>
  <si>
    <t>Cuarta pista</t>
  </si>
  <si>
    <t>When we traveled to [[5]], we visited the Torre del Oro that is in [[2]], I got confused with the Tower of Pisa that is in [[7]]. &lt;/p&gt;If we add 1 + 2 we have [[10]], but if we multiply them, we have [[9]].</t>
  </si>
  <si>
    <t>Example ESSAY without text</t>
  </si>
  <si>
    <t>This is the first example of ESSAY</t>
  </si>
  <si>
    <t>No text</t>
  </si>
  <si>
    <t>Unlimited</t>
  </si>
  <si>
    <t>This is the template for the student to answer.</t>
  </si>
  <si>
    <t>This is the information for the evaluator.</t>
  </si>
  <si>
    <t>Example ESSAY with HTML Editor</t>
  </si>
  <si>
    <t>Write what you know about the topic we are looking at.</t>
  </si>
  <si>
    <t>HTML Editor</t>
  </si>
  <si>
    <t>Require the student to introduce text</t>
  </si>
  <si>
    <t>Attachments are optional</t>
  </si>
  <si>
    <t>Some questions</t>
  </si>
  <si>
    <t>1. Horse of Santiago = &amp;gt; {1:SHORTANSWER:%100%White#Very good~%0%Black#You should read well~%0%Brown#You should read well}&lt;br/&gt;
2. Horse of Santiago = &amp;gt; {1:MULTICHOICE:=White#Very good~%-50%Black#You should read well~%-50%Brown#You should read well}&lt;br/&gt;
3. Mark the Colors: &lt;br/&gt;{1:MCHS:=White#Very good~=Chair#Very good~%-50%Table~%-50%Floor}&lt;br/&gt; 
4. Mark the Colors: &lt;br/&gt;{1:MRHS:=White#Very good~=Black#Very good~%-50%Table~%-50%Chair}&lt;br/&gt;
5. Mark the Colors: &lt;br/&gt;{1:MRS:=White#Very good~=Orange#Correct~=Blue~%-50%Table~%-50%Chair#Not a color~%-50%Pen}</t>
  </si>
  <si>
    <t>Images and Formulas</t>
  </si>
  <si>
    <t>Select the correct formula: [[[{1:MCVS:~%100%\(\frac{\cos^2(x)\}{x-1\}\)#OK~%0%\(-\frac{\cos^2(x)\}{x-1\}\)#~%0%\(\frac{\cos(x)\}{x-1\}-\frac{\sin(x)\}{(x-1)^2\}\)#}]]]&lt;br&gt;
Select the correct Image: [[[{1:MCVS:~%100%&lt;img src = "https://dl.dropboxusercontent.com/s/oh1ssro2fay57yo/Alumno_hablando_rapido.gif" width = "" height = "100"&gt;#OK~%0%&lt;img src = "https://dl.dropboxusercontent.com/s/2smr0aec6oujybp/Antonio_hablando_izq_rapido.gif" width = "" height = "120"&gt;#NO~%0%&lt;img src = "https://dl.dropboxusercontent.com/s/qfxkf5guj4pjibp/Profe_hablando_rapido.gif" width = "" height = "100"&gt;#NO}]]]</t>
  </si>
  <si>
    <t>Formulas</t>
  </si>
  <si>
    <t>Select the correct formula: &lt;br&gt;
{1:MCHS:~%100%\(\frac{\cos^2(x)\}{x-1\}\)#~%0%\(-\frac{\cos^2(x)\}{x-1\}\)#}&lt;br&gt;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</si>
</sst>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77">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4" fillId="2" borderId="0" xfId="0" applyFont="1" applyFill="1"/>
    <xf numFmtId="0" fontId="0" fillId="17" borderId="0" xfId="0" applyFill="1" applyAlignment="1">
      <alignment horizontal="center"/>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5"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6"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8"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8" fillId="2" borderId="0" xfId="0" applyFont="1" applyFill="1" applyAlignment="1">
      <alignment horizontal="center" vertical="center" textRotation="90"/>
    </xf>
  </cellXfs>
  <cellStyles count="2">
    <cellStyle name="Hyperlink" xfId="1" builtinId="8"/>
    <cellStyle name="Normal" xfId="0" builtinId="0"/>
  </cellStyles>
  <dxfs count="34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F5"/><Relationship Id="rId13" Type="http://schemas.openxmlformats.org/officeDocument/2006/relationships/hyperlink" Target="https://www.youtube.com/channel/UCTkOmf2IiTvxn1ch9hYjYQQ" TargetMode="External"/><Relationship Id="rId3" Type="http://schemas.openxmlformats.org/officeDocument/2006/relationships/hyperlink" Target="#DICCIONARIO!D3"/><Relationship Id="rId7" Type="http://schemas.openxmlformats.org/officeDocument/2006/relationships/hyperlink" Target="#'Datos VF'!F5"/><Relationship Id="rId12" Type="http://schemas.openxmlformats.org/officeDocument/2006/relationships/hyperlink" Target="#'Datos CL'!F5"/><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F5"/><Relationship Id="rId11" Type="http://schemas.openxmlformats.org/officeDocument/2006/relationships/hyperlink" Target="#'Datos EN'!F5"/><Relationship Id="rId5" Type="http://schemas.openxmlformats.org/officeDocument/2006/relationships/hyperlink" Target="#'Datos OM'!F5"/><Relationship Id="rId10" Type="http://schemas.openxmlformats.org/officeDocument/2006/relationships/hyperlink" Target="#'Datos PP'!F5"/><Relationship Id="rId4" Type="http://schemas.openxmlformats.org/officeDocument/2006/relationships/hyperlink" Target="#INICIO!A1"/><Relationship Id="rId9" Type="http://schemas.openxmlformats.org/officeDocument/2006/relationships/hyperlink" Target="#'Datos RC'!F5"/><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4.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5.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6.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7.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8.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9.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9C708AEC-2EF6-49D5-ABAE-AFF8A0E8948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FA223F18-D779-AA73-7EB6-5EE0D7DA1166}"/>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5" name="FTP-MOODLE">
            <a:extLst>
              <a:ext uri="{FF2B5EF4-FFF2-40B4-BE49-F238E27FC236}">
                <a16:creationId xmlns:a16="http://schemas.microsoft.com/office/drawing/2014/main" id="{9E72D145-13E7-8CB6-C8DA-64149D40BF08}"/>
              </a:ext>
            </a:extLst>
          </xdr:cNvPr>
          <xdr:cNvGrpSpPr/>
        </xdr:nvGrpSpPr>
        <xdr:grpSpPr>
          <a:xfrm>
            <a:off x="5320436" y="0"/>
            <a:ext cx="427979" cy="660514"/>
            <a:chOff x="7590235" y="0"/>
            <a:chExt cx="427979" cy="666705"/>
          </a:xfrm>
        </xdr:grpSpPr>
        <xdr:pic>
          <xdr:nvPicPr>
            <xdr:cNvPr id="27" name="Moodle">
              <a:extLst>
                <a:ext uri="{FF2B5EF4-FFF2-40B4-BE49-F238E27FC236}">
                  <a16:creationId xmlns:a16="http://schemas.microsoft.com/office/drawing/2014/main" id="{EF6DC1EF-E7F9-EFCE-829B-8E1F14C26D8D}"/>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28" name="FTP">
              <a:extLst>
                <a:ext uri="{FF2B5EF4-FFF2-40B4-BE49-F238E27FC236}">
                  <a16:creationId xmlns:a16="http://schemas.microsoft.com/office/drawing/2014/main" id="{4017BF2B-2DD2-163C-AD72-2C081F7097C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6" name="DICCIONARIO">
            <a:hlinkClick xmlns:r="http://schemas.openxmlformats.org/officeDocument/2006/relationships" r:id="rId5" tooltip="DICTIONARY"/>
            <a:extLst>
              <a:ext uri="{FF2B5EF4-FFF2-40B4-BE49-F238E27FC236}">
                <a16:creationId xmlns:a16="http://schemas.microsoft.com/office/drawing/2014/main" id="{10C92BD7-DB40-0380-945B-39426A40739A}"/>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17" name="INICIO">
            <a:hlinkClick xmlns:r="http://schemas.openxmlformats.org/officeDocument/2006/relationships" r:id="rId6" tooltip="INICIO / HOME"/>
            <a:extLst>
              <a:ext uri="{FF2B5EF4-FFF2-40B4-BE49-F238E27FC236}">
                <a16:creationId xmlns:a16="http://schemas.microsoft.com/office/drawing/2014/main" id="{1A857109-0B9E-2191-564A-3C962CD832B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TIPO PREGUNTAS">
            <a:extLst>
              <a:ext uri="{FF2B5EF4-FFF2-40B4-BE49-F238E27FC236}">
                <a16:creationId xmlns:a16="http://schemas.microsoft.com/office/drawing/2014/main" id="{642AC39B-C5D6-171A-0043-ADBCB9B019BA}"/>
              </a:ext>
            </a:extLst>
          </xdr:cNvPr>
          <xdr:cNvGrpSpPr/>
        </xdr:nvGrpSpPr>
        <xdr:grpSpPr>
          <a:xfrm>
            <a:off x="1724476" y="15241"/>
            <a:ext cx="3589860" cy="610800"/>
            <a:chOff x="1724476" y="15241"/>
            <a:chExt cx="3589860" cy="610800"/>
          </a:xfrm>
        </xdr:grpSpPr>
        <xdr:sp macro="[0]!IR_OM" textlink="">
          <xdr:nvSpPr>
            <xdr:cNvPr id="19" name="OM">
              <a:hlinkClick xmlns:r="http://schemas.openxmlformats.org/officeDocument/2006/relationships" r:id="rId7" tooltip="OM 1R"/>
              <a:extLst>
                <a:ext uri="{FF2B5EF4-FFF2-40B4-BE49-F238E27FC236}">
                  <a16:creationId xmlns:a16="http://schemas.microsoft.com/office/drawing/2014/main" id="{0EEE3E61-73B5-6BC4-2438-7099EF2AE98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0" name="O2">
              <a:hlinkClick xmlns:r="http://schemas.openxmlformats.org/officeDocument/2006/relationships" r:id="rId8" tooltip="OM +R"/>
              <a:extLst>
                <a:ext uri="{FF2B5EF4-FFF2-40B4-BE49-F238E27FC236}">
                  <a16:creationId xmlns:a16="http://schemas.microsoft.com/office/drawing/2014/main" id="{7AD22B59-9E3C-B366-5E0C-F94B239C3FFF}"/>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1" name="VF">
              <a:hlinkClick xmlns:r="http://schemas.openxmlformats.org/officeDocument/2006/relationships" r:id="rId9" tooltip="VF"/>
              <a:extLst>
                <a:ext uri="{FF2B5EF4-FFF2-40B4-BE49-F238E27FC236}">
                  <a16:creationId xmlns:a16="http://schemas.microsoft.com/office/drawing/2014/main" id="{85615DE5-EB16-75BE-B929-B0B2FA515EB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2" name="EM">
              <a:hlinkClick xmlns:r="http://schemas.openxmlformats.org/officeDocument/2006/relationships" r:id="rId10" tooltip="EM"/>
              <a:extLst>
                <a:ext uri="{FF2B5EF4-FFF2-40B4-BE49-F238E27FC236}">
                  <a16:creationId xmlns:a16="http://schemas.microsoft.com/office/drawing/2014/main" id="{0784F9D5-40BE-E2E9-9B34-A7E1B7F78B31}"/>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3" name="RC">
              <a:hlinkClick xmlns:r="http://schemas.openxmlformats.org/officeDocument/2006/relationships" r:id="rId11" tooltip="RC"/>
              <a:extLst>
                <a:ext uri="{FF2B5EF4-FFF2-40B4-BE49-F238E27FC236}">
                  <a16:creationId xmlns:a16="http://schemas.microsoft.com/office/drawing/2014/main" id="{D9133426-A9F1-FDBB-D5BC-7A7BAC0C67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4" name="PP">
              <a:hlinkClick xmlns:r="http://schemas.openxmlformats.org/officeDocument/2006/relationships" r:id="rId12" tooltip="PP"/>
              <a:extLst>
                <a:ext uri="{FF2B5EF4-FFF2-40B4-BE49-F238E27FC236}">
                  <a16:creationId xmlns:a16="http://schemas.microsoft.com/office/drawing/2014/main" id="{643E8319-349F-B85E-9419-EE2D21613DC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5" name="EN">
              <a:hlinkClick xmlns:r="http://schemas.openxmlformats.org/officeDocument/2006/relationships" r:id="rId13" tooltip="EN"/>
              <a:extLst>
                <a:ext uri="{FF2B5EF4-FFF2-40B4-BE49-F238E27FC236}">
                  <a16:creationId xmlns:a16="http://schemas.microsoft.com/office/drawing/2014/main" id="{07A8E328-6C17-E157-C926-7499AFCFEC2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6" name="CL">
              <a:hlinkClick xmlns:r="http://schemas.openxmlformats.org/officeDocument/2006/relationships" r:id="rId14" tooltip="CL"/>
              <a:extLst>
                <a:ext uri="{FF2B5EF4-FFF2-40B4-BE49-F238E27FC236}">
                  <a16:creationId xmlns:a16="http://schemas.microsoft.com/office/drawing/2014/main" id="{8ADE066D-01A7-4BB7-F3FA-C312665FF06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196B32A8-B4B3-4DFD-B9F7-01F28198F247}"/>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571571E-FBB0-43EE-2A90-84903B11ED9E}"/>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82A6BA1B-A130-C97F-D53A-0C4E4E995544}"/>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02F1EB7-ECA8-5A0C-058D-7787FCECEA1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A09CFB45-2D71-4150-7A6A-C568F3A4112C}"/>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48A8CB7-AB59-22AC-5FC2-B633940A3F84}"/>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4F014122-8DB7-B7D4-AE0A-F596B295653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CA079406-5CE9-EF74-028D-4B1C8D39297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9724EE2-2D95-D1C9-6B22-1D8793759A52}"/>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B5BCB8BA-EDAB-804E-E27C-E6E9D89E8AC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2270863D-4BEB-277D-FECC-92154931501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F0CD89D-EF3A-C29E-9AFE-A464FAB21ED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B9E48136-161F-88E0-06C4-D635D74FE1D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B89DE7D7-78D1-2D1D-9CCC-4778CCD8CFEC}"/>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E7BAC64B-1682-36CA-3D60-C19283EFAFB2}"/>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06047B66-1D57-5B5D-085D-9C6254A0CFCD}"/>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6E22B5A-B60F-4DD4-BA37-426149675AA0}"/>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71187D1F-24EE-02BD-2BA9-53D48C8A4E37}"/>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710BF1A-63D2-2CDE-6CC0-BBB162FF9793}"/>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8F42221B-71AF-9750-6168-516C1BAB671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C5F87CA7-F370-B075-784F-E59FA3675ED7}"/>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B20148A0-15D8-B5EF-C7E1-6A2F0AE436F3}"/>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3A498867-D6FA-DCE4-DEAE-FA50FD84F37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2499E444-D251-171C-9823-6A14F3BBD75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F08C1F2F-6C3E-27E9-AC95-C5BD06329886}"/>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26A3F4D4-A828-695D-F4B9-7903C7F8AA9A}"/>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8D5030B-B41F-A43E-CFA6-1CF8C951E6A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84D413D-02D5-C737-4746-73144365AE7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96503DEF-24F3-CCD9-C966-70E51EFBEA2F}"/>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47D5DE1-6126-C5DD-C218-56587810E23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8593670D-AB65-C164-D772-75C74EB24CD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2D74C39-0087-AD36-9638-6534B6051303}"/>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D1019C18-24B8-4542-9058-947CA6F4D06F}"/>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D3708BB3-CF88-742B-1D1E-4BC1E9932BF4}"/>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EC339E6B-8657-4D0D-3DD5-CF9E58155560}"/>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55AA1147-D573-E03A-222D-0FC11207961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436D0B59-821E-6C38-77FC-32D666D042C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3F16383-E013-3243-297C-A68393946C99}"/>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E59A2D14-61F7-2C8C-77E1-A3888D07F556}"/>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0F7B6A5F-AD4E-1D8E-B104-BC31878B8BF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B54D8E37-66B4-B026-F8F6-F938235FB93A}"/>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F532E687-ACC4-4E3B-D9AA-AA7A75D3D10B}"/>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41ADAD94-1703-AFAA-EDD5-A783880B491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37C83DAC-ABCF-9009-FB85-B62881BB2D9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495317-DFBF-99AE-7A4E-224DB289389A}"/>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443DB84F-0146-4A35-AFE5-6E2E84C710C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08A04E66-DE2E-F99A-DD8C-D172687E73AC}"/>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F93EEA83-21DE-D548-3D66-21C141A032C7}"/>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A26ABC3B-7975-46AF-AF55-ECCEEF6DDB64}"/>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65855BFA-742D-0C1E-DD75-0CA1EBEA5DC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53B2BBA9-9CC7-0E8D-9254-2048E2C4493C}"/>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E313A4B-FE54-2858-EDF7-80A31159C24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D9836296-EFFD-0819-3D5D-6542912445D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710F608B-B6C4-52AF-93BE-0527590E30C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15C4FEA0-AF99-EE25-8797-36ACD61D608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F23F42C-3646-361D-432E-8B61CD76A45D}"/>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BB3188E-4891-EDAC-5D25-7E22FBF17D9D}"/>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379677A0-74EE-F535-5C29-046089FF9F0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FAA5396B-C692-7E6A-FB8E-A9577FC0149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69D639BA-9EC0-90F7-3B9E-BA9C8019A4E8}"/>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02B1D345-793A-ADD3-29BD-7A7F8AA3E7D5}"/>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8FDB793-ACE3-CBEC-F2C6-9661B928F4A3}"/>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AE3A20AE-1704-9310-5EE3-EC1E507CD75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BD29E0B-0811-988A-4BE2-A7A0801EB9B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A29145A-5A79-4C89-A5DC-0511335D7AB9}"/>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BA6790F-631C-9C29-6F0E-C26812F2709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9E828A7-7F70-3656-4804-F62D26F54695}"/>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0382C5AE-9563-2F64-6CD9-D2917D8248F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F31888F9-A045-7FB8-7F44-9138ACBC2F6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4A97A452-1433-0CC7-85C3-201E2C606E5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D5162182-0D7E-6546-3C0B-E54F681EFFC7}"/>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D91599C1-150A-F0E8-5EC2-49F166009A7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D24B57A-FA08-B46A-6410-707FD6252B1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860E777E-9852-7E96-E0C5-6CDBFC96BC8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4E6A4F6-6D0A-8600-7893-78C96A7FCD6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124576A9-1CBF-DF0F-5085-591174913DD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9227EA-89F7-40AB-7B8C-7DC713A7C6E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2171877E-5F86-67E4-4F88-5F5A25433857}"/>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DBABEB11-7BF6-7D62-929D-3906B7A35E3A}"/>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5801B3CD-3183-71F2-FF62-2B8BD3AA45D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5" name="MENU">
          <a:extLst>
            <a:ext uri="{FF2B5EF4-FFF2-40B4-BE49-F238E27FC236}">
              <a16:creationId xmlns:a16="http://schemas.microsoft.com/office/drawing/2014/main" id="{1E255BB8-F51D-403F-A974-ECF978A33FCC}"/>
            </a:ext>
          </a:extLst>
        </xdr:cNvPr>
        <xdr:cNvGrpSpPr/>
      </xdr:nvGrpSpPr>
      <xdr:grpSpPr>
        <a:xfrm>
          <a:off x="1625600" y="0"/>
          <a:ext cx="5037660" cy="665594"/>
          <a:chOff x="1724476" y="0"/>
          <a:chExt cx="5037660" cy="660514"/>
        </a:xfrm>
      </xdr:grpSpPr>
      <xdr:sp macro="" textlink="">
        <xdr:nvSpPr>
          <xdr:cNvPr id="16" name="FONDO BLANCO">
            <a:extLst>
              <a:ext uri="{FF2B5EF4-FFF2-40B4-BE49-F238E27FC236}">
                <a16:creationId xmlns:a16="http://schemas.microsoft.com/office/drawing/2014/main" id="{8AD908CA-942C-09E1-24AB-B6F8EE73D1D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7" name="FTP-MOODLE">
            <a:extLst>
              <a:ext uri="{FF2B5EF4-FFF2-40B4-BE49-F238E27FC236}">
                <a16:creationId xmlns:a16="http://schemas.microsoft.com/office/drawing/2014/main" id="{2D3EA76F-BCFF-F459-43EA-03765EED9046}"/>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490CECE3-3988-E1A6-051C-0615B834EBB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76EE94A2-ECFF-92F7-07D0-FDF48B30ED21}"/>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8" name="DICCIONARIO">
            <a:hlinkClick xmlns:r="http://schemas.openxmlformats.org/officeDocument/2006/relationships" r:id="rId5" tooltip="DICTIONARY"/>
            <a:extLst>
              <a:ext uri="{FF2B5EF4-FFF2-40B4-BE49-F238E27FC236}">
                <a16:creationId xmlns:a16="http://schemas.microsoft.com/office/drawing/2014/main" id="{F106A641-C3D3-1DD9-01B4-09FB4B6C7752}"/>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6968AC27-51D2-6879-4B59-F9FE3ECAE02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B9EA2E1-0A51-B056-1CA5-BCCA60AE6789}"/>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3447CDF-0A53-305E-6D4E-8043D8818B78}"/>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068B4F22-B0EA-FB87-CD6F-763C131B57D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ED542926-EEC1-E730-B2B8-E7B63E3F5206}"/>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04040878-D364-7D27-85D6-8B52DC1EDA55}"/>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D412B3DA-E6A6-C25C-071A-5B3219055381}"/>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0B177F0-76B9-64B2-E7B3-1F17181AE26F}"/>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49FAD67B-870F-3BEF-7EC9-326C59242C9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69C3AA3A-490E-A98A-9459-324593FEDAF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TP_81\FastTest%20PlugIn.xlsm" TargetMode="External"/><Relationship Id="rId1" Type="http://schemas.openxmlformats.org/officeDocument/2006/relationships/externalLinkPath" Target="/Users/milag/Desktop/FTP_81/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5" dataDxfId="44" tableBorderDxfId="43">
  <autoFilter ref="S2:AF29" xr:uid="{00000000-0009-0000-0100-00000C000000}"/>
  <tableColumns count="14">
    <tableColumn id="1" xr3:uid="{00000000-0010-0000-0900-000001000000}" name="N Sub" totalsRowFunction="custom" dataDxfId="42" totalsRowDxfId="41">
      <calculatedColumnFormula>IF(Tabla_Menu[[#This Row],[Nivel]]=T2,0,COUNTIF(Tabla_Menu[Nivel],Tabla_Menu[[#This Row],[Nivel]]))</calculatedColumnFormula>
      <totalsRowFormula>COUNTIF(Tabla_Menu[N Sub],"&lt;&gt;0")</totalsRowFormula>
    </tableColumn>
    <tableColumn id="2" xr3:uid="{00000000-0010-0000-0900-000002000000}" name="Nivel" dataDxfId="40" totalsRowDxfId="39">
      <calculatedColumnFormula>IFERROR(INDIRECT(Tabla_Menu[[#This Row],[Nivel 1]]&amp;IDIOMA),"")</calculatedColumnFormula>
    </tableColumn>
    <tableColumn id="3" xr3:uid="{00000000-0010-0000-0900-000003000000}" name="Nombre" dataDxfId="38" totalsRowDxfId="37">
      <calculatedColumnFormula>IFERROR(INDIRECT(Tabla_Menu[[#This Row],[Nivel 2]]&amp;IDIOMA)&amp;IF(Tabla_Menu[[#This Row],[Nivel]]="",""," "&amp;Tabla_Menu[[#This Row],['[Teclas']]]),"")</calculatedColumnFormula>
    </tableColumn>
    <tableColumn id="4" xr3:uid="{00000000-0010-0000-0900-000004000000}" name="On Action" dataDxfId="36" totalsRowDxfId="35"/>
    <tableColumn id="5" xr3:uid="{00000000-0010-0000-0900-000005000000}" name="Face Id" dataDxfId="34" totalsRowDxfId="33"/>
    <tableColumn id="6" xr3:uid="{00000000-0010-0000-0900-000006000000}" name="Begin Group" dataDxfId="32" totalsRowDxfId="31"/>
    <tableColumn id="7" xr3:uid="{00000000-0010-0000-0900-000007000000}" name="Nivel 1" dataDxfId="30" totalsRowDxfId="29"/>
    <tableColumn id="8" xr3:uid="{00000000-0010-0000-0900-000008000000}" name="Nivel 2" dataDxfId="28" totalsRowDxfId="27"/>
    <tableColumn id="11" xr3:uid="{00000000-0010-0000-0900-00000B000000}" name="Teclas" dataDxfId="26" totalsRowDxfId="25"/>
    <tableColumn id="15" xr3:uid="{00000000-0010-0000-0900-00000F000000}" name="HOJAS NO MUESTRA" dataDxfId="24" totalsRowDxfId="23"/>
    <tableColumn id="10" xr3:uid="{00000000-0010-0000-0900-00000A000000}" name="N/A" dataDxfId="22" totalsRowDxfId="21">
      <calculatedColumnFormula>IF(OR(Tabla_Menu[[#This Row],[Nivel]]="",IFERROR(SEARCH(MID(CELL("nombrearchivo"),FIND(".xlsm]",CELL("nombrearchivo"),1)+6,100),Tabla_Menu[[#This Row],[HOJAS NO MUESTRA]],1),0)&gt;0),"N/A","")</calculatedColumnFormula>
    </tableColumn>
    <tableColumn id="14" xr3:uid="{00000000-0010-0000-0900-00000E000000}" name="Num N/A" dataDxfId="20" totalsRowDxfId="19">
      <calculatedColumnFormula>IF(Tabla_Menu[[#This Row],[N/A]]="",,COUNTIF(Tabla_Menu[Nivel &amp; Incluir],Tabla_Menu[[#This Row],[Nivel &amp; Incluir]]))</calculatedColumnFormula>
    </tableColumn>
    <tableColumn id="12" xr3:uid="{00000000-0010-0000-0900-00000C000000}" name="Nivel &amp; Incluir" dataDxfId="18" totalsRowDxfId="17">
      <calculatedColumnFormula>Tabla_Menu[[#This Row],[Nivel]]&amp;Tabla_Menu[[#This Row],[N/A]]</calculatedColumnFormula>
    </tableColumn>
    <tableColumn id="9" xr3:uid="{00000000-0010-0000-0900-000009000000}" name="[Teclas]" dataDxfId="16" totalsRowDxfId="15"/>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14" dataDxfId="13" totalsRowDxfId="11" tableBorderDxfId="12">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10" totalsRowDxfId="9">
      <totalsRowFormula>COUNTA(Tabla_Comandos[CommandBars])</totalsRowFormula>
    </tableColumn>
    <tableColumn id="2" xr3:uid="{00000000-0010-0000-0A00-000002000000}" name="Cambio" dataDxfId="8" totalsRowDxfId="7"/>
    <tableColumn id="3" xr3:uid="{00000000-0010-0000-0A00-000003000000}" name="Activa/Des" dataDxfId="6" totalsRowDxfId="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7" totalsRowShown="0" headerRowDxfId="336">
  <autoFilter ref="A4:AI7"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6" totalsRowShown="0" headerRowDxfId="300">
  <autoFilter ref="A4:AI6"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6" totalsRowShown="0" headerRowDxfId="264">
  <autoFilter ref="A4:AI6"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7" totalsRowShown="0" headerRowDxfId="228">
  <autoFilter ref="A4:AI7"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6" totalsRowShown="0" headerRowDxfId="192">
  <autoFilter ref="A4:AI6"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6" totalsRowShown="0" headerRowDxfId="156" dataDxfId="155">
  <autoFilter ref="A4:AI6"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6" totalsRowShown="0" headerRowDxfId="119" dataDxfId="118">
  <autoFilter ref="A4:AI6" xr:uid="{00000000-0009-0000-0100-000007000000}"/>
  <tableColumns count="35">
    <tableColumn id="1" xr3:uid="{00000000-0010-0000-0700-000001000000}" name="C1" dataDxfId="117"/>
    <tableColumn id="2" xr3:uid="{00000000-0010-0000-0700-000002000000}" name="C2" dataDxfId="116"/>
    <tableColumn id="3" xr3:uid="{00000000-0010-0000-0700-000003000000}" name="Columna1" dataDxfId="115"/>
    <tableColumn id="4" xr3:uid="{00000000-0010-0000-0700-000004000000}" name="Columna2" dataDxfId="114"/>
    <tableColumn id="5" xr3:uid="{00000000-0010-0000-0700-000005000000}" name="Descripción" dataDxfId="113"/>
    <tableColumn id="6" xr3:uid="{00000000-0010-0000-0700-000006000000}" name="FastTest PlugIn - ENSAYO_x000a__x000a_Enunciado de la pregunta" dataDxfId="112"/>
    <tableColumn id="7" xr3:uid="{00000000-0010-0000-0700-000007000000}" name="Formato de la Respuesta_x000a_Requerir texto" dataDxfId="111"/>
    <tableColumn id="8" xr3:uid="{00000000-0010-0000-0700-000008000000}" name="Requerir texto" dataDxfId="110"/>
    <tableColumn id="9" xr3:uid="{00000000-0010-0000-0700-000009000000}" name="Tamaño de la caja de entrada" dataDxfId="109"/>
    <tableColumn id="10" xr3:uid="{00000000-0010-0000-0700-00000A000000}" name="Permitir archivos adjuntos" dataDxfId="108"/>
    <tableColumn id="11" xr3:uid="{00000000-0010-0000-0700-00000B000000}" name="Archivos adjuntos requeridos" dataDxfId="107"/>
    <tableColumn id="12" xr3:uid="{00000000-0010-0000-0700-00000C000000}" name="Plantilla de Respuesta" dataDxfId="106"/>
    <tableColumn id="13" xr3:uid="{00000000-0010-0000-0700-00000D000000}" name="Información para el evaluador" dataDxfId="105"/>
    <tableColumn id="14" xr3:uid="{00000000-0010-0000-0700-00000E000000}" name="Columna3" dataDxfId="104"/>
    <tableColumn id="15" xr3:uid="{00000000-0010-0000-0700-00000F000000}" name="Columna4" dataDxfId="103"/>
    <tableColumn id="16" xr3:uid="{00000000-0010-0000-0700-000010000000}" name="Columna5" dataDxfId="102"/>
    <tableColumn id="17" xr3:uid="{00000000-0010-0000-0700-000011000000}" name="Columna6" dataDxfId="101"/>
    <tableColumn id="18" xr3:uid="{00000000-0010-0000-0700-000012000000}" name="Columna7" dataDxfId="100"/>
    <tableColumn id="19" xr3:uid="{00000000-0010-0000-0700-000013000000}" name="Columna8" dataDxfId="99"/>
    <tableColumn id="20" xr3:uid="{00000000-0010-0000-0700-000014000000}" name="Columna9" dataDxfId="98"/>
    <tableColumn id="21" xr3:uid="{00000000-0010-0000-0700-000015000000}" name="Columna10" dataDxfId="97"/>
    <tableColumn id="22" xr3:uid="{00000000-0010-0000-0700-000016000000}" name="Columna11" dataDxfId="96"/>
    <tableColumn id="23" xr3:uid="{00000000-0010-0000-0700-000017000000}" name="Columna12" dataDxfId="95"/>
    <tableColumn id="24" xr3:uid="{00000000-0010-0000-0700-000018000000}" name="Columna13" dataDxfId="94"/>
    <tableColumn id="25" xr3:uid="{00000000-0010-0000-0700-000019000000}" name="Columna14" dataDxfId="93"/>
    <tableColumn id="26" xr3:uid="{00000000-0010-0000-0700-00001A000000}" name="Columna15" dataDxfId="92"/>
    <tableColumn id="27" xr3:uid="{00000000-0010-0000-0700-00001B000000}" name="Columna16" dataDxfId="91"/>
    <tableColumn id="28" xr3:uid="{00000000-0010-0000-0700-00001C000000}" name="Columna17" dataDxfId="90"/>
    <tableColumn id="29" xr3:uid="{00000000-0010-0000-0700-00001D000000}" name="Columna18" dataDxfId="89"/>
    <tableColumn id="30" xr3:uid="{00000000-0010-0000-0700-00001E000000}" name="Columna19" dataDxfId="88"/>
    <tableColumn id="31" xr3:uid="{00000000-0010-0000-0700-00001F000000}" name="Columna20" dataDxfId="87"/>
    <tableColumn id="32" xr3:uid="{00000000-0010-0000-0700-000020000000}" name="Columna21" dataDxfId="86"/>
    <tableColumn id="33" xr3:uid="{00000000-0010-0000-0700-000021000000}" name="Columna22" dataDxfId="85"/>
    <tableColumn id="34" xr3:uid="{00000000-0010-0000-0700-000022000000}" name="Columna23" dataDxfId="84"/>
    <tableColumn id="35" xr3:uid="{00000000-0010-0000-0700-000023000000}" name="Imagen" dataDxfId="8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7" totalsRowShown="0" headerRowDxfId="82" dataDxfId="81">
  <autoFilter ref="A4:AI7" xr:uid="{00000000-0009-0000-0100-000008000000}"/>
  <tableColumns count="35">
    <tableColumn id="1" xr3:uid="{00000000-0010-0000-0800-000001000000}" name="C1" dataDxfId="80"/>
    <tableColumn id="2" xr3:uid="{00000000-0010-0000-0800-000002000000}" name="C2" dataDxfId="79"/>
    <tableColumn id="3" xr3:uid="{00000000-0010-0000-0800-000003000000}" name="Columna1" dataDxfId="78"/>
    <tableColumn id="4" xr3:uid="{00000000-0010-0000-0800-000004000000}" name="Columna2" dataDxfId="77"/>
    <tableColumn id="5" xr3:uid="{00000000-0010-0000-0800-000005000000}" name="Descripcion" dataDxfId="76"/>
    <tableColumn id="6" xr3:uid="{00000000-0010-0000-0800-000006000000}" name="Enunciado" dataDxfId="75"/>
    <tableColumn id="7" xr3:uid="{00000000-0010-0000-0800-000007000000}" name="Ancho RC" dataDxfId="74"/>
    <tableColumn id="8" xr3:uid="{00000000-0010-0000-0800-000008000000}" name="Columna3" dataDxfId="73"/>
    <tableColumn id="9" xr3:uid="{00000000-0010-0000-0800-000009000000}" name="Ancho IM" dataDxfId="72"/>
    <tableColumn id="10" xr3:uid="{00000000-0010-0000-0800-00000A000000}" name="Columna5" dataDxfId="71"/>
    <tableColumn id="11" xr3:uid="{00000000-0010-0000-0800-00000B000000}" name="Columna6" dataDxfId="70"/>
    <tableColumn id="12" xr3:uid="{00000000-0010-0000-0800-00000C000000}" name="Columna7" dataDxfId="69"/>
    <tableColumn id="13" xr3:uid="{00000000-0010-0000-0800-00000D000000}" name="Columna8" dataDxfId="68"/>
    <tableColumn id="14" xr3:uid="{00000000-0010-0000-0800-00000E000000}" name="Columna9" dataDxfId="67"/>
    <tableColumn id="15" xr3:uid="{00000000-0010-0000-0800-00000F000000}" name="Columna10" dataDxfId="66"/>
    <tableColumn id="16" xr3:uid="{00000000-0010-0000-0800-000010000000}" name="Columna11" dataDxfId="65"/>
    <tableColumn id="17" xr3:uid="{00000000-0010-0000-0800-000011000000}" name="Columna12" dataDxfId="64"/>
    <tableColumn id="18" xr3:uid="{00000000-0010-0000-0800-000012000000}" name="Columna13" dataDxfId="63"/>
    <tableColumn id="19" xr3:uid="{00000000-0010-0000-0800-000013000000}" name="Columna14" dataDxfId="62"/>
    <tableColumn id="20" xr3:uid="{00000000-0010-0000-0800-000014000000}" name="Columna15" dataDxfId="61"/>
    <tableColumn id="21" xr3:uid="{00000000-0010-0000-0800-000015000000}" name="Columna16" dataDxfId="60"/>
    <tableColumn id="22" xr3:uid="{00000000-0010-0000-0800-000016000000}" name="Columna17" dataDxfId="59"/>
    <tableColumn id="23" xr3:uid="{00000000-0010-0000-0800-000017000000}" name="Columna18" dataDxfId="58"/>
    <tableColumn id="24" xr3:uid="{00000000-0010-0000-0800-000018000000}" name="Columna19" dataDxfId="57"/>
    <tableColumn id="25" xr3:uid="{00000000-0010-0000-0800-000019000000}" name="Columna20" dataDxfId="56"/>
    <tableColumn id="26" xr3:uid="{00000000-0010-0000-0800-00001A000000}" name="Columna21" dataDxfId="55"/>
    <tableColumn id="27" xr3:uid="{00000000-0010-0000-0800-00001B000000}" name="Columna22" dataDxfId="54"/>
    <tableColumn id="28" xr3:uid="{00000000-0010-0000-0800-00001C000000}" name="Columna23" dataDxfId="53"/>
    <tableColumn id="29" xr3:uid="{00000000-0010-0000-0800-00001D000000}" name="Columna24" dataDxfId="52"/>
    <tableColumn id="30" xr3:uid="{00000000-0010-0000-0800-00001E000000}" name="Columna25" dataDxfId="51"/>
    <tableColumn id="31" xr3:uid="{00000000-0010-0000-0800-00001F000000}" name="Pista 1" dataDxfId="50"/>
    <tableColumn id="32" xr3:uid="{00000000-0010-0000-0800-000020000000}" name="Pista 2" dataDxfId="49"/>
    <tableColumn id="33" xr3:uid="{00000000-0010-0000-0800-000021000000}" name="Pista 3" dataDxfId="48"/>
    <tableColumn id="34" xr3:uid="{00000000-0010-0000-0800-000022000000}" name="Pista 4" dataDxfId="47"/>
    <tableColumn id="35" xr3:uid="{00000000-0010-0000-0800-000023000000}" name="Imagen" dataDxfId="46"/>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16" workbookViewId="0">
      <pane xSplit="19" ySplit="46" topLeftCell="T47" activePane="bottomRight" state="frozen"/>
      <selection pane="topRight" activeCell="T1" sqref="T1"/>
      <selection pane="bottomLeft" activeCell="A47" sqref="A47"/>
      <selection pane="bottomRight" activeCell="A11" sqref="A11:A13"/>
    </sheetView>
  </sheetViews>
  <sheetFormatPr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62" t="s">
        <v>387</v>
      </c>
      <c r="B1" s="252" t="s">
        <v>5</v>
      </c>
      <c r="C1" s="253"/>
      <c r="D1" s="253"/>
      <c r="E1" s="253"/>
      <c r="F1" s="253"/>
      <c r="G1" s="253"/>
      <c r="H1" s="253"/>
      <c r="I1" s="253"/>
      <c r="J1" s="253"/>
      <c r="K1" s="253"/>
      <c r="L1" s="253"/>
      <c r="M1" s="253"/>
      <c r="N1" s="253"/>
      <c r="O1" s="253"/>
      <c r="P1" s="253"/>
      <c r="Q1" s="253"/>
      <c r="R1" s="253"/>
      <c r="S1" s="254"/>
    </row>
    <row r="2" spans="1:19" ht="6" customHeight="1" x14ac:dyDescent="0.5">
      <c r="A2" s="263"/>
      <c r="B2" s="4"/>
      <c r="C2" s="5"/>
      <c r="D2" s="5"/>
      <c r="E2" s="5"/>
      <c r="F2" s="5"/>
      <c r="G2" s="5"/>
      <c r="H2" s="5"/>
      <c r="I2" s="5"/>
      <c r="J2" s="5"/>
      <c r="K2" s="5"/>
      <c r="L2" s="5"/>
      <c r="M2" s="5"/>
      <c r="N2" s="5"/>
      <c r="O2" s="5"/>
      <c r="P2" s="5"/>
      <c r="Q2" s="5"/>
      <c r="R2" s="5"/>
      <c r="S2" s="6"/>
    </row>
    <row r="3" spans="1:19" x14ac:dyDescent="0.5">
      <c r="A3" s="263"/>
      <c r="B3" s="4"/>
      <c r="C3" s="5"/>
      <c r="D3" s="5"/>
      <c r="E3" s="5"/>
      <c r="F3" s="5"/>
      <c r="G3" s="269" t="str">
        <f ca="1">INDIRECT("Z_IN_04_"&amp;IDIOMA)</f>
        <v>This Application has been developed, in the first version, by:</v>
      </c>
      <c r="H3" s="269"/>
      <c r="I3" s="269"/>
      <c r="J3" s="269"/>
      <c r="K3" s="269"/>
      <c r="L3" s="269"/>
      <c r="M3" s="269"/>
      <c r="N3" s="269"/>
      <c r="O3" s="5"/>
      <c r="P3" s="5"/>
      <c r="Q3" s="5"/>
      <c r="R3" s="5"/>
      <c r="S3" s="6"/>
    </row>
    <row r="4" spans="1:19" ht="6" customHeight="1" x14ac:dyDescent="0.5">
      <c r="A4" s="263"/>
      <c r="B4" s="4"/>
      <c r="C4" s="5"/>
      <c r="D4" s="5"/>
      <c r="E4" s="5"/>
      <c r="F4" s="5"/>
      <c r="G4" s="5"/>
      <c r="H4" s="5"/>
      <c r="I4" s="5"/>
      <c r="J4" s="5"/>
      <c r="K4" s="5"/>
      <c r="L4" s="5"/>
      <c r="M4" s="5"/>
      <c r="N4" s="5"/>
      <c r="O4" s="5"/>
      <c r="P4" s="5"/>
      <c r="Q4" s="5"/>
      <c r="R4" s="5"/>
      <c r="S4" s="6"/>
    </row>
    <row r="5" spans="1:19" ht="15.75" customHeight="1" x14ac:dyDescent="0.5">
      <c r="A5" s="263"/>
      <c r="B5" s="4"/>
      <c r="C5" s="5"/>
      <c r="D5" s="5"/>
      <c r="E5" s="5"/>
      <c r="F5" s="260"/>
      <c r="G5" s="260"/>
      <c r="H5" s="134"/>
      <c r="I5" s="270" t="s">
        <v>0</v>
      </c>
      <c r="J5" s="270"/>
      <c r="K5" s="270"/>
      <c r="L5" s="270"/>
      <c r="M5" s="5"/>
      <c r="N5" s="244"/>
      <c r="O5" s="244"/>
      <c r="P5" s="261" t="s">
        <v>651</v>
      </c>
      <c r="Q5" s="261"/>
      <c r="R5" s="261"/>
      <c r="S5" s="6"/>
    </row>
    <row r="6" spans="1:19" ht="6" customHeight="1" x14ac:dyDescent="0.5">
      <c r="A6" s="263"/>
      <c r="B6" s="4"/>
      <c r="C6" s="5"/>
      <c r="D6" s="5"/>
      <c r="E6" s="5"/>
      <c r="F6" s="260"/>
      <c r="G6" s="260"/>
      <c r="H6" s="134"/>
      <c r="I6" s="5"/>
      <c r="J6" s="5"/>
      <c r="K6" s="5"/>
      <c r="L6" s="5"/>
      <c r="M6" s="5"/>
      <c r="N6" s="244"/>
      <c r="O6" s="244"/>
      <c r="P6" s="272" t="str">
        <f ca="1">INDIRECT("Z_IN_01_"&amp;IDIOMA)</f>
        <v>YOUTUBE CHANNEL</v>
      </c>
      <c r="Q6" s="272"/>
      <c r="R6" s="272"/>
      <c r="S6" s="6"/>
    </row>
    <row r="7" spans="1:19" ht="15" customHeight="1" x14ac:dyDescent="0.5">
      <c r="A7" s="263"/>
      <c r="B7" s="4"/>
      <c r="C7" s="5"/>
      <c r="D7" s="5"/>
      <c r="E7" s="5"/>
      <c r="F7" s="260"/>
      <c r="G7" s="260"/>
      <c r="H7" s="134"/>
      <c r="I7" s="269" t="str">
        <f ca="1">INDIRECT("Z_IN_05_"&amp;IDIOMA)</f>
        <v>Cadiz University</v>
      </c>
      <c r="J7" s="269"/>
      <c r="K7" s="269"/>
      <c r="L7" s="269"/>
      <c r="M7" s="5"/>
      <c r="N7" s="244"/>
      <c r="O7" s="244"/>
      <c r="P7" s="272"/>
      <c r="Q7" s="272"/>
      <c r="R7" s="272"/>
      <c r="S7" s="6"/>
    </row>
    <row r="8" spans="1:19" ht="6" customHeight="1" x14ac:dyDescent="0.5">
      <c r="A8" s="263"/>
      <c r="B8" s="4"/>
      <c r="C8" s="5"/>
      <c r="D8" s="5"/>
      <c r="E8" s="5"/>
      <c r="F8" s="260"/>
      <c r="G8" s="260"/>
      <c r="H8" s="134"/>
      <c r="I8" s="5"/>
      <c r="J8" s="5"/>
      <c r="K8" s="5"/>
      <c r="L8" s="5"/>
      <c r="M8" s="5"/>
      <c r="N8" s="244"/>
      <c r="O8" s="244"/>
      <c r="P8" s="5"/>
      <c r="Q8" s="5"/>
      <c r="R8" s="5"/>
      <c r="S8" s="6"/>
    </row>
    <row r="9" spans="1:19" ht="14.7" thickBot="1" x14ac:dyDescent="0.55000000000000004">
      <c r="A9" s="264"/>
      <c r="B9" s="4"/>
      <c r="C9" s="255" t="str">
        <f ca="1">INDIRECT("Z_IN_03_"&amp;IDIOMA)</f>
        <v>READ CAREFULLY</v>
      </c>
      <c r="D9" s="255"/>
      <c r="E9" s="5"/>
      <c r="F9" s="260"/>
      <c r="G9" s="260"/>
      <c r="H9" s="134"/>
      <c r="I9" s="271" t="s">
        <v>10</v>
      </c>
      <c r="J9" s="271"/>
      <c r="K9" s="271"/>
      <c r="L9" s="271"/>
      <c r="M9" s="5"/>
      <c r="N9" s="244"/>
      <c r="O9" s="244"/>
      <c r="P9" s="273" t="s">
        <v>831</v>
      </c>
      <c r="Q9" s="273"/>
      <c r="R9" s="273"/>
      <c r="S9" s="6"/>
    </row>
    <row r="10" spans="1:19" ht="6" customHeight="1" x14ac:dyDescent="0.5">
      <c r="B10" s="4"/>
      <c r="C10" s="5"/>
      <c r="D10" s="5"/>
      <c r="E10" s="5"/>
      <c r="F10" s="260"/>
      <c r="G10" s="260"/>
      <c r="H10" s="134"/>
      <c r="I10" s="5"/>
      <c r="J10" s="5"/>
      <c r="K10" s="5"/>
      <c r="L10" s="5"/>
      <c r="M10" s="5"/>
      <c r="N10" s="244"/>
      <c r="O10" s="244"/>
      <c r="P10" s="5"/>
      <c r="Q10" s="5"/>
      <c r="R10" s="5"/>
      <c r="S10" s="6"/>
    </row>
    <row r="11" spans="1:19" ht="15" customHeight="1" x14ac:dyDescent="0.5">
      <c r="A11" s="265" t="s">
        <v>19</v>
      </c>
      <c r="B11" s="4"/>
      <c r="C11" s="5"/>
      <c r="D11" s="256" t="str">
        <f ca="1">INDIRECT("Z_IN_06_"&amp;IDIOMA)</f>
        <v>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v>
      </c>
      <c r="E11" s="256"/>
      <c r="F11" s="256"/>
      <c r="G11" s="256"/>
      <c r="H11" s="256"/>
      <c r="I11" s="256"/>
      <c r="J11" s="256"/>
      <c r="K11" s="256"/>
      <c r="L11" s="256"/>
      <c r="M11" s="256"/>
      <c r="N11" s="256"/>
      <c r="O11" s="256"/>
      <c r="P11" s="256"/>
      <c r="Q11" s="256"/>
      <c r="R11" s="256"/>
      <c r="S11" s="6"/>
    </row>
    <row r="12" spans="1:19" ht="6" customHeight="1" x14ac:dyDescent="0.5">
      <c r="A12" s="265"/>
      <c r="B12" s="4"/>
      <c r="C12" s="5"/>
      <c r="D12" s="256"/>
      <c r="E12" s="256"/>
      <c r="F12" s="256"/>
      <c r="G12" s="256"/>
      <c r="H12" s="256"/>
      <c r="I12" s="256"/>
      <c r="J12" s="256"/>
      <c r="K12" s="256"/>
      <c r="L12" s="256"/>
      <c r="M12" s="256"/>
      <c r="N12" s="256"/>
      <c r="O12" s="256"/>
      <c r="P12" s="256"/>
      <c r="Q12" s="256"/>
      <c r="R12" s="256"/>
      <c r="S12" s="6"/>
    </row>
    <row r="13" spans="1:19" x14ac:dyDescent="0.5">
      <c r="A13" s="265"/>
      <c r="B13" s="4"/>
      <c r="C13" s="5"/>
      <c r="D13" s="256"/>
      <c r="E13" s="256"/>
      <c r="F13" s="256"/>
      <c r="G13" s="256"/>
      <c r="H13" s="256"/>
      <c r="I13" s="256"/>
      <c r="J13" s="256"/>
      <c r="K13" s="256"/>
      <c r="L13" s="256"/>
      <c r="M13" s="256"/>
      <c r="N13" s="256"/>
      <c r="O13" s="256"/>
      <c r="P13" s="256"/>
      <c r="Q13" s="256"/>
      <c r="R13" s="256"/>
      <c r="S13" s="6"/>
    </row>
    <row r="14" spans="1:19" ht="6" customHeight="1" x14ac:dyDescent="0.5">
      <c r="B14" s="4"/>
      <c r="C14" s="5"/>
      <c r="D14" s="256"/>
      <c r="E14" s="256"/>
      <c r="F14" s="256"/>
      <c r="G14" s="256"/>
      <c r="H14" s="256"/>
      <c r="I14" s="256"/>
      <c r="J14" s="256"/>
      <c r="K14" s="256"/>
      <c r="L14" s="256"/>
      <c r="M14" s="256"/>
      <c r="N14" s="256"/>
      <c r="O14" s="256"/>
      <c r="P14" s="256"/>
      <c r="Q14" s="256"/>
      <c r="R14" s="256"/>
      <c r="S14" s="6"/>
    </row>
    <row r="15" spans="1:19" x14ac:dyDescent="0.5">
      <c r="B15" s="4"/>
      <c r="C15" s="5"/>
      <c r="D15" s="256"/>
      <c r="E15" s="256"/>
      <c r="F15" s="256"/>
      <c r="G15" s="256"/>
      <c r="H15" s="256"/>
      <c r="I15" s="256"/>
      <c r="J15" s="256"/>
      <c r="K15" s="256"/>
      <c r="L15" s="256"/>
      <c r="M15" s="256"/>
      <c r="N15" s="256"/>
      <c r="O15" s="256"/>
      <c r="P15" s="256"/>
      <c r="Q15" s="256"/>
      <c r="R15" s="256"/>
      <c r="S15" s="6"/>
    </row>
    <row r="16" spans="1:19" ht="6" customHeight="1" x14ac:dyDescent="0.5">
      <c r="B16" s="4"/>
      <c r="C16" s="5"/>
      <c r="D16" s="256"/>
      <c r="E16" s="256"/>
      <c r="F16" s="256"/>
      <c r="G16" s="256"/>
      <c r="H16" s="256"/>
      <c r="I16" s="256"/>
      <c r="J16" s="256"/>
      <c r="K16" s="256"/>
      <c r="L16" s="256"/>
      <c r="M16" s="256"/>
      <c r="N16" s="256"/>
      <c r="O16" s="256"/>
      <c r="P16" s="256"/>
      <c r="Q16" s="256"/>
      <c r="R16" s="256"/>
      <c r="S16" s="6"/>
    </row>
    <row r="17" spans="1:19" x14ac:dyDescent="0.5">
      <c r="A17" s="266" t="str">
        <f>IFERROR(HLOOKUP(LANGUAGE,DICCIONARIO!F1:K20,20,0),LANGUAGE)</f>
        <v>CUSTOM DICTIONARY</v>
      </c>
      <c r="B17" s="4"/>
      <c r="C17" s="5"/>
      <c r="D17" s="256"/>
      <c r="E17" s="256"/>
      <c r="F17" s="256"/>
      <c r="G17" s="256"/>
      <c r="H17" s="256"/>
      <c r="I17" s="256"/>
      <c r="J17" s="256"/>
      <c r="K17" s="256"/>
      <c r="L17" s="256"/>
      <c r="M17" s="256"/>
      <c r="N17" s="256"/>
      <c r="O17" s="256"/>
      <c r="P17" s="256"/>
      <c r="Q17" s="256"/>
      <c r="R17" s="256"/>
      <c r="S17" s="6"/>
    </row>
    <row r="18" spans="1:19" ht="6" customHeight="1" x14ac:dyDescent="0.5">
      <c r="A18" s="266"/>
      <c r="B18" s="4"/>
      <c r="C18" s="5"/>
      <c r="D18" s="256"/>
      <c r="E18" s="256"/>
      <c r="F18" s="256"/>
      <c r="G18" s="256"/>
      <c r="H18" s="256"/>
      <c r="I18" s="256"/>
      <c r="J18" s="256"/>
      <c r="K18" s="256"/>
      <c r="L18" s="256"/>
      <c r="M18" s="256"/>
      <c r="N18" s="256"/>
      <c r="O18" s="256"/>
      <c r="P18" s="256"/>
      <c r="Q18" s="256"/>
      <c r="R18" s="256"/>
      <c r="S18" s="6"/>
    </row>
    <row r="19" spans="1:19" x14ac:dyDescent="0.5">
      <c r="A19" s="266"/>
      <c r="B19" s="4"/>
      <c r="C19" s="5"/>
      <c r="D19" s="256"/>
      <c r="E19" s="256"/>
      <c r="F19" s="256"/>
      <c r="G19" s="256"/>
      <c r="H19" s="256"/>
      <c r="I19" s="256"/>
      <c r="J19" s="256"/>
      <c r="K19" s="256"/>
      <c r="L19" s="256"/>
      <c r="M19" s="256"/>
      <c r="N19" s="256"/>
      <c r="O19" s="256"/>
      <c r="P19" s="256"/>
      <c r="Q19" s="256"/>
      <c r="R19" s="256"/>
      <c r="S19" s="6"/>
    </row>
    <row r="20" spans="1:19" ht="6" customHeight="1" x14ac:dyDescent="0.5">
      <c r="B20" s="4"/>
      <c r="C20" s="5"/>
      <c r="D20" s="256"/>
      <c r="E20" s="256"/>
      <c r="F20" s="256"/>
      <c r="G20" s="256"/>
      <c r="H20" s="256"/>
      <c r="I20" s="256"/>
      <c r="J20" s="256"/>
      <c r="K20" s="256"/>
      <c r="L20" s="256"/>
      <c r="M20" s="256"/>
      <c r="N20" s="256"/>
      <c r="O20" s="256"/>
      <c r="P20" s="256"/>
      <c r="Q20" s="256"/>
      <c r="R20" s="256"/>
      <c r="S20" s="6"/>
    </row>
    <row r="21" spans="1:19" x14ac:dyDescent="0.5">
      <c r="B21" s="4"/>
      <c r="C21" s="5"/>
      <c r="D21" s="256"/>
      <c r="E21" s="256"/>
      <c r="F21" s="256"/>
      <c r="G21" s="256"/>
      <c r="H21" s="256"/>
      <c r="I21" s="256"/>
      <c r="J21" s="256"/>
      <c r="K21" s="256"/>
      <c r="L21" s="256"/>
      <c r="M21" s="256"/>
      <c r="N21" s="256"/>
      <c r="O21" s="256"/>
      <c r="P21" s="256"/>
      <c r="Q21" s="256"/>
      <c r="R21" s="256"/>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7" t="str">
        <f ca="1">INDIRECT("Z_BP_10_"&amp;IDIOMA)</f>
        <v>MC 1A</v>
      </c>
      <c r="D23" s="258"/>
      <c r="E23" s="257" t="str">
        <f ca="1">INDIRECT("Z_BP_11_"&amp;IDIOMA)</f>
        <v>MC +A</v>
      </c>
      <c r="F23" s="259"/>
      <c r="G23" s="257" t="str">
        <f ca="1">INDIRECT("Z_BP_12_"&amp;IDIOMA)</f>
        <v>TF</v>
      </c>
      <c r="H23" s="259"/>
      <c r="I23" s="257" t="str">
        <f ca="1">INDIRECT("Z_BP_13_"&amp;IDIOMA)</f>
        <v>MA</v>
      </c>
      <c r="J23" s="258"/>
      <c r="K23" s="257" t="str">
        <f ca="1">INDIRECT("Z_BP_14_"&amp;IDIOMA)</f>
        <v>SA</v>
      </c>
      <c r="L23" s="259"/>
      <c r="M23" s="257" t="str">
        <f ca="1">INDIRECT("Z_BP_15_"&amp;IDIOMA)</f>
        <v>MW</v>
      </c>
      <c r="N23" s="259"/>
      <c r="O23" s="257" t="str">
        <f ca="1">INDIRECT("Z_BP_31_"&amp;IDIOMA)</f>
        <v>ES</v>
      </c>
      <c r="P23" s="259"/>
      <c r="Q23" s="257" t="str">
        <f ca="1">INDIRECT("Z_BP_16_"&amp;IDIOMA)</f>
        <v>CL</v>
      </c>
      <c r="R23" s="259"/>
      <c r="S23" s="6"/>
    </row>
    <row r="24" spans="1:19" ht="14.45" customHeight="1" x14ac:dyDescent="0.5">
      <c r="B24" s="4"/>
      <c r="C24" s="248" t="str">
        <f ca="1">INDIRECT("Z_IN_08_"&amp;IDIOMA)</f>
        <v>Multiple Choice 1A</v>
      </c>
      <c r="D24" s="249"/>
      <c r="E24" s="249" t="str">
        <f ca="1">INDIRECT("Z_IN_09_"&amp;IDIOMA)</f>
        <v>Multiple Choice +A</v>
      </c>
      <c r="F24" s="249"/>
      <c r="G24" s="249" t="str">
        <f ca="1">INDIRECT("Z_IN_10_"&amp;IDIOMA)</f>
        <v>True/False</v>
      </c>
      <c r="H24" s="249"/>
      <c r="I24" s="249" t="str">
        <f ca="1">INDIRECT("Z_IN_11_"&amp;IDIOMA)</f>
        <v>Matching</v>
      </c>
      <c r="J24" s="249"/>
      <c r="K24" s="249" t="str">
        <f ca="1">INDIRECT("Z_IN_12_"&amp;IDIOMA)</f>
        <v>Short Answer</v>
      </c>
      <c r="L24" s="249"/>
      <c r="M24" s="249" t="str">
        <f ca="1">INDIRECT("Z_IN_13_"&amp;IDIOMA)</f>
        <v>Missing Word</v>
      </c>
      <c r="N24" s="249"/>
      <c r="O24" s="249" t="str">
        <f ca="1">INDIRECT("Z_IN_16_"&amp;IDIOMA)</f>
        <v>Essay</v>
      </c>
      <c r="P24" s="249"/>
      <c r="Q24" s="249" t="str">
        <f ca="1">INDIRECT("Z_IN_14_"&amp;IDIOMA)</f>
        <v>Cloze</v>
      </c>
      <c r="R24" s="274"/>
      <c r="S24" s="6"/>
    </row>
    <row r="25" spans="1:19" ht="6" customHeight="1" thickBot="1" x14ac:dyDescent="0.55000000000000004">
      <c r="B25" s="4"/>
      <c r="C25" s="250"/>
      <c r="D25" s="251"/>
      <c r="E25" s="251"/>
      <c r="F25" s="251"/>
      <c r="G25" s="251"/>
      <c r="H25" s="251"/>
      <c r="I25" s="251"/>
      <c r="J25" s="251"/>
      <c r="K25" s="251"/>
      <c r="L25" s="251"/>
      <c r="M25" s="251"/>
      <c r="N25" s="251"/>
      <c r="O25" s="251"/>
      <c r="P25" s="251"/>
      <c r="Q25" s="251"/>
      <c r="R25" s="275"/>
      <c r="S25" s="6"/>
    </row>
    <row r="26" spans="1:19" ht="15" customHeight="1" thickBot="1" x14ac:dyDescent="0.55000000000000004">
      <c r="B26" s="4"/>
      <c r="C26" s="245" t="str">
        <f ca="1">'Datos OM'!G2&amp;" "&amp;INDIRECT("Z_IN_15_"&amp;IDIOMA)</f>
        <v>3 Questions</v>
      </c>
      <c r="D26" s="247"/>
      <c r="E26" s="245" t="str">
        <f ca="1">'Datos O2'!G2&amp;" "&amp;INDIRECT("Z_IN_15_"&amp;IDIOMA)</f>
        <v>2 Questions</v>
      </c>
      <c r="F26" s="246"/>
      <c r="G26" s="245" t="str">
        <f ca="1">'Datos VF'!G2&amp;" "&amp;INDIRECT("Z_IN_15_"&amp;IDIOMA)</f>
        <v>2 Questions</v>
      </c>
      <c r="H26" s="246"/>
      <c r="I26" s="245" t="str">
        <f ca="1">'Datos EM'!G2&amp;" "&amp;INDIRECT("Z_IN_15_"&amp;IDIOMA)</f>
        <v>3 Questions</v>
      </c>
      <c r="J26" s="247"/>
      <c r="K26" s="245" t="str">
        <f ca="1">'Datos RC'!G2&amp;" "&amp;INDIRECT("Z_IN_15_"&amp;IDIOMA)</f>
        <v>2 Questions</v>
      </c>
      <c r="L26" s="246"/>
      <c r="M26" s="245" t="str">
        <f ca="1">'Datos PP'!G2&amp;" "&amp;INDIRECT("Z_IN_15_"&amp;IDIOMA)</f>
        <v>2 Questions</v>
      </c>
      <c r="N26" s="246"/>
      <c r="O26" s="245" t="str">
        <f ca="1">'Datos EN'!G2&amp;" "&amp;INDIRECT("Z_IN_15_"&amp;IDIOMA)</f>
        <v>2 Questions</v>
      </c>
      <c r="P26" s="246"/>
      <c r="Q26" s="245" t="str">
        <f ca="1">'Datos CL'!G2&amp;" "&amp;INDIRECT("Z_IN_15_"&amp;IDIOMA)</f>
        <v>3 Questions</v>
      </c>
      <c r="R26" s="246"/>
      <c r="S26" s="6"/>
    </row>
    <row r="27" spans="1:19" ht="6" customHeight="1" x14ac:dyDescent="0.5">
      <c r="B27" s="4"/>
      <c r="C27" s="5"/>
      <c r="D27" s="267" t="str">
        <f ca="1">INDIRECT("Z_IN_07_"&amp;IDIOMA)</f>
        <v>This SHEET is used to store the questions and to be able to reuse them when necessary, without having to retype them for a new BANK OF QUESTIONS.</v>
      </c>
      <c r="E27" s="267"/>
      <c r="F27" s="267"/>
      <c r="G27" s="267"/>
      <c r="H27" s="267"/>
      <c r="I27" s="267"/>
      <c r="J27" s="267"/>
      <c r="K27" s="267"/>
      <c r="L27" s="267"/>
      <c r="M27" s="267"/>
      <c r="N27" s="144"/>
      <c r="O27" s="7"/>
      <c r="P27" s="7"/>
      <c r="Q27" s="7"/>
      <c r="R27" s="7"/>
      <c r="S27" s="6"/>
    </row>
    <row r="28" spans="1:19" ht="15" customHeight="1" x14ac:dyDescent="0.5">
      <c r="B28" s="4"/>
      <c r="C28" s="5"/>
      <c r="D28" s="268"/>
      <c r="E28" s="268"/>
      <c r="F28" s="268"/>
      <c r="G28" s="268"/>
      <c r="H28" s="268"/>
      <c r="I28" s="268"/>
      <c r="J28" s="268"/>
      <c r="K28" s="268"/>
      <c r="L28" s="268"/>
      <c r="M28" s="268"/>
      <c r="N28" s="145"/>
      <c r="O28" s="5"/>
      <c r="P28" s="244"/>
      <c r="Q28" s="244"/>
      <c r="R28" s="244"/>
      <c r="S28" s="6"/>
    </row>
    <row r="29" spans="1:19" ht="6" customHeight="1" x14ac:dyDescent="0.5">
      <c r="B29" s="4"/>
      <c r="C29" s="5"/>
      <c r="D29" s="268"/>
      <c r="E29" s="268"/>
      <c r="F29" s="268"/>
      <c r="G29" s="268"/>
      <c r="H29" s="268"/>
      <c r="I29" s="268"/>
      <c r="J29" s="268"/>
      <c r="K29" s="268"/>
      <c r="L29" s="268"/>
      <c r="M29" s="268"/>
      <c r="N29" s="145"/>
      <c r="O29" s="5"/>
      <c r="P29" s="244"/>
      <c r="Q29" s="244"/>
      <c r="R29" s="244"/>
      <c r="S29" s="6"/>
    </row>
    <row r="30" spans="1:19" x14ac:dyDescent="0.5">
      <c r="B30" s="4"/>
      <c r="C30" s="5"/>
      <c r="D30" s="268"/>
      <c r="E30" s="268"/>
      <c r="F30" s="268"/>
      <c r="G30" s="268"/>
      <c r="H30" s="268"/>
      <c r="I30" s="268"/>
      <c r="J30" s="268"/>
      <c r="K30" s="268"/>
      <c r="L30" s="268"/>
      <c r="M30" s="268"/>
      <c r="N30" s="145"/>
      <c r="O30" s="5"/>
      <c r="P30" s="244"/>
      <c r="Q30" s="244"/>
      <c r="R30" s="244"/>
      <c r="S30" s="6"/>
    </row>
    <row r="31" spans="1:19" ht="6" customHeight="1" x14ac:dyDescent="0.5">
      <c r="B31" s="4"/>
      <c r="C31" s="5"/>
      <c r="D31" s="268"/>
      <c r="E31" s="268"/>
      <c r="F31" s="268"/>
      <c r="G31" s="268"/>
      <c r="H31" s="268"/>
      <c r="I31" s="268"/>
      <c r="J31" s="268"/>
      <c r="K31" s="268"/>
      <c r="L31" s="268"/>
      <c r="M31" s="268"/>
      <c r="N31" s="145"/>
      <c r="O31" s="5"/>
      <c r="P31" s="244"/>
      <c r="Q31" s="244"/>
      <c r="R31" s="244"/>
      <c r="S31" s="6"/>
    </row>
    <row r="32" spans="1:19" x14ac:dyDescent="0.5">
      <c r="B32" s="4"/>
      <c r="C32" s="5"/>
      <c r="D32" s="268"/>
      <c r="E32" s="268"/>
      <c r="F32" s="268"/>
      <c r="G32" s="268"/>
      <c r="H32" s="268"/>
      <c r="I32" s="268"/>
      <c r="J32" s="268"/>
      <c r="K32" s="268"/>
      <c r="L32" s="268"/>
      <c r="M32" s="268"/>
      <c r="N32" s="145"/>
      <c r="O32" s="5"/>
      <c r="P32" s="244"/>
      <c r="Q32" s="244"/>
      <c r="R32" s="244"/>
      <c r="S32" s="6"/>
    </row>
    <row r="33" spans="1:19" ht="6" customHeight="1" x14ac:dyDescent="0.5">
      <c r="B33" s="4"/>
      <c r="C33" s="5"/>
      <c r="D33" s="268"/>
      <c r="E33" s="268"/>
      <c r="F33" s="268"/>
      <c r="G33" s="268"/>
      <c r="H33" s="268"/>
      <c r="I33" s="268"/>
      <c r="J33" s="268"/>
      <c r="K33" s="268"/>
      <c r="L33" s="268"/>
      <c r="M33" s="268"/>
      <c r="N33" s="145"/>
      <c r="O33" s="5"/>
      <c r="P33" s="244"/>
      <c r="Q33" s="244"/>
      <c r="R33" s="244"/>
      <c r="S33" s="6"/>
    </row>
    <row r="34" spans="1:19" x14ac:dyDescent="0.5">
      <c r="B34" s="4"/>
      <c r="C34" s="5"/>
      <c r="D34" s="268"/>
      <c r="E34" s="268"/>
      <c r="F34" s="268"/>
      <c r="G34" s="268"/>
      <c r="H34" s="268"/>
      <c r="I34" s="268"/>
      <c r="J34" s="268"/>
      <c r="K34" s="268"/>
      <c r="L34" s="268"/>
      <c r="M34" s="268"/>
      <c r="N34" s="145"/>
      <c r="O34" s="5"/>
      <c r="P34" s="244"/>
      <c r="Q34" s="244"/>
      <c r="R34" s="244"/>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E</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CUSTOM DICTIONARY</v>
      </c>
      <c r="B46" s="43" t="s">
        <v>388</v>
      </c>
    </row>
    <row r="47" spans="1:19" ht="5.0999999999999996" customHeight="1" thickTop="1" x14ac:dyDescent="0.5"/>
  </sheetData>
  <sheetProtection algorithmName="SHA-512" hashValue="B4ZtyPI8lv6/MGOS3+9a5fUlVKn8W7m5tc5qom7GwcpKDO4mxFaT3Eq647jn8+lsT+zoaLPf06hAUqFkuo98DA==" saltValue="Oavj1BI2LOGiAwJ94csGEA==" spinCount="100000" sheet="1" objects="1" scenarios="1" selectLockedCells="1" autoFilter="0"/>
  <mergeCells count="42">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 ref="B1:S1"/>
    <mergeCell ref="C9:D9"/>
    <mergeCell ref="D11:R21"/>
    <mergeCell ref="C23:D23"/>
    <mergeCell ref="E23:F23"/>
    <mergeCell ref="G23:H23"/>
    <mergeCell ref="I23:J23"/>
    <mergeCell ref="K23:L23"/>
    <mergeCell ref="N5:O10"/>
    <mergeCell ref="F5:G10"/>
    <mergeCell ref="P5:R5"/>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s>
  <dataValidations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HOME</v>
      </c>
      <c r="E1" s="34" t="str">
        <f>LANGUAGE</f>
        <v>ENGLISH</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CUSTOM DICTIONARY</v>
      </c>
      <c r="E2" s="35" t="str">
        <f>IFERROR(INDEX(F2:K20,1,MATCH(E1,F20:K20,0)),IDIOMA)</f>
        <v>E</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Shift+</v>
      </c>
    </row>
    <row r="3" spans="1:35" ht="14.7" thickBot="1" x14ac:dyDescent="0.55000000000000004">
      <c r="A3" s="50" t="str">
        <f t="shared" ref="A3:A44" si="1">$A$1&amp;B3&amp;"_"&amp;C3&amp;"_"&amp;$A$2</f>
        <v>Z_IN_00_CS</v>
      </c>
      <c r="B3" s="49" t="s">
        <v>25</v>
      </c>
      <c r="C3" s="50" t="s">
        <v>26</v>
      </c>
      <c r="D3" s="168"/>
      <c r="E3" s="146" t="str">
        <f>IFERROR(IF(D3&lt;&gt;"",D3,HLOOKUP($E$2,$F$2:K3,ROW(D3)-1,0)),F3)</f>
        <v>HOME</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EXCEL MENU</v>
      </c>
      <c r="U3" s="191" t="str">
        <f ca="1">IFERROR(INDIRECT(Tabla_Menu[[#This Row],[Nivel 2]]&amp;IDIOMA)&amp;IF(Tabla_Menu[[#This Row],[Nivel]]="",""," "&amp;Tabla_Menu[[#This Row],['[Teclas']]]),"")</f>
        <v xml:space="preserve">EXCEL MENU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EXCEL MENU</v>
      </c>
      <c r="AF3" s="179"/>
    </row>
    <row r="4" spans="1:35" outlineLevel="1" x14ac:dyDescent="0.5">
      <c r="A4" s="136" t="str">
        <f t="shared" si="1"/>
        <v>Z_IN_01_CS</v>
      </c>
      <c r="B4" s="135" t="str">
        <f t="shared" ref="B4:B20" si="2">B3</f>
        <v>IN</v>
      </c>
      <c r="C4" s="136" t="s">
        <v>32</v>
      </c>
      <c r="D4" s="198"/>
      <c r="E4" s="149" t="str">
        <f>IFERROR(IF(D4&lt;&gt;"",D4,HLOOKUP($E$2,$F$2:K4,ROW(D4)-1,0)),F4)</f>
        <v>YOUTUBE CHANNEL</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GENERAL MENU</v>
      </c>
      <c r="U4" s="191" t="str">
        <f ca="1">IFERROR(INDIRECT(Tabla_Menu[[#This Row],[Nivel 2]]&amp;IDIOMA)&amp;IF(Tabla_Menu[[#This Row],[Nivel]]="",""," "&amp;Tabla_Menu[[#This Row],['[Teclas']]]),"")</f>
        <v xml:space="preserve">SAVE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GENERAL MENU</v>
      </c>
      <c r="AF4" s="179"/>
    </row>
    <row r="5" spans="1:35" outlineLevel="1" x14ac:dyDescent="0.5">
      <c r="A5" s="138" t="str">
        <f t="shared" si="1"/>
        <v>Z_IN_02_CS</v>
      </c>
      <c r="B5" s="137" t="str">
        <f t="shared" si="2"/>
        <v>IN</v>
      </c>
      <c r="C5" s="138" t="s">
        <v>33</v>
      </c>
      <c r="D5" s="170"/>
      <c r="E5" s="148" t="str">
        <f>IFERROR(IF(D5&lt;&gt;"",D5,HLOOKUP($E$2,$F$2:K5,ROW(D5)-1,0)),F5)</f>
        <v xml:space="preserve">DOES NOT WORK WITH
EXCEL VERSIONS
BEFORE 2007
NOT WITH THE LATEST MAC UPDATE </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GENERAL MENU</v>
      </c>
      <c r="U5" s="191" t="str">
        <f ca="1">IFERROR(INDIRECT(Tabla_Menu[[#This Row],[Nivel 2]]&amp;IDIOMA)&amp;IF(Tabla_Menu[[#This Row],[Nivel]]="",""," "&amp;Tabla_Menu[[#This Row],['[Teclas']]]),"")</f>
        <v xml:space="preserve">CLOSE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GENERAL MENU</v>
      </c>
      <c r="AF5" s="179"/>
    </row>
    <row r="6" spans="1:35" outlineLevel="1" x14ac:dyDescent="0.5">
      <c r="A6" s="136" t="str">
        <f t="shared" si="1"/>
        <v>Z_IN_03_CS</v>
      </c>
      <c r="B6" s="135" t="str">
        <f t="shared" si="2"/>
        <v>IN</v>
      </c>
      <c r="C6" s="136" t="s">
        <v>40</v>
      </c>
      <c r="D6" s="169"/>
      <c r="E6" s="147" t="str">
        <f>IFERROR(IF(D6&lt;&gt;"",D6,HLOOKUP($E$2,$F$2:K6,ROW(D6)-1,0)),F6)</f>
        <v>READ CAREFULLY</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GENERAL MENU</v>
      </c>
      <c r="U6" s="191" t="str">
        <f ca="1">IFERROR(INDIRECT(Tabla_Menu[[#This Row],[Nivel 2]]&amp;IDIOMA)&amp;IF(Tabla_Menu[[#This Row],[Nivel]]="",""," "&amp;Tabla_Menu[[#This Row],['[Teclas']]]),"")</f>
        <v xml:space="preserve">COPY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GENERAL MENU</v>
      </c>
      <c r="AF6" s="179"/>
    </row>
    <row r="7" spans="1:35" outlineLevel="1" x14ac:dyDescent="0.5">
      <c r="A7" s="138" t="str">
        <f t="shared" si="1"/>
        <v>Z_IN_04_CS</v>
      </c>
      <c r="B7" s="137" t="str">
        <f t="shared" si="2"/>
        <v>IN</v>
      </c>
      <c r="C7" s="138" t="s">
        <v>46</v>
      </c>
      <c r="D7" s="170"/>
      <c r="E7" s="148" t="str">
        <f>IFERROR(IF(D7&lt;&gt;"",D7,HLOOKUP($E$2,$F$2:K7,ROW(D7)-1,0)),F7)</f>
        <v>This Application has been developed, in the first version, by:</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GENERAL MENU</v>
      </c>
      <c r="U7" s="191" t="str">
        <f ca="1">IFERROR(INDIRECT(Tabla_Menu[[#This Row],[Nivel 2]]&amp;IDIOMA)&amp;IF(Tabla_Menu[[#This Row],[Nivel]]="",""," "&amp;Tabla_Menu[[#This Row],['[Teclas']]]),"")</f>
        <v xml:space="preserve">PASTE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GENERAL MENU</v>
      </c>
      <c r="AF7" s="179"/>
    </row>
    <row r="8" spans="1:35" outlineLevel="1" x14ac:dyDescent="0.5">
      <c r="A8" s="136" t="str">
        <f t="shared" si="1"/>
        <v>Z_IN_05_CS</v>
      </c>
      <c r="B8" s="135" t="str">
        <f t="shared" si="2"/>
        <v>IN</v>
      </c>
      <c r="C8" s="136" t="s">
        <v>52</v>
      </c>
      <c r="D8" s="169"/>
      <c r="E8" s="147" t="str">
        <f>IFERROR(IF(D8&lt;&gt;"",D8,HLOOKUP($E$2,$F$2:K8,ROW(D8)-1,0)),F8)</f>
        <v>Cadiz University</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GO TO …</v>
      </c>
      <c r="U8" s="191" t="str">
        <f ca="1">IFERROR(INDIRECT(Tabla_Menu[[#This Row],[Nivel 2]]&amp;IDIOMA)&amp;IF(Tabla_Menu[[#This Row],[Nivel]]="",""," "&amp;Tabla_Menu[[#This Row],['[Teclas']]]),"")</f>
        <v xml:space="preserve">HOME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GO TO …</v>
      </c>
      <c r="AF8" s="179"/>
    </row>
    <row r="9" spans="1:35" outlineLevel="1" x14ac:dyDescent="0.5">
      <c r="A9" s="138" t="str">
        <f t="shared" si="1"/>
        <v>Z_IN_06_CS</v>
      </c>
      <c r="B9" s="137" t="str">
        <f t="shared" si="2"/>
        <v>IN</v>
      </c>
      <c r="C9" s="138" t="s">
        <v>58</v>
      </c>
      <c r="D9" s="170"/>
      <c r="E9" s="148" t="str">
        <f>IFERROR(IF(D9&lt;&gt;"",D9,HLOOKUP($E$2,$F$2:K9,ROW(D9)-1,0)),F9)</f>
        <v>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GO TO …</v>
      </c>
      <c r="U9" s="191" t="str">
        <f ca="1">IFERROR(INDIRECT(Tabla_Menu[[#This Row],[Nivel 2]]&amp;IDIOMA)&amp;IF(Tabla_Menu[[#This Row],[Nivel]]="",""," "&amp;Tabla_Menu[[#This Row],['[Teclas']]]),"")</f>
        <v xml:space="preserve">DICTIONARY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GO TO …</v>
      </c>
      <c r="AF9" s="179"/>
    </row>
    <row r="10" spans="1:35" outlineLevel="1" x14ac:dyDescent="0.5">
      <c r="A10" s="136" t="str">
        <f t="shared" si="1"/>
        <v>Z_IN_07_CS</v>
      </c>
      <c r="B10" s="135" t="str">
        <f t="shared" si="2"/>
        <v>IN</v>
      </c>
      <c r="C10" s="136" t="s">
        <v>65</v>
      </c>
      <c r="D10" s="169"/>
      <c r="E10" s="147" t="str">
        <f>IFERROR(IF(D10&lt;&gt;"",D10,HLOOKUP($E$2,$F$2:K10,ROW(D10)-1,0)),F10)</f>
        <v>This SHEET is used to store the questions and to be able to reuse them when necessary, without having to retype them for a new BANK OF QUESTIONS.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GO TO …</v>
      </c>
      <c r="U10" s="191" t="str">
        <f ca="1">IFERROR(INDIRECT(Tabla_Menu[[#This Row],[Nivel 2]]&amp;IDIOMA)&amp;IF(Tabla_Menu[[#This Row],[Nivel]]="",""," "&amp;Tabla_Menu[[#This Row],['[Teclas']]]),"")</f>
        <v xml:space="preserve">Multiple Choice 1A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GO TO …</v>
      </c>
      <c r="AF10" s="179"/>
    </row>
    <row r="11" spans="1:35" outlineLevel="1" x14ac:dyDescent="0.5">
      <c r="A11" s="138" t="str">
        <f t="shared" si="1"/>
        <v>Z_IN_08_CS</v>
      </c>
      <c r="B11" s="137" t="str">
        <f t="shared" si="2"/>
        <v>IN</v>
      </c>
      <c r="C11" s="138" t="s">
        <v>66</v>
      </c>
      <c r="D11" s="170"/>
      <c r="E11" s="148" t="str">
        <f>IFERROR(IF(D11&lt;&gt;"",D11,HLOOKUP($E$2,$F$2:K11,ROW(D11)-1,0)),F11)</f>
        <v>Multiple Choice 1A</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GO TO …</v>
      </c>
      <c r="U11" s="191" t="str">
        <f ca="1">IFERROR(INDIRECT(Tabla_Menu[[#This Row],[Nivel 2]]&amp;IDIOMA)&amp;IF(Tabla_Menu[[#This Row],[Nivel]]="",""," "&amp;Tabla_Menu[[#This Row],['[Teclas']]]),"")</f>
        <v xml:space="preserve">Multiple Choice +A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GO TO …</v>
      </c>
      <c r="AF11" s="179"/>
    </row>
    <row r="12" spans="1:35" outlineLevel="1" x14ac:dyDescent="0.5">
      <c r="A12" s="136" t="str">
        <f t="shared" si="1"/>
        <v>Z_IN_09_CS</v>
      </c>
      <c r="B12" s="135" t="str">
        <f t="shared" si="2"/>
        <v>IN</v>
      </c>
      <c r="C12" s="136" t="s">
        <v>70</v>
      </c>
      <c r="D12" s="169"/>
      <c r="E12" s="147" t="str">
        <f>IFERROR(IF(D12&lt;&gt;"",D12,HLOOKUP($E$2,$F$2:K12,ROW(D12)-1,0)),F12)</f>
        <v>Multiple Choice +A</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GO TO …</v>
      </c>
      <c r="U12" s="191" t="str">
        <f ca="1">IFERROR(INDIRECT(Tabla_Menu[[#This Row],[Nivel 2]]&amp;IDIOMA)&amp;IF(Tabla_Menu[[#This Row],[Nivel]]="",""," "&amp;Tabla_Menu[[#This Row],['[Teclas']]]),"")</f>
        <v xml:space="preserve">True/False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GO TO …</v>
      </c>
      <c r="AF12" s="179"/>
    </row>
    <row r="13" spans="1:35" outlineLevel="1" x14ac:dyDescent="0.5">
      <c r="A13" s="138" t="str">
        <f t="shared" si="1"/>
        <v>Z_IN_10_CS</v>
      </c>
      <c r="B13" s="137" t="str">
        <f t="shared" si="2"/>
        <v>IN</v>
      </c>
      <c r="C13" s="138" t="s">
        <v>71</v>
      </c>
      <c r="D13" s="170"/>
      <c r="E13" s="148" t="str">
        <f>IFERROR(IF(D13&lt;&gt;"",D13,HLOOKUP($E$2,$F$2:K13,ROW(D13)-1,0)),F13)</f>
        <v>True/False</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GO TO …</v>
      </c>
      <c r="U13" s="191" t="str">
        <f ca="1">IFERROR(INDIRECT(Tabla_Menu[[#This Row],[Nivel 2]]&amp;IDIOMA)&amp;IF(Tabla_Menu[[#This Row],[Nivel]]="",""," "&amp;Tabla_Menu[[#This Row],['[Teclas']]]),"")</f>
        <v xml:space="preserve">Matching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GO TO …</v>
      </c>
      <c r="AF13" s="179"/>
    </row>
    <row r="14" spans="1:35" outlineLevel="1" x14ac:dyDescent="0.5">
      <c r="A14" s="136" t="str">
        <f t="shared" si="1"/>
        <v>Z_IN_11_CS</v>
      </c>
      <c r="B14" s="135" t="str">
        <f t="shared" si="2"/>
        <v>IN</v>
      </c>
      <c r="C14" s="136" t="s">
        <v>72</v>
      </c>
      <c r="D14" s="169"/>
      <c r="E14" s="147" t="str">
        <f>IFERROR(IF(D14&lt;&gt;"",D14,HLOOKUP($E$2,$F$2:K14,ROW(D14)-1,0)),F14)</f>
        <v>Matching</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GO TO …</v>
      </c>
      <c r="U14" s="191" t="str">
        <f ca="1">IFERROR(INDIRECT(Tabla_Menu[[#This Row],[Nivel 2]]&amp;IDIOMA)&amp;IF(Tabla_Menu[[#This Row],[Nivel]]="",""," "&amp;Tabla_Menu[[#This Row],['[Teclas']]]),"")</f>
        <v xml:space="preserve">Short Answer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GO TO …</v>
      </c>
      <c r="AF14" s="179"/>
    </row>
    <row r="15" spans="1:35" outlineLevel="1" x14ac:dyDescent="0.5">
      <c r="A15" s="138" t="str">
        <f t="shared" si="1"/>
        <v>Z_IN_12_CS</v>
      </c>
      <c r="B15" s="137" t="str">
        <f t="shared" si="2"/>
        <v>IN</v>
      </c>
      <c r="C15" s="138" t="s">
        <v>74</v>
      </c>
      <c r="D15" s="170"/>
      <c r="E15" s="148" t="str">
        <f>IFERROR(IF(D15&lt;&gt;"",D15,HLOOKUP($E$2,$F$2:K15,ROW(D15)-1,0)),F15)</f>
        <v>Short Answer</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GO TO …</v>
      </c>
      <c r="U15" s="191" t="str">
        <f ca="1">IFERROR(INDIRECT(Tabla_Menu[[#This Row],[Nivel 2]]&amp;IDIOMA)&amp;IF(Tabla_Menu[[#This Row],[Nivel]]="",""," "&amp;Tabla_Menu[[#This Row],['[Teclas']]]),"")</f>
        <v xml:space="preserve">Missing Word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GO TO …</v>
      </c>
      <c r="AF15" s="179"/>
    </row>
    <row r="16" spans="1:35" outlineLevel="1" x14ac:dyDescent="0.5">
      <c r="A16" s="136" t="str">
        <f t="shared" si="1"/>
        <v>Z_IN_13_CS</v>
      </c>
      <c r="B16" s="135" t="str">
        <f t="shared" si="2"/>
        <v>IN</v>
      </c>
      <c r="C16" s="136" t="s">
        <v>76</v>
      </c>
      <c r="D16" s="169"/>
      <c r="E16" s="147" t="str">
        <f>IFERROR(IF(D16&lt;&gt;"",D16,HLOOKUP($E$2,$F$2:K16,ROW(D16)-1,0)),F16)</f>
        <v>Missing Word</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GO TO …</v>
      </c>
      <c r="U16" s="191" t="str">
        <f ca="1">IFERROR(INDIRECT(Tabla_Menu[[#This Row],[Nivel 2]]&amp;IDIOMA)&amp;IF(Tabla_Menu[[#This Row],[Nivel]]="",""," "&amp;Tabla_Menu[[#This Row],['[Teclas']]]),"")</f>
        <v xml:space="preserve">Essay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GO TO …</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GO TO …</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GO TO …</v>
      </c>
      <c r="AF17" s="179"/>
    </row>
    <row r="18" spans="1:32" outlineLevel="1" x14ac:dyDescent="0.5">
      <c r="A18" s="136" t="str">
        <f t="shared" si="1"/>
        <v>Z_IN_15_CS</v>
      </c>
      <c r="B18" s="135" t="str">
        <f t="shared" si="2"/>
        <v>IN</v>
      </c>
      <c r="C18" s="136" t="s">
        <v>81</v>
      </c>
      <c r="D18" s="169"/>
      <c r="E18" s="147" t="str">
        <f>IFERROR(IF(D18&lt;&gt;"",D18,HLOOKUP($E$2,$F$2:K18,ROW(D18)-1,0)),F18)</f>
        <v>Questions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DICTIONARY</v>
      </c>
      <c r="U18" s="191" t="str">
        <f ca="1">IFERROR(INDIRECT(Tabla_Menu[[#This Row],[Nivel 2]]&amp;IDIOMA)&amp;IF(Tabla_Menu[[#This Row],[Nivel]]="",""," "&amp;Tabla_Menu[[#This Row],['[Teclas']]]),"")</f>
        <v xml:space="preserve">LINK DICTIONARY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DICTIONARY</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Essay</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CUSTOM DICTIONARY</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Question database</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Saved Questions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DICTIONARY</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Question statement</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Description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Right Answer</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Wrong Answer</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Feedback</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Hint</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Points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MC 1A</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MC +A</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TF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MA</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SA</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MW</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Pair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Capitalization</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Answer</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Word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TRUE</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FALSE</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Group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Response format</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Require text</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Input box size</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Allow attachments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Require attachments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Response template</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Information for graders</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ES</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Width SA</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No. max. Answers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MACROS MESSAGES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Copy the link (Ctrl + C), 
and paste (Ctrl + V) in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GENERAL MENU</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SAVE</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CLOSE</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HELP</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COPY</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PASTE</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GO TO …</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DICTIONARY</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EXCEL MENU</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Do you want to save your changes?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END</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2" priority="4"/>
  </conditionalFormatting>
  <conditionalFormatting sqref="F54">
    <cfRule type="duplicateValues" dxfId="1" priority="2"/>
  </conditionalFormatting>
  <conditionalFormatting sqref="F56:F66">
    <cfRule type="duplicateValues" dxfId="0"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MC 1A                  MC +A                    TF                         MA                                HOME</v>
      </c>
      <c r="G1" s="51" t="str">
        <f ca="1">INDIRECT("Z_BP_01_"&amp;IDIOMA)</f>
        <v>Saved Questions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SA                         MW                         ES                         CL                                 DICTIONARY</v>
      </c>
      <c r="G2" s="34">
        <f>COUNTA(Tabla_OM[Enunciado])</f>
        <v>3</v>
      </c>
    </row>
    <row r="3" spans="1:35" ht="50.1" customHeight="1" x14ac:dyDescent="0.5">
      <c r="A3" s="52" t="str">
        <f ca="1">"N. "&amp;INDIRECT("Z_BP_05_"&amp;IDIOMA)</f>
        <v>N. Right Answer</v>
      </c>
      <c r="B3" s="52" t="str">
        <f ca="1">"N. "&amp;INDIRECT("Z_BP_06_"&amp;IDIOMA)</f>
        <v>N. Wrong Answer</v>
      </c>
      <c r="C3" s="78"/>
      <c r="D3" s="21"/>
      <c r="E3" s="22" t="str">
        <f ca="1">INDIRECT("Z_BP_04_"&amp;IDIOMA)</f>
        <v>Description</v>
      </c>
      <c r="F3" s="36" t="str">
        <f ca="1">"FastTest PlugIn - V"&amp;MID(Version,5,7)&amp;UPPER(INICIO!C24)&amp;"
"&amp;INDIRECT("Z_BP_03_"&amp;IDIOMA)</f>
        <v>FastTest PlugIn - V7.8  - MULTIPLE CHOICE 1A
Question statement</v>
      </c>
      <c r="G3" s="67" t="str">
        <f ca="1">INDIRECT("Z_BP_19_"&amp;IDIOMA)&amp;" 1"</f>
        <v>Answer 1</v>
      </c>
      <c r="H3" s="68" t="str">
        <f ca="1">INDIRECT("Z_BP_19_"&amp;IDIOMA)&amp;" 2"</f>
        <v>Answer 2</v>
      </c>
      <c r="I3" s="69" t="str">
        <f ca="1">INDIRECT("Z_BP_19_"&amp;IDIOMA)&amp;" 3"</f>
        <v>Answer 3</v>
      </c>
      <c r="J3" s="70" t="str">
        <f ca="1">INDIRECT("Z_BP_19_"&amp;IDIOMA)&amp;" 4"</f>
        <v>Answer 4</v>
      </c>
      <c r="K3" s="71" t="str">
        <f ca="1">INDIRECT("Z_BP_19_"&amp;IDIOMA)&amp;" 5"</f>
        <v>Answer 5</v>
      </c>
      <c r="L3" s="72" t="str">
        <f ca="1">INDIRECT("Z_BP_19_"&amp;IDIOMA)&amp;" 6"</f>
        <v>Answer 6</v>
      </c>
      <c r="M3" s="73" t="str">
        <f ca="1">INDIRECT("Z_BP_07_"&amp;IDIOMA)&amp;" 1"</f>
        <v>Feedback 1</v>
      </c>
      <c r="N3" s="74" t="str">
        <f ca="1">INDIRECT("Z_BP_07_"&amp;IDIOMA)&amp;" 2"</f>
        <v>Feedback 2</v>
      </c>
      <c r="O3" s="75" t="str">
        <f ca="1">INDIRECT("Z_BP_07_"&amp;IDIOMA)&amp;" 3"</f>
        <v>Feedback 3</v>
      </c>
      <c r="P3" s="79" t="str">
        <f ca="1">INDIRECT("Z_BP_07_"&amp;IDIOMA)&amp;" 4"</f>
        <v>Feedback 4</v>
      </c>
      <c r="Q3" s="80" t="str">
        <f ca="1">INDIRECT("Z_BP_07_"&amp;IDIOMA)&amp;" 5"</f>
        <v>Feedback 5</v>
      </c>
      <c r="R3" s="81" t="str">
        <f ca="1">INDIRECT("Z_BP_07_"&amp;IDIOMA)&amp;" 6"</f>
        <v>Feedback 6</v>
      </c>
      <c r="S3" s="73" t="str">
        <f ca="1">INDIRECT("Z_BP_09_"&amp;IDIOMA)&amp;" 1"</f>
        <v>Points 1</v>
      </c>
      <c r="T3" s="74" t="str">
        <f ca="1">INDIRECT("Z_BP_09_"&amp;IDIOMA)&amp;" 2"</f>
        <v>Points 2</v>
      </c>
      <c r="U3" s="75" t="str">
        <f ca="1">INDIRECT("Z_BP_09_"&amp;IDIOMA)&amp;" 3"</f>
        <v>Points 3</v>
      </c>
      <c r="V3" s="79" t="str">
        <f ca="1">INDIRECT("Z_BP_09_"&amp;IDIOMA)&amp;" 4"</f>
        <v>Points 4</v>
      </c>
      <c r="W3" s="80" t="str">
        <f ca="1">INDIRECT("Z_BP_09_"&amp;IDIOMA)&amp;" 5"</f>
        <v>Points 5</v>
      </c>
      <c r="X3" s="81" t="str">
        <f ca="1">INDIRECT("Z_BP_09_"&amp;IDIOMA)&amp;" 6"</f>
        <v>Points 6</v>
      </c>
      <c r="Y3" s="81"/>
      <c r="Z3" s="81"/>
      <c r="AA3" s="81"/>
      <c r="AB3" s="81"/>
      <c r="AC3" s="81"/>
      <c r="AD3" s="81"/>
      <c r="AE3" s="82" t="str">
        <f ca="1">INDIRECT("Z_BP_08_"&amp;IDIOMA)&amp;" 1"</f>
        <v>Hint 1</v>
      </c>
      <c r="AF3" s="83" t="str">
        <f ca="1">INDIRECT("Z_BP_08_"&amp;IDIOMA)&amp;" 2"</f>
        <v>Hint 2</v>
      </c>
      <c r="AG3" s="84" t="str">
        <f ca="1">INDIRECT("Z_BP_08_"&amp;IDIOMA)&amp;" 3"</f>
        <v>Hint 3</v>
      </c>
      <c r="AH3" s="85" t="str">
        <f ca="1">INDIRECT("Z_BP_08_"&amp;IDIOMA)&amp;" 4"</f>
        <v>Hint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IF(COUNTIF(Tabla_OM[[#This Row],[Puntos 1]:[Puntos 6]],"&gt;0")=0,"",COUNTIF(Tabla_OM[[#This Row],[Puntos 1]:[Puntos 6]],"&gt;0"))</f>
        <v>1</v>
      </c>
      <c r="B5" s="150">
        <f>IF(Tabla_OM[[#This Row],[NRC]]="","",COUNTA(Tabla_OM[[#This Row],[Respuesta 1]:[Respuesta 6]])-Tabla_OM[[#This Row],[NRC]])</f>
        <v>5</v>
      </c>
      <c r="D5" s="23"/>
      <c r="E5" s="77" t="s">
        <v>832</v>
      </c>
      <c r="F5" s="76" t="s">
        <v>833</v>
      </c>
      <c r="G5" s="12" t="s">
        <v>834</v>
      </c>
      <c r="H5" s="13" t="s">
        <v>835</v>
      </c>
      <c r="I5" s="14" t="s">
        <v>836</v>
      </c>
      <c r="J5" s="15" t="s">
        <v>837</v>
      </c>
      <c r="K5" s="16" t="s">
        <v>838</v>
      </c>
      <c r="L5" s="17" t="s">
        <v>836</v>
      </c>
      <c r="M5" s="24" t="s">
        <v>839</v>
      </c>
      <c r="N5" s="25" t="s">
        <v>840</v>
      </c>
      <c r="O5" s="26" t="s">
        <v>841</v>
      </c>
      <c r="P5" s="27" t="s">
        <v>842</v>
      </c>
      <c r="Q5" s="28" t="s">
        <v>843</v>
      </c>
      <c r="R5" s="29" t="s">
        <v>844</v>
      </c>
      <c r="S5" s="24">
        <v>100</v>
      </c>
      <c r="T5" s="25">
        <v>0</v>
      </c>
      <c r="U5" s="26">
        <v>0</v>
      </c>
      <c r="V5" s="27">
        <v>0</v>
      </c>
      <c r="W5" s="28">
        <v>0</v>
      </c>
      <c r="X5" s="29">
        <v>0</v>
      </c>
      <c r="Y5" s="29"/>
      <c r="Z5" s="29"/>
      <c r="AA5" s="29"/>
      <c r="AB5" s="29"/>
      <c r="AC5" s="29"/>
      <c r="AD5" s="29"/>
      <c r="AE5" s="30"/>
      <c r="AF5" s="31"/>
      <c r="AG5" s="32"/>
      <c r="AH5" s="33"/>
      <c r="AI5" s="86"/>
    </row>
    <row r="6" spans="1:35" x14ac:dyDescent="0.5">
      <c r="A6" s="150">
        <f>IF(COUNTIF(Tabla_OM[[#This Row],[Puntos 1]:[Puntos 6]],"&gt;0")=0,"",COUNTIF(Tabla_OM[[#This Row],[Puntos 1]:[Puntos 6]],"&gt;0"))</f>
        <v>1</v>
      </c>
      <c r="B6" s="150">
        <f>IF(Tabla_OM[[#This Row],[NRC]]="","",COUNTA(Tabla_OM[[#This Row],[Respuesta 1]:[Respuesta 6]])-Tabla_OM[[#This Row],[NRC]])</f>
        <v>5</v>
      </c>
      <c r="D6" s="23"/>
      <c r="E6" s="77" t="s">
        <v>845</v>
      </c>
      <c r="F6" s="76" t="s">
        <v>846</v>
      </c>
      <c r="G6" s="12" t="s">
        <v>847</v>
      </c>
      <c r="H6" s="13" t="s">
        <v>848</v>
      </c>
      <c r="I6" s="14" t="s">
        <v>849</v>
      </c>
      <c r="J6" s="15" t="s">
        <v>850</v>
      </c>
      <c r="K6" s="16" t="s">
        <v>851</v>
      </c>
      <c r="L6" s="17" t="s">
        <v>852</v>
      </c>
      <c r="M6" s="24" t="s">
        <v>839</v>
      </c>
      <c r="N6" s="25" t="s">
        <v>840</v>
      </c>
      <c r="O6" s="26" t="s">
        <v>841</v>
      </c>
      <c r="P6" s="27" t="s">
        <v>842</v>
      </c>
      <c r="Q6" s="28" t="s">
        <v>843</v>
      </c>
      <c r="R6" s="29" t="s">
        <v>844</v>
      </c>
      <c r="S6" s="24">
        <v>100</v>
      </c>
      <c r="T6" s="25"/>
      <c r="U6" s="26"/>
      <c r="V6" s="27"/>
      <c r="W6" s="28"/>
      <c r="X6" s="29"/>
      <c r="Y6" s="29"/>
      <c r="Z6" s="29"/>
      <c r="AA6" s="29"/>
      <c r="AB6" s="29"/>
      <c r="AC6" s="29"/>
      <c r="AD6" s="29"/>
      <c r="AE6" s="30"/>
      <c r="AF6" s="31"/>
      <c r="AG6" s="32"/>
      <c r="AH6" s="33"/>
      <c r="AI6" s="86"/>
    </row>
    <row r="7" spans="1:35" ht="35" x14ac:dyDescent="0.5">
      <c r="A7" s="150">
        <f>IF(COUNTIF(Tabla_OM[[#This Row],[Puntos 1]:[Puntos 6]],"&gt;0")=0,"",COUNTIF(Tabla_OM[[#This Row],[Puntos 1]:[Puntos 6]],"&gt;0"))</f>
        <v>1</v>
      </c>
      <c r="B7" s="150">
        <f>IF(Tabla_OM[[#This Row],[NRC]]="","",COUNTA(Tabla_OM[[#This Row],[Respuesta 1]:[Respuesta 6]])-Tabla_OM[[#This Row],[NRC]])</f>
        <v>2</v>
      </c>
      <c r="D7" s="23"/>
      <c r="E7" s="77" t="s">
        <v>853</v>
      </c>
      <c r="F7" s="76" t="s">
        <v>854</v>
      </c>
      <c r="G7" s="12" t="s">
        <v>855</v>
      </c>
      <c r="H7" s="13" t="s">
        <v>856</v>
      </c>
      <c r="I7" s="14" t="s">
        <v>857</v>
      </c>
      <c r="J7" s="15"/>
      <c r="K7" s="16"/>
      <c r="L7" s="17"/>
      <c r="M7" s="24" t="s">
        <v>839</v>
      </c>
      <c r="N7" s="25" t="s">
        <v>840</v>
      </c>
      <c r="O7" s="26" t="s">
        <v>841</v>
      </c>
      <c r="P7" s="27"/>
      <c r="Q7" s="28"/>
      <c r="R7" s="29"/>
      <c r="S7" s="24">
        <v>100</v>
      </c>
      <c r="T7" s="25"/>
      <c r="U7" s="26"/>
      <c r="V7" s="27"/>
      <c r="W7" s="28"/>
      <c r="X7" s="29"/>
      <c r="Y7" s="29"/>
      <c r="Z7" s="29"/>
      <c r="AA7" s="29"/>
      <c r="AB7" s="29"/>
      <c r="AC7" s="29"/>
      <c r="AD7" s="29"/>
      <c r="AE7" s="30"/>
      <c r="AF7" s="31"/>
      <c r="AG7" s="32"/>
      <c r="AH7" s="33"/>
      <c r="AI7" s="86"/>
    </row>
  </sheetData>
  <sheetProtection algorithmName="SHA-512" hashValue="xDcBKiWKRHDy790EfY8tPTtXY2L/w+ozYjrWULIVz+T77i4369VCsNiGbyuUkHHjV+aVfemvGIVUsatGr6Njfg==" saltValue="Lae1QVfoiAnYdbocf3yiEg=="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COUNTA(Tabla_O2[Enunciado])</f>
        <v>2</v>
      </c>
    </row>
    <row r="3" spans="1:35" ht="50.1" customHeight="1" x14ac:dyDescent="0.5">
      <c r="A3" s="52" t="str">
        <f ca="1">"N. "&amp;INDIRECT("Z_BP_05_"&amp;IDIOMA)</f>
        <v>N. Right Answer</v>
      </c>
      <c r="B3" s="52" t="str">
        <f ca="1">"N. "&amp;INDIRECT("Z_BP_06_"&amp;IDIOMA)</f>
        <v>N. Wrong Answer</v>
      </c>
      <c r="C3" s="78"/>
      <c r="D3" s="21"/>
      <c r="E3" s="22" t="str">
        <f ca="1">INDIRECT("Z_BP_04_"&amp;IDIOMA)</f>
        <v>Description</v>
      </c>
      <c r="F3" s="36" t="str">
        <f ca="1">"FastTest PlugIn - V"&amp;MID(Version,5,7)&amp;UPPER(INICIO!E24)&amp;"
"&amp;INDIRECT("Z_BP_03_"&amp;IDIOMA)</f>
        <v>FastTest PlugIn - V7.8  - MULTIPLE CHOICE +A
Question statement</v>
      </c>
      <c r="G3" s="67" t="str">
        <f ca="1">INDIRECT("Z_BP_19_"&amp;IDIOMA)&amp;" 1"</f>
        <v>Answer 1</v>
      </c>
      <c r="H3" s="68" t="str">
        <f ca="1">INDIRECT("Z_BP_19_"&amp;IDIOMA)&amp;" 2"</f>
        <v>Answer 2</v>
      </c>
      <c r="I3" s="69" t="str">
        <f ca="1">INDIRECT("Z_BP_19_"&amp;IDIOMA)&amp;" 3"</f>
        <v>Answer 3</v>
      </c>
      <c r="J3" s="70" t="str">
        <f ca="1">INDIRECT("Z_BP_19_"&amp;IDIOMA)&amp;" 4"</f>
        <v>Answer 4</v>
      </c>
      <c r="K3" s="71" t="str">
        <f ca="1">INDIRECT("Z_BP_19_"&amp;IDIOMA)&amp;" 5"</f>
        <v>Answer 5</v>
      </c>
      <c r="L3" s="72" t="str">
        <f ca="1">INDIRECT("Z_BP_19_"&amp;IDIOMA)&amp;" 6"</f>
        <v>Answer 6</v>
      </c>
      <c r="M3" s="73" t="str">
        <f ca="1">INDIRECT("Z_BP_07_"&amp;IDIOMA)&amp;" 1"</f>
        <v>Feedback 1</v>
      </c>
      <c r="N3" s="74" t="str">
        <f ca="1">INDIRECT("Z_BP_07_"&amp;IDIOMA)&amp;" 2"</f>
        <v>Feedback 2</v>
      </c>
      <c r="O3" s="75" t="str">
        <f ca="1">INDIRECT("Z_BP_07_"&amp;IDIOMA)&amp;" 3"</f>
        <v>Feedback 3</v>
      </c>
      <c r="P3" s="79" t="str">
        <f ca="1">INDIRECT("Z_BP_07_"&amp;IDIOMA)&amp;" 4"</f>
        <v>Feedback 4</v>
      </c>
      <c r="Q3" s="80" t="str">
        <f ca="1">INDIRECT("Z_BP_07_"&amp;IDIOMA)&amp;" 5"</f>
        <v>Feedback 5</v>
      </c>
      <c r="R3" s="81" t="str">
        <f ca="1">INDIRECT("Z_BP_07_"&amp;IDIOMA)&amp;" 6"</f>
        <v>Feedback 6</v>
      </c>
      <c r="S3" s="73" t="str">
        <f ca="1">INDIRECT("Z_BP_09_"&amp;IDIOMA)&amp;" 1"</f>
        <v>Points 1</v>
      </c>
      <c r="T3" s="74" t="str">
        <f ca="1">INDIRECT("Z_BP_09_"&amp;IDIOMA)&amp;" 2"</f>
        <v>Points 2</v>
      </c>
      <c r="U3" s="75" t="str">
        <f ca="1">INDIRECT("Z_BP_09_"&amp;IDIOMA)&amp;" 3"</f>
        <v>Points 3</v>
      </c>
      <c r="V3" s="79" t="str">
        <f ca="1">INDIRECT("Z_BP_09_"&amp;IDIOMA)&amp;" 4"</f>
        <v>Points 4</v>
      </c>
      <c r="W3" s="80" t="str">
        <f ca="1">INDIRECT("Z_BP_09_"&amp;IDIOMA)&amp;" 5"</f>
        <v>Points 5</v>
      </c>
      <c r="X3" s="81" t="str">
        <f ca="1">INDIRECT("Z_BP_09_"&amp;IDIOMA)&amp;" 6"</f>
        <v>Points 6</v>
      </c>
      <c r="Y3" s="200" t="str">
        <f ca="1">INDIRECT("Z_BP_33_"&amp; IDIOMA)</f>
        <v>No. max. Answers</v>
      </c>
      <c r="Z3" s="81"/>
      <c r="AA3" s="81"/>
      <c r="AB3" s="81"/>
      <c r="AC3" s="81"/>
      <c r="AD3" s="81"/>
      <c r="AE3" s="82" t="str">
        <f ca="1">INDIRECT("Z_BP_08_"&amp;IDIOMA)&amp;" 1"</f>
        <v>Hint 1</v>
      </c>
      <c r="AF3" s="83" t="str">
        <f ca="1">INDIRECT("Z_BP_08_"&amp;IDIOMA)&amp;" 2"</f>
        <v>Hint 2</v>
      </c>
      <c r="AG3" s="84" t="str">
        <f ca="1">INDIRECT("Z_BP_08_"&amp;IDIOMA)&amp;" 3"</f>
        <v>Hint 3</v>
      </c>
      <c r="AH3" s="85" t="str">
        <f ca="1">INDIRECT("Z_BP_08_"&amp;IDIOMA)&amp;" 4"</f>
        <v>Hint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IF(COUNTIF(Tabla_O2[[#This Row],[Puntos 1]:[Puntos 6]],"&gt;0")=0,"",COUNTIF(Tabla_O2[[#This Row],[Puntos 1]:[Puntos 6]],"&gt;0"))</f>
        <v>2</v>
      </c>
      <c r="B5" s="150">
        <f>IF(Tabla_O2[[#This Row],[NRC]]="","",COUNTA(Tabla_O2[[#This Row],[Respuesta 1]:[Respuesta 6]])-Tabla_O2[[#This Row],[NRC]])</f>
        <v>4</v>
      </c>
      <c r="D5" s="23"/>
      <c r="E5" s="77" t="s">
        <v>832</v>
      </c>
      <c r="F5" s="76" t="s">
        <v>833</v>
      </c>
      <c r="G5" s="12" t="s">
        <v>834</v>
      </c>
      <c r="H5" s="13" t="s">
        <v>858</v>
      </c>
      <c r="I5" s="14" t="s">
        <v>836</v>
      </c>
      <c r="J5" s="15" t="s">
        <v>837</v>
      </c>
      <c r="K5" s="16" t="s">
        <v>838</v>
      </c>
      <c r="L5" s="17" t="s">
        <v>836</v>
      </c>
      <c r="M5" s="24" t="s">
        <v>839</v>
      </c>
      <c r="N5" s="25" t="s">
        <v>839</v>
      </c>
      <c r="O5" s="26" t="s">
        <v>840</v>
      </c>
      <c r="P5" s="27" t="s">
        <v>840</v>
      </c>
      <c r="Q5" s="28" t="s">
        <v>841</v>
      </c>
      <c r="R5" s="29" t="s">
        <v>842</v>
      </c>
      <c r="S5" s="24">
        <v>50</v>
      </c>
      <c r="T5" s="25">
        <v>50</v>
      </c>
      <c r="U5" s="26"/>
      <c r="V5" s="27"/>
      <c r="W5" s="28"/>
      <c r="X5" s="29"/>
      <c r="Y5" s="199"/>
      <c r="Z5" s="29"/>
      <c r="AA5" s="29"/>
      <c r="AB5" s="29"/>
      <c r="AC5" s="29"/>
      <c r="AD5" s="29"/>
      <c r="AE5" s="30"/>
      <c r="AF5" s="31"/>
      <c r="AG5" s="32"/>
      <c r="AH5" s="33"/>
      <c r="AI5" s="86"/>
    </row>
    <row r="6" spans="1:35" x14ac:dyDescent="0.5">
      <c r="A6" s="150">
        <f>IF(COUNTIF(Tabla_O2[[#This Row],[Puntos 1]:[Puntos 6]],"&gt;0")=0,"",COUNTIF(Tabla_O2[[#This Row],[Puntos 1]:[Puntos 6]],"&gt;0"))</f>
        <v>2</v>
      </c>
      <c r="B6" s="150">
        <f>IF(Tabla_O2[[#This Row],[NRC]]="","",COUNTA(Tabla_O2[[#This Row],[Respuesta 1]:[Respuesta 6]])-Tabla_O2[[#This Row],[NRC]])</f>
        <v>4</v>
      </c>
      <c r="D6" s="23"/>
      <c r="E6" s="77" t="s">
        <v>845</v>
      </c>
      <c r="F6" s="151" t="s">
        <v>846</v>
      </c>
      <c r="G6" s="12" t="s">
        <v>847</v>
      </c>
      <c r="H6" s="13" t="s">
        <v>859</v>
      </c>
      <c r="I6" s="14" t="s">
        <v>848</v>
      </c>
      <c r="J6" s="15" t="s">
        <v>849</v>
      </c>
      <c r="K6" s="16" t="s">
        <v>860</v>
      </c>
      <c r="L6" s="17" t="s">
        <v>861</v>
      </c>
      <c r="M6" s="24" t="s">
        <v>839</v>
      </c>
      <c r="N6" s="25" t="s">
        <v>839</v>
      </c>
      <c r="O6" s="26" t="s">
        <v>840</v>
      </c>
      <c r="P6" s="27" t="s">
        <v>840</v>
      </c>
      <c r="Q6" s="28" t="s">
        <v>841</v>
      </c>
      <c r="R6" s="29" t="s">
        <v>842</v>
      </c>
      <c r="S6" s="24">
        <v>50</v>
      </c>
      <c r="T6" s="25">
        <v>50</v>
      </c>
      <c r="U6" s="26"/>
      <c r="V6" s="27"/>
      <c r="W6" s="28"/>
      <c r="X6" s="29"/>
      <c r="Y6" s="199"/>
      <c r="Z6" s="29"/>
      <c r="AA6" s="29"/>
      <c r="AB6" s="29"/>
      <c r="AC6" s="29"/>
      <c r="AD6" s="29"/>
      <c r="AE6" s="30"/>
      <c r="AF6" s="31"/>
      <c r="AG6" s="32"/>
      <c r="AH6" s="33"/>
      <c r="AI6" s="86"/>
    </row>
  </sheetData>
  <sheetProtection algorithmName="SHA-512" hashValue="XHioHYO4w7H6D4UjkloIl3toVVji9q96EtgNmMpMhcH2pjwuZokb8tLhLj+MxQ80EwyAeJVZ4fORD2w+H5MsKQ==" saltValue="vDCuAoKFjmQOg1TcvmlUng=="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COUNTA(Tabla_VF[Enunciado])</f>
        <v>2</v>
      </c>
    </row>
    <row r="3" spans="1:35" ht="50.1" customHeight="1" x14ac:dyDescent="0.5">
      <c r="A3" s="171"/>
      <c r="B3" s="171"/>
      <c r="C3" s="78"/>
      <c r="D3" s="21"/>
      <c r="E3" s="22" t="str">
        <f ca="1">INDIRECT("Z_BP_04_"&amp;IDIOMA)</f>
        <v>Description</v>
      </c>
      <c r="F3" s="36" t="str">
        <f ca="1">"FastTest PlugIn - V"&amp;MID(Version,5,7)&amp;UPPER(INICIO!G24)&amp;"
"&amp;INDIRECT("Z_BP_03_"&amp;IDIOMA)</f>
        <v>FastTest PlugIn - V7.8  - TRUE/FALSE
Question statement</v>
      </c>
      <c r="G3" s="67" t="str">
        <f ca="1">'Datos OM'!G3</f>
        <v>Answer 1</v>
      </c>
      <c r="H3" s="74" t="str">
        <f ca="1">'Datos OM'!M3</f>
        <v>Feedback 1</v>
      </c>
      <c r="I3" s="75" t="str">
        <f ca="1">'Datos OM'!N3</f>
        <v>Feedback 2</v>
      </c>
      <c r="J3" s="79"/>
      <c r="K3" s="80"/>
      <c r="L3" s="81"/>
      <c r="M3" s="73"/>
      <c r="N3" s="74"/>
      <c r="O3" s="75"/>
      <c r="P3" s="79"/>
      <c r="Q3" s="80"/>
      <c r="R3" s="81"/>
      <c r="S3" s="81"/>
      <c r="T3" s="81"/>
      <c r="U3" s="81"/>
      <c r="V3" s="81"/>
      <c r="W3" s="81"/>
      <c r="X3" s="81"/>
      <c r="Y3" s="81"/>
      <c r="Z3" s="81"/>
      <c r="AA3" s="81"/>
      <c r="AB3" s="81"/>
      <c r="AC3" s="81"/>
      <c r="AD3" s="81"/>
      <c r="AE3" s="82" t="str">
        <f ca="1">'Datos OM'!AE3</f>
        <v>Hint 1</v>
      </c>
      <c r="AF3" s="83" t="str">
        <f ca="1">'Datos OM'!AF3</f>
        <v>Hint 2</v>
      </c>
      <c r="AG3" s="84" t="str">
        <f ca="1">'Datos OM'!AG3</f>
        <v>Hint 3</v>
      </c>
      <c r="AH3" s="85" t="str">
        <f ca="1">'Datos OM'!AH3</f>
        <v>Hint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t="s">
        <v>832</v>
      </c>
      <c r="F5" s="76" t="s">
        <v>862</v>
      </c>
      <c r="G5" s="12" t="s">
        <v>189</v>
      </c>
      <c r="H5" s="25" t="s">
        <v>863</v>
      </c>
      <c r="I5" s="26" t="s">
        <v>864</v>
      </c>
      <c r="J5" s="27" t="s">
        <v>865</v>
      </c>
      <c r="K5" s="28" t="s">
        <v>866</v>
      </c>
      <c r="L5" s="29"/>
      <c r="M5" s="24"/>
      <c r="N5" s="25"/>
      <c r="O5" s="26"/>
      <c r="P5" s="27"/>
      <c r="Q5" s="28"/>
      <c r="R5" s="29"/>
      <c r="S5" s="29"/>
      <c r="T5" s="29"/>
      <c r="U5" s="29"/>
      <c r="V5" s="29"/>
      <c r="W5" s="29"/>
      <c r="X5" s="29"/>
      <c r="Y5" s="29"/>
      <c r="Z5" s="29"/>
      <c r="AA5" s="29"/>
      <c r="AB5" s="29"/>
      <c r="AC5" s="29"/>
      <c r="AD5" s="29"/>
      <c r="AE5" s="30" t="s">
        <v>866</v>
      </c>
      <c r="AF5" s="31" t="s">
        <v>867</v>
      </c>
      <c r="AG5" s="32" t="s">
        <v>868</v>
      </c>
      <c r="AH5" s="33" t="s">
        <v>869</v>
      </c>
      <c r="AI5" s="66"/>
    </row>
    <row r="6" spans="1:35" x14ac:dyDescent="0.5">
      <c r="A6" s="172"/>
      <c r="B6" s="172"/>
      <c r="D6" s="23"/>
      <c r="E6" s="77" t="s">
        <v>870</v>
      </c>
      <c r="F6" s="76" t="s">
        <v>871</v>
      </c>
      <c r="G6" s="12" t="s">
        <v>196</v>
      </c>
      <c r="H6" s="25" t="s">
        <v>872</v>
      </c>
      <c r="I6" s="26" t="s">
        <v>864</v>
      </c>
      <c r="J6" s="27" t="s">
        <v>873</v>
      </c>
      <c r="K6" s="28"/>
      <c r="L6" s="29"/>
      <c r="M6" s="24"/>
      <c r="N6" s="25"/>
      <c r="O6" s="26"/>
      <c r="P6" s="27"/>
      <c r="Q6" s="28"/>
      <c r="R6" s="29"/>
      <c r="S6" s="29"/>
      <c r="T6" s="29"/>
      <c r="U6" s="29"/>
      <c r="V6" s="29"/>
      <c r="W6" s="29"/>
      <c r="X6" s="29"/>
      <c r="Y6" s="29"/>
      <c r="Z6" s="29"/>
      <c r="AA6" s="29"/>
      <c r="AB6" s="29"/>
      <c r="AC6" s="29"/>
      <c r="AD6" s="29"/>
      <c r="AE6" s="30" t="s">
        <v>866</v>
      </c>
      <c r="AF6" s="31" t="s">
        <v>867</v>
      </c>
      <c r="AG6" s="32" t="s">
        <v>868</v>
      </c>
      <c r="AH6" s="33" t="s">
        <v>869</v>
      </c>
      <c r="AI6" s="66"/>
    </row>
  </sheetData>
  <sheetProtection algorithmName="SHA-512" hashValue="s5ZPL8x9zBAAIcBfCOxSj5ZAyYufEuLzZlw2dZjHNQ8vzMN6thV7Hd+k26Eq/H/MRzXHPOTLFELuoemh6py/zw==" saltValue="OCqzJuFIGjhuEtS9B02aLQ=="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COUNTA(Tabla_EM[Enunciado])</f>
        <v>3</v>
      </c>
    </row>
    <row r="3" spans="1:35" ht="50.1" customHeight="1" x14ac:dyDescent="0.5">
      <c r="A3" s="61" t="str">
        <f ca="1">INDIRECT("Z_BP_17_"&amp;IDIOMA)</f>
        <v xml:space="preserve">Pair </v>
      </c>
      <c r="B3" s="1"/>
      <c r="C3" s="18"/>
      <c r="D3" s="18"/>
      <c r="E3" s="22" t="str">
        <f ca="1">'Datos OM'!E3</f>
        <v>Description</v>
      </c>
      <c r="F3" s="36" t="str">
        <f ca="1">"FastTest PlugIn - V"&amp;MID(Version,5,7)&amp;UPPER(INICIO!I24)&amp;"
"&amp;INDIRECT("Z_BP_03_"&amp;IDIOMA)</f>
        <v>FastTest PlugIn - V7.8  - MATCHING
Question statement</v>
      </c>
      <c r="G3" s="103" t="str">
        <f ca="1">$A$3&amp;" 01.1"</f>
        <v>Pair  01.1</v>
      </c>
      <c r="H3" s="103" t="str">
        <f ca="1">$A$3&amp;" 01.2"</f>
        <v>Pair  01.2</v>
      </c>
      <c r="I3" s="105" t="str">
        <f ca="1">$A$3&amp;" 02.1"</f>
        <v>Pair  02.1</v>
      </c>
      <c r="J3" s="105" t="str">
        <f ca="1">$A$3&amp;" 02.2"</f>
        <v>Pair  02.2</v>
      </c>
      <c r="K3" s="132" t="str">
        <f ca="1">$A$3&amp;" 03.1"</f>
        <v>Pair  03.1</v>
      </c>
      <c r="L3" s="132" t="str">
        <f ca="1">$A$3&amp;" 03.2"</f>
        <v>Pair  03.2</v>
      </c>
      <c r="M3" s="107" t="str">
        <f ca="1">$A$3&amp;" 04.1"</f>
        <v>Pair  04.1</v>
      </c>
      <c r="N3" s="107" t="str">
        <f ca="1">$A$3&amp;" 04.2"</f>
        <v>Pair  04.2</v>
      </c>
      <c r="O3" s="109" t="str">
        <f ca="1">$A$3&amp;" 05.1"</f>
        <v>Pair  05.1</v>
      </c>
      <c r="P3" s="109" t="str">
        <f ca="1">$A$3&amp;" 05.2"</f>
        <v>Pair  05.2</v>
      </c>
      <c r="Q3" s="111" t="str">
        <f ca="1">$A$3&amp;" 06.1"</f>
        <v>Pair  06.1</v>
      </c>
      <c r="R3" s="111" t="str">
        <f ca="1">$A$3&amp;" 06.2"</f>
        <v>Pair  06.2</v>
      </c>
      <c r="S3" s="103" t="str">
        <f ca="1">$A$3&amp;" 07.1"</f>
        <v>Pair  07.1</v>
      </c>
      <c r="T3" s="103" t="str">
        <f ca="1">$A$3&amp;" 07.2"</f>
        <v>Pair  07.2</v>
      </c>
      <c r="U3" s="105" t="str">
        <f ca="1">$A$3&amp;" 08.1"</f>
        <v>Pair  08.1</v>
      </c>
      <c r="V3" s="105" t="str">
        <f ca="1">$A$3&amp;" 08.2"</f>
        <v>Pair  08.2</v>
      </c>
      <c r="W3" s="132" t="str">
        <f ca="1">$A$3&amp;" 09.1"</f>
        <v>Pair  09.1</v>
      </c>
      <c r="X3" s="132" t="str">
        <f ca="1">$A$3&amp;" 09.2"</f>
        <v>Pair  09.2</v>
      </c>
      <c r="Y3" s="107" t="str">
        <f ca="1">$A$3&amp;" 10.1"</f>
        <v>Pair  10.1</v>
      </c>
      <c r="Z3" s="107" t="str">
        <f ca="1">$A$3&amp;" 10.2"</f>
        <v>Pair  10.2</v>
      </c>
      <c r="AA3" s="109" t="str">
        <f ca="1">$A$3&amp;" 11.1"</f>
        <v>Pair  11.1</v>
      </c>
      <c r="AB3" s="109" t="str">
        <f ca="1">$A$3&amp;" 11.2"</f>
        <v>Pair  11.2</v>
      </c>
      <c r="AC3" s="111" t="str">
        <f ca="1">$A$3&amp;" 12.1"</f>
        <v>Pair  12.1</v>
      </c>
      <c r="AD3" s="111" t="str">
        <f ca="1">$A$3&amp;" 12.1"</f>
        <v>Pair  12.1</v>
      </c>
      <c r="AE3" s="113" t="str">
        <f ca="1">'Datos OM'!AE3</f>
        <v>Hint 1</v>
      </c>
      <c r="AF3" s="114" t="str">
        <f ca="1">'Datos OM'!AF3</f>
        <v>Hint 2</v>
      </c>
      <c r="AG3" s="115" t="str">
        <f ca="1">'Datos OM'!AG3</f>
        <v>Hint 3</v>
      </c>
      <c r="AH3" s="116" t="str">
        <f ca="1">'Datos OM'!AH3</f>
        <v>Hint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f>IF(COUNTA(Tabla_EM[[#This Row],[Pareja  01.1]:[Pareja  12.14]])/2=0,"",COUNTA(Tabla_EM[[#This Row],[Pareja  01.1]:[Pareja  12.14]])/2)</f>
        <v>12</v>
      </c>
      <c r="B5" s="173"/>
      <c r="D5" s="23"/>
      <c r="E5" s="77" t="s">
        <v>874</v>
      </c>
      <c r="F5" s="76" t="s">
        <v>875</v>
      </c>
      <c r="G5" s="87" t="s">
        <v>876</v>
      </c>
      <c r="H5" s="87" t="s">
        <v>877</v>
      </c>
      <c r="I5" s="88" t="s">
        <v>878</v>
      </c>
      <c r="J5" s="88" t="s">
        <v>879</v>
      </c>
      <c r="K5" s="89" t="s">
        <v>880</v>
      </c>
      <c r="L5" s="89" t="s">
        <v>881</v>
      </c>
      <c r="M5" s="90" t="s">
        <v>882</v>
      </c>
      <c r="N5" s="90" t="s">
        <v>883</v>
      </c>
      <c r="O5" s="91" t="s">
        <v>884</v>
      </c>
      <c r="P5" s="91" t="s">
        <v>885</v>
      </c>
      <c r="Q5" s="92" t="s">
        <v>886</v>
      </c>
      <c r="R5" s="92" t="s">
        <v>887</v>
      </c>
      <c r="S5" s="87" t="s">
        <v>888</v>
      </c>
      <c r="T5" s="87" t="s">
        <v>889</v>
      </c>
      <c r="U5" s="88" t="s">
        <v>890</v>
      </c>
      <c r="V5" s="88" t="s">
        <v>891</v>
      </c>
      <c r="W5" s="89" t="s">
        <v>892</v>
      </c>
      <c r="X5" s="89" t="s">
        <v>893</v>
      </c>
      <c r="Y5" s="90" t="s">
        <v>894</v>
      </c>
      <c r="Z5" s="90" t="s">
        <v>895</v>
      </c>
      <c r="AA5" s="91" t="s">
        <v>896</v>
      </c>
      <c r="AB5" s="91" t="s">
        <v>897</v>
      </c>
      <c r="AC5" s="92" t="s">
        <v>898</v>
      </c>
      <c r="AD5" s="92" t="s">
        <v>899</v>
      </c>
      <c r="AE5" s="30" t="s">
        <v>866</v>
      </c>
      <c r="AF5" s="31" t="s">
        <v>867</v>
      </c>
      <c r="AG5" s="32" t="s">
        <v>868</v>
      </c>
      <c r="AH5" s="33" t="s">
        <v>869</v>
      </c>
      <c r="AI5" s="86"/>
    </row>
    <row r="6" spans="1:35" x14ac:dyDescent="0.5">
      <c r="A6" s="62">
        <f>IF(COUNTA(Tabla_EM[[#This Row],[Pareja  01.1]:[Pareja  12.14]])/2=0,"",COUNTA(Tabla_EM[[#This Row],[Pareja  01.1]:[Pareja  12.14]])/2)</f>
        <v>12</v>
      </c>
      <c r="B6" s="243"/>
      <c r="D6" s="23"/>
      <c r="E6" s="77" t="s">
        <v>900</v>
      </c>
      <c r="F6" s="76" t="s">
        <v>901</v>
      </c>
      <c r="G6" s="87">
        <v>1</v>
      </c>
      <c r="H6" s="87" t="s">
        <v>902</v>
      </c>
      <c r="I6" s="88">
        <v>2</v>
      </c>
      <c r="J6" s="88" t="s">
        <v>903</v>
      </c>
      <c r="K6" s="89">
        <v>3</v>
      </c>
      <c r="L6" s="89" t="s">
        <v>904</v>
      </c>
      <c r="M6" s="90">
        <v>4</v>
      </c>
      <c r="N6" s="90" t="s">
        <v>905</v>
      </c>
      <c r="O6" s="91">
        <v>5</v>
      </c>
      <c r="P6" s="91" t="s">
        <v>906</v>
      </c>
      <c r="Q6" s="92">
        <v>6</v>
      </c>
      <c r="R6" s="92" t="s">
        <v>907</v>
      </c>
      <c r="S6" s="87">
        <v>7</v>
      </c>
      <c r="T6" s="87" t="s">
        <v>908</v>
      </c>
      <c r="U6" s="88">
        <v>8</v>
      </c>
      <c r="V6" s="88" t="s">
        <v>909</v>
      </c>
      <c r="W6" s="89">
        <v>9</v>
      </c>
      <c r="X6" s="89" t="s">
        <v>910</v>
      </c>
      <c r="Y6" s="90">
        <v>10</v>
      </c>
      <c r="Z6" s="90" t="s">
        <v>911</v>
      </c>
      <c r="AA6" s="91">
        <v>11</v>
      </c>
      <c r="AB6" s="91" t="s">
        <v>912</v>
      </c>
      <c r="AC6" s="92">
        <v>12</v>
      </c>
      <c r="AD6" s="92" t="s">
        <v>913</v>
      </c>
      <c r="AE6" s="93" t="s">
        <v>866</v>
      </c>
      <c r="AF6" s="94" t="s">
        <v>867</v>
      </c>
      <c r="AG6" s="95" t="s">
        <v>868</v>
      </c>
      <c r="AH6" s="96" t="s">
        <v>869</v>
      </c>
      <c r="AI6" s="86"/>
    </row>
    <row r="7" spans="1:35" ht="143.35" x14ac:dyDescent="0.5">
      <c r="A7" s="62">
        <f>IF(COUNTA(Tabla_EM[[#This Row],[Pareja  01.1]:[Pareja  12.14]])/2=0,"",COUNTA(Tabla_EM[[#This Row],[Pareja  01.1]:[Pareja  12.14]])/2)</f>
        <v>12</v>
      </c>
      <c r="B7" s="243"/>
      <c r="D7" s="23"/>
      <c r="E7" s="77" t="s">
        <v>914</v>
      </c>
      <c r="F7" s="76" t="s">
        <v>901</v>
      </c>
      <c r="G7" s="87" t="s">
        <v>915</v>
      </c>
      <c r="H7" s="87" t="s">
        <v>886</v>
      </c>
      <c r="I7" s="88" t="s">
        <v>916</v>
      </c>
      <c r="J7" s="88" t="s">
        <v>917</v>
      </c>
      <c r="K7" s="89" t="s">
        <v>918</v>
      </c>
      <c r="L7" s="89" t="s">
        <v>919</v>
      </c>
      <c r="M7" s="90" t="s">
        <v>920</v>
      </c>
      <c r="N7" s="90" t="s">
        <v>887</v>
      </c>
      <c r="O7" s="91" t="s">
        <v>921</v>
      </c>
      <c r="P7" s="91" t="s">
        <v>921</v>
      </c>
      <c r="Q7" s="92" t="s">
        <v>921</v>
      </c>
      <c r="R7" s="92" t="s">
        <v>921</v>
      </c>
      <c r="S7" s="87" t="s">
        <v>921</v>
      </c>
      <c r="T7" s="87" t="s">
        <v>921</v>
      </c>
      <c r="U7" s="88" t="s">
        <v>921</v>
      </c>
      <c r="V7" s="88" t="s">
        <v>921</v>
      </c>
      <c r="W7" s="89" t="s">
        <v>921</v>
      </c>
      <c r="X7" s="89" t="s">
        <v>921</v>
      </c>
      <c r="Y7" s="90" t="s">
        <v>921</v>
      </c>
      <c r="Z7" s="90" t="s">
        <v>921</v>
      </c>
      <c r="AA7" s="91" t="s">
        <v>921</v>
      </c>
      <c r="AB7" s="91" t="s">
        <v>921</v>
      </c>
      <c r="AC7" s="92" t="s">
        <v>921</v>
      </c>
      <c r="AD7" s="92" t="s">
        <v>921</v>
      </c>
      <c r="AE7" s="93" t="s">
        <v>866</v>
      </c>
      <c r="AF7" s="94" t="s">
        <v>867</v>
      </c>
      <c r="AG7" s="95" t="s">
        <v>868</v>
      </c>
      <c r="AH7" s="96" t="s">
        <v>869</v>
      </c>
      <c r="AI7" s="86"/>
    </row>
  </sheetData>
  <sheetProtection algorithmName="SHA-512" hashValue="Mmczwuw7UfSjHC4HKz855PtdJuSqtPDMCjEEB4xNcwu2oEM0WpyEdlMrMizSzzz+dvWLsstMLQkX9UVevclZtg==" saltValue="nhCLZBMI+3MAqFnyHRwzVQ=="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D5" sqref="D5:AI6"/>
    </sheetView>
  </sheetViews>
  <sheetFormatPr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COUNTA(Tabl_RC[Enunciado])</f>
        <v>2</v>
      </c>
    </row>
    <row r="3" spans="1:35" ht="50.1" customHeight="1" x14ac:dyDescent="0.5">
      <c r="A3" s="61" t="str">
        <f ca="1">INDIRECT("Z_BP_19_"&amp;IDIOMA)</f>
        <v>Answer</v>
      </c>
      <c r="B3" s="3"/>
      <c r="C3" s="18"/>
      <c r="D3" s="53" t="str">
        <f ca="1">INDIRECT("Z_BP_18_"&amp;IDIOMA)</f>
        <v>Capitalization</v>
      </c>
      <c r="E3" s="22" t="str">
        <f ca="1">'Datos OM'!E3</f>
        <v>Description</v>
      </c>
      <c r="F3" s="36" t="str">
        <f ca="1">"FastTest PlugIn - V"&amp;MID(Version,5,7)&amp;UPPER(INICIO!K24)&amp;"
"&amp;INDIRECT("Z_BP_03_"&amp;IDIOMA)</f>
        <v>FastTest PlugIn - V7.8  - SHORT ANSWER
Question statement</v>
      </c>
      <c r="G3" s="103" t="str">
        <f ca="1">$A$3&amp;" 01"</f>
        <v>Answer 01</v>
      </c>
      <c r="H3" s="104" t="str">
        <f ca="1">INDIRECT("Z_BP_09_"&amp;IDIOMA)&amp;" 01"</f>
        <v>Points 01</v>
      </c>
      <c r="I3" s="104" t="str">
        <f ca="1">INDIRECT("Z_BP_07_"&amp;IDIOMA)&amp;" 01"</f>
        <v>Feedback 01</v>
      </c>
      <c r="J3" s="105" t="str">
        <f ca="1">$A$3&amp;" 02"</f>
        <v>Answer 02</v>
      </c>
      <c r="K3" s="106" t="str">
        <f ca="1">INDIRECT("Z_BP_09_"&amp;IDIOMA)&amp;" 02"</f>
        <v>Points 02</v>
      </c>
      <c r="L3" s="106" t="str">
        <f ca="1">INDIRECT("Z_BP_07_"&amp;IDIOMA)&amp;" 02"</f>
        <v>Feedback 02</v>
      </c>
      <c r="M3" s="105" t="str">
        <f ca="1">$A$3&amp;" 03"</f>
        <v>Answer 03</v>
      </c>
      <c r="N3" s="106" t="str">
        <f ca="1">INDIRECT("Z_BP_09_"&amp;IDIOMA)&amp;" 03"</f>
        <v>Points 03</v>
      </c>
      <c r="O3" s="106" t="str">
        <f ca="1">INDIRECT("Z_BP_07_"&amp;IDIOMA)&amp;" 03"</f>
        <v>Feedback 03</v>
      </c>
      <c r="P3" s="107" t="str">
        <f ca="1">$A$3&amp;" 04"</f>
        <v>Answer 04</v>
      </c>
      <c r="Q3" s="108" t="str">
        <f ca="1">INDIRECT("Z_BP_09_"&amp;IDIOMA)&amp;" 04"</f>
        <v>Points 04</v>
      </c>
      <c r="R3" s="108" t="str">
        <f ca="1">INDIRECT("Z_BP_07_"&amp;IDIOMA)&amp;" 04"</f>
        <v>Feedback 04</v>
      </c>
      <c r="S3" s="109" t="str">
        <f ca="1">$A$3&amp;" 05"</f>
        <v>Answer 05</v>
      </c>
      <c r="T3" s="110" t="str">
        <f ca="1">INDIRECT("Z_BP_09_"&amp;IDIOMA)&amp;" 05"</f>
        <v>Points 05</v>
      </c>
      <c r="U3" s="110" t="str">
        <f ca="1">INDIRECT("Z_BP_07_"&amp;IDIOMA)&amp;" 05"</f>
        <v>Feedback 05</v>
      </c>
      <c r="V3" s="111" t="str">
        <f ca="1">$A$3&amp;" 06"</f>
        <v>Answer 06</v>
      </c>
      <c r="W3" s="112" t="str">
        <f ca="1">INDIRECT("Z_BP_09_"&amp;IDIOMA)&amp;" 06"</f>
        <v>Points 06</v>
      </c>
      <c r="X3" s="112" t="str">
        <f ca="1">INDIRECT("Z_BP_07_"&amp;IDIOMA)&amp;" 06"</f>
        <v>Feedback 06</v>
      </c>
      <c r="Y3" s="103" t="str">
        <f ca="1">$A$3&amp;" 07"</f>
        <v>Answer 07</v>
      </c>
      <c r="Z3" s="104" t="str">
        <f ca="1">INDIRECT("Z_BP_09_"&amp;IDIOMA)&amp;" 07"</f>
        <v>Points 07</v>
      </c>
      <c r="AA3" s="104" t="str">
        <f ca="1">INDIRECT("Z_BP_07_"&amp;IDIOMA)&amp;" 07"</f>
        <v>Feedback 07</v>
      </c>
      <c r="AB3" s="105" t="str">
        <f ca="1">$A$3&amp;" 08"</f>
        <v>Answer 08</v>
      </c>
      <c r="AC3" s="106" t="str">
        <f ca="1">INDIRECT("Z_BP_09_"&amp;IDIOMA)&amp;" 08"</f>
        <v>Points 08</v>
      </c>
      <c r="AD3" s="106" t="str">
        <f ca="1">INDIRECT("Z_BP_07_"&amp;IDIOMA)&amp;" 08"</f>
        <v>Feedback 08</v>
      </c>
      <c r="AE3" s="113" t="str">
        <f ca="1">'Datos OM'!AE3</f>
        <v>Hint 1</v>
      </c>
      <c r="AF3" s="114" t="str">
        <f ca="1">'Datos OM'!AF3</f>
        <v>Hint 2</v>
      </c>
      <c r="AG3" s="115" t="str">
        <f ca="1">'Datos OM'!AG3</f>
        <v>Hint 3</v>
      </c>
      <c r="AH3" s="116" t="str">
        <f ca="1">'Datos OM'!AH3</f>
        <v>Hint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6</v>
      </c>
      <c r="B5" s="19"/>
      <c r="C5" s="20"/>
      <c r="D5" s="97">
        <v>1</v>
      </c>
      <c r="E5" s="77" t="s">
        <v>922</v>
      </c>
      <c r="F5" s="76" t="s">
        <v>923</v>
      </c>
      <c r="G5" s="87" t="s">
        <v>924</v>
      </c>
      <c r="H5" s="98">
        <v>100</v>
      </c>
      <c r="I5" s="98" t="s">
        <v>925</v>
      </c>
      <c r="J5" s="88" t="s">
        <v>926</v>
      </c>
      <c r="K5" s="99">
        <v>100</v>
      </c>
      <c r="L5" s="99" t="s">
        <v>925</v>
      </c>
      <c r="M5" s="88" t="s">
        <v>927</v>
      </c>
      <c r="N5" s="99">
        <v>100</v>
      </c>
      <c r="O5" s="99" t="s">
        <v>925</v>
      </c>
      <c r="P5" s="90" t="s">
        <v>928</v>
      </c>
      <c r="Q5" s="100">
        <v>100</v>
      </c>
      <c r="R5" s="100" t="s">
        <v>925</v>
      </c>
      <c r="S5" s="91" t="s">
        <v>929</v>
      </c>
      <c r="T5" s="101">
        <v>100</v>
      </c>
      <c r="U5" s="101" t="s">
        <v>925</v>
      </c>
      <c r="V5" s="92" t="s">
        <v>930</v>
      </c>
      <c r="W5" s="102">
        <v>100</v>
      </c>
      <c r="X5" s="102" t="s">
        <v>925</v>
      </c>
      <c r="Y5" s="87"/>
      <c r="Z5" s="98"/>
      <c r="AA5" s="98"/>
      <c r="AB5" s="88"/>
      <c r="AC5" s="99"/>
      <c r="AD5" s="99"/>
      <c r="AE5" s="93" t="s">
        <v>931</v>
      </c>
      <c r="AF5" s="94" t="s">
        <v>932</v>
      </c>
      <c r="AG5" s="95" t="s">
        <v>933</v>
      </c>
      <c r="AH5" s="96" t="s">
        <v>934</v>
      </c>
      <c r="AI5" s="86"/>
    </row>
    <row r="6" spans="1:35" x14ac:dyDescent="0.5">
      <c r="A6"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3</v>
      </c>
      <c r="B6" s="19"/>
      <c r="C6" s="20"/>
      <c r="D6" s="97">
        <v>0</v>
      </c>
      <c r="E6" s="77" t="s">
        <v>935</v>
      </c>
      <c r="F6" s="76" t="s">
        <v>936</v>
      </c>
      <c r="G6" s="87" t="s">
        <v>937</v>
      </c>
      <c r="H6" s="98">
        <v>100</v>
      </c>
      <c r="I6" s="98" t="s">
        <v>925</v>
      </c>
      <c r="J6" s="88" t="s">
        <v>938</v>
      </c>
      <c r="K6" s="99">
        <v>50</v>
      </c>
      <c r="L6" s="99" t="s">
        <v>939</v>
      </c>
      <c r="M6" s="88" t="s">
        <v>940</v>
      </c>
      <c r="N6" s="99">
        <v>100</v>
      </c>
      <c r="O6" s="99" t="s">
        <v>941</v>
      </c>
      <c r="P6" s="90"/>
      <c r="Q6" s="100"/>
      <c r="R6" s="100"/>
      <c r="S6" s="91"/>
      <c r="T6" s="101"/>
      <c r="U6" s="101"/>
      <c r="V6" s="92"/>
      <c r="W6" s="102"/>
      <c r="X6" s="102"/>
      <c r="Y6" s="87"/>
      <c r="Z6" s="98"/>
      <c r="AA6" s="98"/>
      <c r="AB6" s="88"/>
      <c r="AC6" s="99"/>
      <c r="AD6" s="99"/>
      <c r="AE6" s="93" t="s">
        <v>931</v>
      </c>
      <c r="AF6" s="94" t="s">
        <v>932</v>
      </c>
      <c r="AG6" s="95"/>
      <c r="AH6" s="96"/>
      <c r="AI6" s="86"/>
    </row>
  </sheetData>
  <sheetProtection algorithmName="SHA-512" hashValue="GjG5KGJEaM+kVJa1x387Lrk99gOkQD78eEw52mAJfWI9/YgJbl8LfS73u/8zjfrz95ryUdbi3oQ+slQvtSuVtw==" saltValue="t6Uufg2zZTbXGW8JbB0zUA=="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COUNTA(Tabla_PP[Enunciado])</f>
        <v>2</v>
      </c>
    </row>
    <row r="3" spans="1:35" ht="50.1" customHeight="1" x14ac:dyDescent="0.5">
      <c r="A3" s="64" t="str">
        <f ca="1">INDIRECT("Z_BP_20_"&amp;IDIOMA)</f>
        <v xml:space="preserve">Word </v>
      </c>
      <c r="B3" s="1"/>
      <c r="C3" s="18"/>
      <c r="D3" s="18"/>
      <c r="E3" s="11" t="str">
        <f ca="1">'Datos OM'!E3</f>
        <v>Description</v>
      </c>
      <c r="F3" s="36" t="str">
        <f ca="1">"FastTest PlugIn - V"&amp;MID(Version,5,7)&amp;UPPER(INICIO!M24)&amp;"
"&amp;INDIRECT("Z_BP_03_"&amp;IDIOMA)</f>
        <v>FastTest PlugIn - V7.8  - MISSING WORD
Question statement</v>
      </c>
      <c r="G3" s="117" t="str">
        <f ca="1">INDIRECT("Z_BP_23_"&amp;IDIOMA)&amp;"
"&amp;H3</f>
        <v>Group 
Word  01</v>
      </c>
      <c r="H3" s="117" t="str">
        <f ca="1">INDIRECT("Z_BP_20_"&amp;IDIOMA)&amp;" 01"</f>
        <v>Word  01</v>
      </c>
      <c r="I3" s="118" t="str">
        <f ca="1">INDIRECT("Z_BP_23_"&amp;IDIOMA)&amp;"
"&amp;J3</f>
        <v>Group 
Word  02</v>
      </c>
      <c r="J3" s="118" t="str">
        <f ca="1">INDIRECT("Z_BP_20_"&amp;IDIOMA)&amp;" 02"</f>
        <v>Word  02</v>
      </c>
      <c r="K3" s="117" t="str">
        <f ca="1">INDIRECT("Z_BP_23_"&amp;IDIOMA)&amp;"
"&amp;L3</f>
        <v>Group 
Word  03</v>
      </c>
      <c r="L3" s="117" t="str">
        <f ca="1">INDIRECT("Z_BP_20_"&amp;IDIOMA)&amp;" 03"</f>
        <v>Word  03</v>
      </c>
      <c r="M3" s="118" t="str">
        <f ca="1">INDIRECT("Z_BP_23_"&amp;IDIOMA)&amp;"
"&amp;N3</f>
        <v>Group 
Word  04</v>
      </c>
      <c r="N3" s="118" t="str">
        <f ca="1">INDIRECT("Z_BP_20_"&amp;IDIOMA)&amp;" 04"</f>
        <v>Word  04</v>
      </c>
      <c r="O3" s="117" t="str">
        <f ca="1">INDIRECT("Z_BP_23_"&amp;IDIOMA)&amp;"
"&amp;P3</f>
        <v>Group 
Word  05</v>
      </c>
      <c r="P3" s="117" t="str">
        <f ca="1">INDIRECT("Z_BP_20_"&amp;IDIOMA)&amp;" 05"</f>
        <v>Word  05</v>
      </c>
      <c r="Q3" s="118" t="str">
        <f ca="1">INDIRECT("Z_BP_23_"&amp;IDIOMA)&amp;"
"&amp;R3</f>
        <v>Group 
Word  06</v>
      </c>
      <c r="R3" s="118" t="str">
        <f ca="1">INDIRECT("Z_BP_20_"&amp;IDIOMA)&amp;" 06"</f>
        <v>Word  06</v>
      </c>
      <c r="S3" s="117" t="str">
        <f ca="1">INDIRECT("Z_BP_23_"&amp;IDIOMA)&amp;"
"&amp;T3</f>
        <v>Group 
Word  07</v>
      </c>
      <c r="T3" s="117" t="str">
        <f ca="1">INDIRECT("Z_BP_20_"&amp;IDIOMA)&amp;" 07"</f>
        <v>Word  07</v>
      </c>
      <c r="U3" s="118" t="str">
        <f ca="1">INDIRECT("Z_BP_23_"&amp;IDIOMA)&amp;"
"&amp;V3</f>
        <v>Group 
Word  08</v>
      </c>
      <c r="V3" s="118" t="str">
        <f ca="1">INDIRECT("Z_BP_20_"&amp;IDIOMA)&amp;" 08"</f>
        <v>Word  08</v>
      </c>
      <c r="W3" s="117" t="str">
        <f ca="1">INDIRECT("Z_BP_23_"&amp;IDIOMA)&amp;"
"&amp;X3</f>
        <v>Group 
Word  09</v>
      </c>
      <c r="X3" s="117" t="str">
        <f ca="1">INDIRECT("Z_BP_20_"&amp;IDIOMA)&amp;" 09"</f>
        <v>Word  09</v>
      </c>
      <c r="Y3" s="118" t="str">
        <f ca="1">INDIRECT("Z_BP_23_"&amp;IDIOMA)&amp;"
"&amp;Z3</f>
        <v>Group 
Word  10</v>
      </c>
      <c r="Z3" s="118" t="str">
        <f ca="1">INDIRECT("Z_BP_20_"&amp;IDIOMA)&amp;" 10"</f>
        <v>Word  10</v>
      </c>
      <c r="AA3" s="117" t="str">
        <f ca="1">INDIRECT("Z_BP_23_"&amp;IDIOMA)&amp;"
"&amp;AB3</f>
        <v>Group 
Word  11</v>
      </c>
      <c r="AB3" s="117" t="str">
        <f ca="1">INDIRECT("Z_BP_20_"&amp;IDIOMA)&amp;" 11"</f>
        <v>Word  11</v>
      </c>
      <c r="AC3" s="118" t="str">
        <f ca="1">INDIRECT("Z_BP_23_"&amp;IDIOMA)&amp;"
"&amp;AD3</f>
        <v>Group 
Word  12</v>
      </c>
      <c r="AD3" s="118" t="str">
        <f ca="1">INDIRECT("Z_BP_20_"&amp;IDIOMA)&amp;" 12"</f>
        <v>Word  12</v>
      </c>
      <c r="AE3" s="113" t="str">
        <f ca="1">'Datos OM'!AE3</f>
        <v>Hint 1</v>
      </c>
      <c r="AF3" s="114" t="str">
        <f ca="1">'Datos OM'!AF3</f>
        <v>Hint 2</v>
      </c>
      <c r="AG3" s="115" t="str">
        <f ca="1">'Datos OM'!AG3</f>
        <v>Hint 3</v>
      </c>
      <c r="AH3" s="116" t="str">
        <f ca="1">'Datos OM'!AH3</f>
        <v>Hint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f>IF(COUNTA(Tabla_PP[[#This Row],[GP 01]:[P 12]])/2=0,"",COUNTA(Tabla_PP[[#This Row],[GP 01]:[P 12]])/2)</f>
        <v>12</v>
      </c>
      <c r="B5" s="11"/>
      <c r="C5" s="152"/>
      <c r="D5" s="152"/>
      <c r="E5" s="119" t="s">
        <v>942</v>
      </c>
      <c r="F5" s="151" t="s">
        <v>943</v>
      </c>
      <c r="G5" s="12">
        <v>1</v>
      </c>
      <c r="H5" s="12" t="s">
        <v>944</v>
      </c>
      <c r="I5" s="13">
        <v>1</v>
      </c>
      <c r="J5" s="13" t="s">
        <v>945</v>
      </c>
      <c r="K5" s="12">
        <v>1</v>
      </c>
      <c r="L5" s="12" t="s">
        <v>946</v>
      </c>
      <c r="M5" s="13">
        <v>1</v>
      </c>
      <c r="N5" s="13" t="s">
        <v>947</v>
      </c>
      <c r="O5" s="12">
        <v>2</v>
      </c>
      <c r="P5" s="12" t="s">
        <v>948</v>
      </c>
      <c r="Q5" s="13">
        <v>2</v>
      </c>
      <c r="R5" s="13" t="s">
        <v>949</v>
      </c>
      <c r="S5" s="12">
        <v>2</v>
      </c>
      <c r="T5" s="12" t="s">
        <v>950</v>
      </c>
      <c r="U5" s="13">
        <v>3</v>
      </c>
      <c r="V5" s="13" t="s">
        <v>951</v>
      </c>
      <c r="W5" s="12">
        <v>3</v>
      </c>
      <c r="X5" s="12" t="s">
        <v>952</v>
      </c>
      <c r="Y5" s="13">
        <v>3</v>
      </c>
      <c r="Z5" s="13" t="s">
        <v>953</v>
      </c>
      <c r="AA5" s="12">
        <v>3</v>
      </c>
      <c r="AB5" s="12" t="s">
        <v>954</v>
      </c>
      <c r="AC5" s="13">
        <v>3</v>
      </c>
      <c r="AD5" s="13" t="s">
        <v>955</v>
      </c>
      <c r="AE5" s="153" t="s">
        <v>931</v>
      </c>
      <c r="AF5" s="154" t="s">
        <v>932</v>
      </c>
      <c r="AG5" s="155" t="s">
        <v>956</v>
      </c>
      <c r="AH5" s="156" t="s">
        <v>957</v>
      </c>
      <c r="AI5" s="86"/>
    </row>
    <row r="6" spans="1:35" ht="23.35" x14ac:dyDescent="0.5">
      <c r="A6" s="62">
        <f>IF(COUNTA(Tabla_PP[[#This Row],[GP 01]:[P 12]])/2=0,"",COUNTA(Tabla_PP[[#This Row],[GP 01]:[P 12]])/2)</f>
        <v>12</v>
      </c>
      <c r="B6" s="11"/>
      <c r="C6" s="152"/>
      <c r="D6" s="152"/>
      <c r="E6" s="119" t="s">
        <v>942</v>
      </c>
      <c r="F6" s="151" t="s">
        <v>958</v>
      </c>
      <c r="G6" s="12">
        <v>1</v>
      </c>
      <c r="H6" s="12" t="s">
        <v>944</v>
      </c>
      <c r="I6" s="13">
        <v>1</v>
      </c>
      <c r="J6" s="13" t="s">
        <v>945</v>
      </c>
      <c r="K6" s="12">
        <v>1</v>
      </c>
      <c r="L6" s="12" t="s">
        <v>946</v>
      </c>
      <c r="M6" s="13">
        <v>1</v>
      </c>
      <c r="N6" s="13" t="s">
        <v>947</v>
      </c>
      <c r="O6" s="12">
        <v>2</v>
      </c>
      <c r="P6" s="12" t="s">
        <v>948</v>
      </c>
      <c r="Q6" s="13">
        <v>2</v>
      </c>
      <c r="R6" s="13" t="s">
        <v>949</v>
      </c>
      <c r="S6" s="12">
        <v>2</v>
      </c>
      <c r="T6" s="12" t="s">
        <v>950</v>
      </c>
      <c r="U6" s="13">
        <v>3</v>
      </c>
      <c r="V6" s="13" t="s">
        <v>951</v>
      </c>
      <c r="W6" s="12">
        <v>3</v>
      </c>
      <c r="X6" s="12" t="s">
        <v>952</v>
      </c>
      <c r="Y6" s="13">
        <v>3</v>
      </c>
      <c r="Z6" s="13" t="s">
        <v>953</v>
      </c>
      <c r="AA6" s="12">
        <v>3</v>
      </c>
      <c r="AB6" s="12" t="s">
        <v>954</v>
      </c>
      <c r="AC6" s="13">
        <v>3</v>
      </c>
      <c r="AD6" s="13" t="s">
        <v>955</v>
      </c>
      <c r="AE6" s="153" t="s">
        <v>931</v>
      </c>
      <c r="AF6" s="154" t="s">
        <v>932</v>
      </c>
      <c r="AG6" s="155" t="s">
        <v>956</v>
      </c>
      <c r="AH6" s="156" t="s">
        <v>957</v>
      </c>
      <c r="AI6" s="86"/>
    </row>
  </sheetData>
  <sheetProtection algorithmName="SHA-512" hashValue="q9s/6o2jIDuV+iYV/xjM4Cuff/s4UDKJNzjYMGMZz52zHKuky1hsXynPzGh5wuLus1olYqnP63rSABj/5fwTUA==" saltValue="cybCVNG9puXGIH+c0MuEGw==" spinCount="100000" sheet="1" objects="1" scenarios="1"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6"/>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6"/>
    </sheetView>
  </sheetViews>
  <sheetFormatPr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SA                         MW                         ES                         CL                                 DICTIONARY</v>
      </c>
      <c r="G2" s="34">
        <f>COUNTA(Tabla_EN[FastTest PlugIn - ENSAYO
Enunciado de la pregunta])</f>
        <v>2</v>
      </c>
    </row>
    <row r="3" spans="1:35" ht="50.1" customHeight="1" x14ac:dyDescent="0.5">
      <c r="A3" s="174"/>
      <c r="B3" s="1"/>
      <c r="C3" s="18"/>
      <c r="D3" s="18"/>
      <c r="E3" s="11" t="str">
        <f ca="1">'Datos OM'!E3</f>
        <v>Description</v>
      </c>
      <c r="F3" s="36" t="str">
        <f ca="1">"FastTest PlugIn - V"&amp;MID(Version,5,7)&amp;UPPER(INICIO!O24)&amp;"
"&amp;INDIRECT("Z_BP_03_"&amp;IDIOMA)</f>
        <v>FastTest PlugIn - V7.8  - ESSAY
Question statement</v>
      </c>
      <c r="G3" s="55" t="str">
        <f ca="1">INDIRECT("Z_BP_24_"&amp;IDIOMA)&amp;"
"&amp;H3</f>
        <v>Response format
Require text</v>
      </c>
      <c r="H3" s="74" t="str">
        <f ca="1">INDIRECT("Z_BP_25_"&amp;IDIOMA)</f>
        <v>Require text</v>
      </c>
      <c r="I3" s="69" t="str">
        <f ca="1">INDIRECT("Z_BP_26_"&amp;IDIOMA)</f>
        <v>Input box size</v>
      </c>
      <c r="J3" s="56" t="str">
        <f ca="1">INDIRECT("Z_BP_27_"&amp;IDIOMA)</f>
        <v>Allow attachments</v>
      </c>
      <c r="K3" s="57" t="str">
        <f ca="1">INDIRECT("Z_BP_28_"&amp;IDIOMA)</f>
        <v>Require attachments</v>
      </c>
      <c r="L3" s="58" t="str">
        <f ca="1">INDIRECT("Z_BP_29_"&amp;IDIOMA)</f>
        <v>Response template</v>
      </c>
      <c r="M3" s="55" t="str">
        <f ca="1">INDIRECT("Z_BP_30_"&amp;IDIOMA)</f>
        <v>Information for graders</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ht="23.35" x14ac:dyDescent="0.5">
      <c r="A5" s="175"/>
      <c r="B5" s="176"/>
      <c r="C5" s="152"/>
      <c r="D5" s="152"/>
      <c r="E5" s="119" t="s">
        <v>959</v>
      </c>
      <c r="F5" s="151" t="s">
        <v>960</v>
      </c>
      <c r="G5" s="128" t="s">
        <v>961</v>
      </c>
      <c r="H5" s="25"/>
      <c r="I5" s="14">
        <v>5</v>
      </c>
      <c r="J5" s="129" t="s">
        <v>962</v>
      </c>
      <c r="K5" s="130">
        <v>1</v>
      </c>
      <c r="L5" s="131" t="s">
        <v>963</v>
      </c>
      <c r="M5" s="128" t="s">
        <v>964</v>
      </c>
      <c r="N5" s="157"/>
      <c r="O5" s="158"/>
      <c r="P5" s="158"/>
      <c r="Q5" s="157"/>
      <c r="R5" s="157"/>
      <c r="S5" s="158"/>
      <c r="T5" s="158"/>
      <c r="U5" s="157"/>
      <c r="V5" s="157"/>
      <c r="W5" s="158"/>
      <c r="X5" s="158"/>
      <c r="Y5" s="157"/>
      <c r="Z5" s="157"/>
      <c r="AA5" s="158"/>
      <c r="AB5" s="158"/>
      <c r="AC5" s="157"/>
      <c r="AD5" s="157"/>
      <c r="AE5" s="159"/>
      <c r="AF5" s="160"/>
      <c r="AG5" s="161"/>
      <c r="AH5" s="162"/>
      <c r="AI5" s="86"/>
    </row>
    <row r="6" spans="1:35" ht="23.35" x14ac:dyDescent="0.5">
      <c r="A6" s="175"/>
      <c r="B6" s="176"/>
      <c r="C6" s="152"/>
      <c r="D6" s="152"/>
      <c r="E6" s="119" t="s">
        <v>965</v>
      </c>
      <c r="F6" s="151" t="s">
        <v>966</v>
      </c>
      <c r="G6" s="128" t="s">
        <v>967</v>
      </c>
      <c r="H6" s="25" t="s">
        <v>968</v>
      </c>
      <c r="I6" s="14">
        <v>15</v>
      </c>
      <c r="J6" s="129" t="s">
        <v>962</v>
      </c>
      <c r="K6" s="130" t="s">
        <v>969</v>
      </c>
      <c r="L6" s="131" t="s">
        <v>963</v>
      </c>
      <c r="M6" s="128" t="s">
        <v>964</v>
      </c>
      <c r="N6" s="157"/>
      <c r="O6" s="158"/>
      <c r="P6" s="158"/>
      <c r="Q6" s="157"/>
      <c r="R6" s="157"/>
      <c r="S6" s="158"/>
      <c r="T6" s="158"/>
      <c r="U6" s="157"/>
      <c r="V6" s="157"/>
      <c r="W6" s="158"/>
      <c r="X6" s="158"/>
      <c r="Y6" s="157"/>
      <c r="Z6" s="157"/>
      <c r="AA6" s="158"/>
      <c r="AB6" s="158"/>
      <c r="AC6" s="157"/>
      <c r="AD6" s="157"/>
      <c r="AE6" s="159"/>
      <c r="AF6" s="160"/>
      <c r="AG6" s="161"/>
      <c r="AH6" s="162"/>
      <c r="AI6" s="86"/>
    </row>
  </sheetData>
  <sheetProtection algorithmName="SHA-512" hashValue="JxgCs+G3EEwK9EqpfVj2svZMtqjKaxeZPfCNjoaNlb6fWerjgQnsPwKnMVh6cnJy0ZsfQd1LLG7rW416ROaqig==" saltValue="BArQLDR5OfpVdFqW7RpFKg==" spinCount="100000" sheet="1" objects="1" scenarios="1" selectLockedCells="1" autoFilter="0"/>
  <conditionalFormatting sqref="G5:K6">
    <cfRule type="cellIs" dxfId="4" priority="3" operator="equal">
      <formula>""</formula>
    </cfRule>
    <cfRule type="cellIs" dxfId="3"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7"/>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7"/>
    </sheetView>
  </sheetViews>
  <sheetFormatPr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MC 1A                  MC +A                    TF                         MA                                HOME</v>
      </c>
      <c r="G1" s="51" t="str">
        <f ca="1">INDIRECT("Z_BP_01_"&amp;IDIOMA)</f>
        <v>Saved Questions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SA                         MW                         ES                         CL                                 DICTIONARY</v>
      </c>
      <c r="G2" s="34">
        <f>COUNTA(Tabla_CL[Enunciado])</f>
        <v>3</v>
      </c>
    </row>
    <row r="3" spans="1:35" ht="50.1" customHeight="1" x14ac:dyDescent="0.5">
      <c r="A3" s="276"/>
      <c r="B3" s="276"/>
      <c r="C3" s="18"/>
      <c r="D3" s="18"/>
      <c r="E3" s="22" t="str">
        <f ca="1">'Datos OM'!E3</f>
        <v>Description</v>
      </c>
      <c r="F3" s="36" t="str">
        <f ca="1">"FastTest PlugIn - V"&amp;MID(Version,5,7)&amp;UPPER(INICIO!Q24)&amp;"
"&amp;INDIRECT("Z_BP_03_"&amp;IDIOMA)</f>
        <v>FastTest PlugIn - V7.8  - CLOZE
Question statement</v>
      </c>
      <c r="G3" s="133" t="str">
        <f ca="1">INDIRECT("Z_BP_32_"&amp;IDIOMA)</f>
        <v>Width SA</v>
      </c>
      <c r="H3" s="74"/>
      <c r="I3" s="69" t="str">
        <f ca="1">MID(G3,1,SEARCH(" ",G3,1))&amp;AI3</f>
        <v>Width Imagen</v>
      </c>
      <c r="J3" s="56"/>
      <c r="K3" s="57"/>
      <c r="L3" s="58"/>
      <c r="M3" s="55"/>
      <c r="N3" s="121"/>
      <c r="O3" s="120"/>
      <c r="P3" s="120"/>
      <c r="Q3" s="121"/>
      <c r="R3" s="121"/>
      <c r="S3" s="120"/>
      <c r="T3" s="120"/>
      <c r="U3" s="121"/>
      <c r="V3" s="121"/>
      <c r="W3" s="120"/>
      <c r="X3" s="120"/>
      <c r="Y3" s="121"/>
      <c r="Z3" s="121"/>
      <c r="AA3" s="120"/>
      <c r="AB3" s="120"/>
      <c r="AC3" s="121"/>
      <c r="AD3" s="121"/>
      <c r="AE3" s="113" t="str">
        <f ca="1">'Datos OM'!AE3</f>
        <v>Hint 1</v>
      </c>
      <c r="AF3" s="114" t="str">
        <f ca="1">'Datos OM'!AF3</f>
        <v>Hint 2</v>
      </c>
      <c r="AG3" s="115" t="str">
        <f ca="1">'Datos OM'!AG3</f>
        <v>Hint 3</v>
      </c>
      <c r="AH3" s="116" t="str">
        <f ca="1">'Datos OM'!AH3</f>
        <v>Hint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ht="81.7" x14ac:dyDescent="0.5">
      <c r="A5" s="175"/>
      <c r="B5" s="176"/>
      <c r="C5" s="152"/>
      <c r="D5" s="152"/>
      <c r="E5" s="77" t="s">
        <v>970</v>
      </c>
      <c r="F5" s="151" t="s">
        <v>971</v>
      </c>
      <c r="G5" s="163">
        <v>5</v>
      </c>
      <c r="H5" s="25">
        <v>50</v>
      </c>
      <c r="I5" s="14"/>
      <c r="J5" s="129"/>
      <c r="K5" s="130"/>
      <c r="L5" s="131"/>
      <c r="M5" s="128"/>
      <c r="N5" s="157"/>
      <c r="O5" s="158"/>
      <c r="P5" s="158"/>
      <c r="Q5" s="157"/>
      <c r="R5" s="157"/>
      <c r="S5" s="158"/>
      <c r="T5" s="158"/>
      <c r="U5" s="157"/>
      <c r="V5" s="157"/>
      <c r="W5" s="158"/>
      <c r="X5" s="158"/>
      <c r="Y5" s="157"/>
      <c r="Z5" s="157"/>
      <c r="AA5" s="158"/>
      <c r="AB5" s="158"/>
      <c r="AC5" s="157"/>
      <c r="AD5" s="157"/>
      <c r="AE5" s="164"/>
      <c r="AF5" s="165"/>
      <c r="AG5" s="166"/>
      <c r="AH5" s="167"/>
      <c r="AI5" s="86"/>
    </row>
    <row r="6" spans="1:35" ht="81.7" x14ac:dyDescent="0.5">
      <c r="A6" s="175"/>
      <c r="B6" s="176"/>
      <c r="C6" s="152"/>
      <c r="D6" s="152"/>
      <c r="E6" s="77" t="s">
        <v>972</v>
      </c>
      <c r="F6" s="151" t="s">
        <v>973</v>
      </c>
      <c r="G6" s="163">
        <v>15</v>
      </c>
      <c r="H6" s="25">
        <v>200</v>
      </c>
      <c r="I6" s="14"/>
      <c r="J6" s="129"/>
      <c r="K6" s="130"/>
      <c r="L6" s="131"/>
      <c r="M6" s="128"/>
      <c r="N6" s="157"/>
      <c r="O6" s="158"/>
      <c r="P6" s="158"/>
      <c r="Q6" s="157"/>
      <c r="R6" s="157"/>
      <c r="S6" s="158"/>
      <c r="T6" s="158"/>
      <c r="U6" s="157"/>
      <c r="V6" s="157"/>
      <c r="W6" s="158"/>
      <c r="X6" s="158"/>
      <c r="Y6" s="157"/>
      <c r="Z6" s="157"/>
      <c r="AA6" s="158"/>
      <c r="AB6" s="158"/>
      <c r="AC6" s="157"/>
      <c r="AD6" s="157"/>
      <c r="AE6" s="164" t="s">
        <v>921</v>
      </c>
      <c r="AF6" s="165" t="s">
        <v>921</v>
      </c>
      <c r="AG6" s="166" t="s">
        <v>921</v>
      </c>
      <c r="AH6" s="167" t="s">
        <v>921</v>
      </c>
      <c r="AI6" s="86" t="s">
        <v>921</v>
      </c>
    </row>
    <row r="7" spans="1:35" ht="23.35" x14ac:dyDescent="0.5">
      <c r="A7" s="175"/>
      <c r="B7" s="176"/>
      <c r="C7" s="152"/>
      <c r="D7" s="152"/>
      <c r="E7" s="77" t="s">
        <v>974</v>
      </c>
      <c r="F7" s="151" t="s">
        <v>975</v>
      </c>
      <c r="G7" s="163">
        <v>15</v>
      </c>
      <c r="H7" s="25"/>
      <c r="I7" s="14"/>
      <c r="J7" s="129"/>
      <c r="K7" s="130"/>
      <c r="L7" s="131"/>
      <c r="M7" s="128"/>
      <c r="N7" s="157"/>
      <c r="O7" s="158"/>
      <c r="P7" s="158"/>
      <c r="Q7" s="157"/>
      <c r="R7" s="157"/>
      <c r="S7" s="158"/>
      <c r="T7" s="158"/>
      <c r="U7" s="157"/>
      <c r="V7" s="157"/>
      <c r="W7" s="158"/>
      <c r="X7" s="158"/>
      <c r="Y7" s="157"/>
      <c r="Z7" s="157"/>
      <c r="AA7" s="158"/>
      <c r="AB7" s="158"/>
      <c r="AC7" s="157"/>
      <c r="AD7" s="157"/>
      <c r="AE7" s="164"/>
      <c r="AF7" s="165"/>
      <c r="AG7" s="166"/>
      <c r="AH7" s="167"/>
      <c r="AI7" s="86"/>
    </row>
  </sheetData>
  <sheetProtection algorithmName="SHA-512" hashValue="agMVMEDegok9+6tCOZxqE049Dy64pua8BaNuTpL6oqpVBX3W9OvJwyuIVpxNrbWvtKFj1mJ4TLZdcpizPDNLnw==" saltValue="gTRA/ii0q9sQ1PB4ghaYeA=="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Alazne Huerta Gómez de Merodio</cp:lastModifiedBy>
  <cp:lastPrinted>2021-05-08T09:25:40Z</cp:lastPrinted>
  <dcterms:created xsi:type="dcterms:W3CDTF">2021-02-15T22:57:22Z</dcterms:created>
  <dcterms:modified xsi:type="dcterms:W3CDTF">2023-12-28T15:30:55Z</dcterms:modified>
  <cp:category>DOCENCIA</cp:category>
</cp:coreProperties>
</file>