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milag\Desktop\0.TEMPORALES\MV\APLICACIONES PROBLEMAS\2. PORTICOS\"/>
    </mc:Choice>
  </mc:AlternateContent>
  <xr:revisionPtr revIDLastSave="0" documentId="13_ncr:1_{FA098AF1-AE99-4BF8-BA80-317138B0C443}" xr6:coauthVersionLast="47" xr6:coauthVersionMax="47" xr10:uidLastSave="{00000000-0000-0000-0000-000000000000}"/>
  <bookViews>
    <workbookView xWindow="-93" yWindow="-93" windowWidth="19386" windowHeight="12266" tabRatio="774" xr2:uid="{00000000-000D-0000-FFFF-FFFF00000000}"/>
  </bookViews>
  <sheets>
    <sheet name="INSTRUCCIONES" sheetId="45" r:id="rId1"/>
    <sheet name="PROBLEMA" sheetId="1" r:id="rId2"/>
    <sheet name="DATOS FIJOS" sheetId="39" r:id="rId3"/>
    <sheet name="DATOS VARIABLES" sheetId="47" r:id="rId4"/>
    <sheet name="OCULTOS" sheetId="2" state="veryHidden" r:id="rId5"/>
    <sheet name="RESULTADOS - FTP" sheetId="41" r:id="rId6"/>
    <sheet name="ENLACES DIAGRAMAS" sheetId="42" state="veryHidden" r:id="rId7"/>
    <sheet name="ENLACES FIGURAS" sheetId="6" state="veryHidden" r:id="rId8"/>
  </sheets>
  <functionGroups builtInGroupCount="19"/>
  <definedNames>
    <definedName name="_Abajo" hidden="1">"↓"</definedName>
    <definedName name="_Abajo_q" hidden="1">"⇊"</definedName>
    <definedName name="_Abajo_q_b" comment="↘↘↖↖⇖⇘" hidden="1">"⇘"</definedName>
    <definedName name="_Ap_Empotramiento" hidden="1">"/ / / /"</definedName>
    <definedName name="_Ap_Ruedas" hidden="1">"●●"</definedName>
    <definedName name="_Ap_Triangulo" hidden="1">"▲"</definedName>
    <definedName name="_Arriba" hidden="1">"↑"</definedName>
    <definedName name="_Arriba_q" hidden="1">"⇈"</definedName>
    <definedName name="_Arriba_q_b" comment="↘↘↖↖⇖⇘" hidden="1">"⇖"</definedName>
    <definedName name="_Articulacion" hidden="1">"●"</definedName>
    <definedName name="_Cotas" hidden="1">"◀───────▶"</definedName>
    <definedName name="_Dcha_q" hidden="1">"⇉"</definedName>
    <definedName name="_Derecha" hidden="1">"→"</definedName>
    <definedName name="_xlnm._FilterDatabase" localSheetId="6">'ENLACES DIAGRAMAS'!$A$1:$I$86</definedName>
    <definedName name="_Flector_Neg" hidden="1">"↺ ↻"</definedName>
    <definedName name="_Flector_Pos" hidden="1">"↻ ↺"</definedName>
    <definedName name="_Izda_q" hidden="1">"⇇"</definedName>
    <definedName name="_Izquierda" hidden="1">"←"</definedName>
    <definedName name="_M_Neg" hidden="1">"↺"</definedName>
    <definedName name="_M_Pos" hidden="1">"↻"</definedName>
    <definedName name="_NO" hidden="1">OCULTOS!$G$4</definedName>
    <definedName name="_OK" hidden="1">OCULTOS!$G$3</definedName>
    <definedName name="acero_1" hidden="1">OCULTOS!$B$3</definedName>
    <definedName name="acero_2" hidden="1">OCULTOS!$B$4</definedName>
    <definedName name="acero_3" hidden="1">OCULTOS!$B$5</definedName>
    <definedName name="alfa_" hidden="1">OCULTOS!$B$35</definedName>
    <definedName name="alfa_1" hidden="1">OCULTOS!$A$3</definedName>
    <definedName name="alfa_2" hidden="1">OCULTOS!$A$4</definedName>
    <definedName name="alfa_3" hidden="1">OCULTOS!$A$5</definedName>
    <definedName name="alfa_4" hidden="1">OCULTOS!$A$6</definedName>
    <definedName name="alfa_5" hidden="1">OCULTOS!$A$7</definedName>
    <definedName name="alfa_6" hidden="1">OCULTOS!$A$8</definedName>
    <definedName name="alfa_7" hidden="1">OCULTOS!$A$9</definedName>
    <definedName name="alfa_C" hidden="1">PROBLEMA!$X$30</definedName>
    <definedName name="Alfa_C_Imp" hidden="1">OCULTOS!$O$29</definedName>
    <definedName name="Ap_1" hidden="1">OCULTOS!$P$2</definedName>
    <definedName name="Ap_1_Ale" hidden="1">PROBLEMA!$W$12</definedName>
    <definedName name="Ap_2" hidden="1">OCULTOS!$P$3</definedName>
    <definedName name="Ap_2_Ale" hidden="1">PROBLEMA!$X$12</definedName>
    <definedName name="Ap_Distancia" hidden="1">OCULTOS!$V$4</definedName>
    <definedName name="_xlnm.Print_Area" localSheetId="1">PROBLEMA!$A$1:$U$101</definedName>
    <definedName name="Art" hidden="1">PROBLEMA!$Z$31</definedName>
    <definedName name="Art_A" hidden="1">OCULTOS!$BC$14</definedName>
    <definedName name="Art_B" hidden="1">OCULTOS!$BC$15</definedName>
    <definedName name="Art_C" hidden="1">OCULTOS!$BC$16</definedName>
    <definedName name="Art_D" hidden="1">OCULTOS!$BC$17</definedName>
    <definedName name="Art_Distancia" hidden="1">OCULTOS!$U$4</definedName>
    <definedName name="Art_E" hidden="1">OCULTOS!$BC$18</definedName>
    <definedName name="Art_F" hidden="1">OCULTOS!$BC$19</definedName>
    <definedName name="Art_G" hidden="1">OCULTOS!$BC$20</definedName>
    <definedName name="Art_H" hidden="1">OCULTOS!$BC$21</definedName>
    <definedName name="Art_I" hidden="1">OCULTOS!$BC$22</definedName>
    <definedName name="Art_J" hidden="1">OCULTOS!$BC$23</definedName>
    <definedName name="Art_K" hidden="1">OCULTOS!$BC$24</definedName>
    <definedName name="Art_L" hidden="1">OCULTOS!$BC$25</definedName>
    <definedName name="Art_M" hidden="1">OCULTOS!$BC$26</definedName>
    <definedName name="Cargas_Uniformes" hidden="1">OCULTOS!$I$29</definedName>
    <definedName name="Cargas_Uniformes_h" hidden="1">OCULTOS!$J$29</definedName>
    <definedName name="Cargas_Uniformes_v" hidden="1">OCULTOS!$K$29</definedName>
    <definedName name="CERO" hidden="1">'ENLACES DIAGRAMAS'!$E$2</definedName>
    <definedName name="D_Fijos" hidden="1">PROBLEMA!$W$4</definedName>
    <definedName name="D_Imprimir" hidden="1">'DATOS FIJOS'!$CG$3</definedName>
    <definedName name="Dato_FTP" comment="Primera fila de datos que se quieren exportar a FTP">PROBLEMA!$AD$4</definedName>
    <definedName name="Datos_Copiar" hidden="1">'DATOS FIJOS'!$B$3:$CD$3</definedName>
    <definedName name="Descripcion_FTP">PROBLEMA!$AD$3</definedName>
    <definedName name="Enunciado" hidden="1">PROBLEMA!$B$2</definedName>
    <definedName name="Enunciado_FTP">'RESULTADOS - FTP'!$B$39</definedName>
    <definedName name="Enunciado_FTP_2" hidden="1">'RESULTADOS - FTP'!$B$57</definedName>
    <definedName name="F_qCE_h" hidden="1">OCULTOS!$AB$11</definedName>
    <definedName name="F_qCE_v" hidden="1">OCULTOS!$AE$11</definedName>
    <definedName name="Fh_A" hidden="1">PROBLEMA!$AL$15</definedName>
    <definedName name="Fh_A_Ver" hidden="1">OCULTOS!$S$14</definedName>
    <definedName name="Fh_B" hidden="1">PROBLEMA!$AL$16</definedName>
    <definedName name="Fh_B_Ver" hidden="1">OCULTOS!$S$15</definedName>
    <definedName name="Fh_C" hidden="1">PROBLEMA!$AL$17</definedName>
    <definedName name="Fh_C_Ver" hidden="1">OCULTOS!$S$16</definedName>
    <definedName name="Fh_D" hidden="1">PROBLEMA!$AL$18</definedName>
    <definedName name="Fh_D_Ver" hidden="1">OCULTOS!$S$17</definedName>
    <definedName name="Fh_D1" hidden="1">PROBLEMA!$AL$19</definedName>
    <definedName name="Fh_D1_Ver" hidden="1">OCULTOS!$S$18</definedName>
    <definedName name="Fh_E" hidden="1">PROBLEMA!$AL$20</definedName>
    <definedName name="Fh_E_Ver" hidden="1">OCULTOS!$S$19</definedName>
    <definedName name="Fh_F" hidden="1">PROBLEMA!$AL$21</definedName>
    <definedName name="Fh_F_Ver" hidden="1">OCULTOS!$S$20</definedName>
    <definedName name="Fh_G" hidden="1">PROBLEMA!$AL$22</definedName>
    <definedName name="Fh_G_Ver" hidden="1">OCULTOS!$S$21</definedName>
    <definedName name="Fh_H" hidden="1">PROBLEMA!$AL$23</definedName>
    <definedName name="Fh_H_Ver" hidden="1">OCULTOS!$S$22</definedName>
    <definedName name="Fh_I" hidden="1">PROBLEMA!$AL$24</definedName>
    <definedName name="Fh_I_Ver" hidden="1">OCULTOS!$S$23</definedName>
    <definedName name="Fh_J" hidden="1">PROBLEMA!$AL$25</definedName>
    <definedName name="Fh_J_Ver" hidden="1">OCULTOS!$S$24</definedName>
    <definedName name="Fh_K" hidden="1">PROBLEMA!$AL$26</definedName>
    <definedName name="Fh_K_Ver" hidden="1">OCULTOS!$S$25</definedName>
    <definedName name="Fh_L" hidden="1">PROBLEMA!$AL$27</definedName>
    <definedName name="Fh_L_Ver" hidden="1">OCULTOS!$S$26</definedName>
    <definedName name="Fh_M" hidden="1">PROBLEMA!$AL$28</definedName>
    <definedName name="Fh_M_Ver" hidden="1">OCULTOS!$S$27</definedName>
    <definedName name="Fh_N" hidden="1">PROBLEMA!$AL$29</definedName>
    <definedName name="Fh_N_Ver" hidden="1">OCULTOS!$S$28</definedName>
    <definedName name="Fh_O" hidden="1">PROBLEMA!$AL$30</definedName>
    <definedName name="Fh_O_Ver" hidden="1">OCULTOS!$S$29</definedName>
    <definedName name="FTP_Esfuerzos_Axiles" hidden="1">'RESULTADOS - FTP'!$B$46</definedName>
    <definedName name="FTP_Esfuerzos_Cortantes" hidden="1">'RESULTADOS - FTP'!$B$49</definedName>
    <definedName name="FTP_Momentos" hidden="1">'RESULTADOS - FTP'!$B$52</definedName>
    <definedName name="Fuerzas_H" hidden="1">PROBLEMA!$AL$15:$AL$30</definedName>
    <definedName name="Fuerzas_Horizontales" hidden="1">OCULTOS!$E$29</definedName>
    <definedName name="Fuerzas_V" hidden="1">PROBLEMA!$AI$15:$AI$30</definedName>
    <definedName name="Fuerzas_Verticales" hidden="1">OCULTOS!$C$29</definedName>
    <definedName name="Fv_A" hidden="1">PROBLEMA!$AI$15</definedName>
    <definedName name="Fv_A_Ver" hidden="1">OCULTOS!$Q$14</definedName>
    <definedName name="Fv_B" hidden="1">PROBLEMA!$AI$16</definedName>
    <definedName name="Fv_B_Ver" hidden="1">OCULTOS!$Q$15</definedName>
    <definedName name="Fv_C" hidden="1">PROBLEMA!$AI$17</definedName>
    <definedName name="Fv_C_Ver" hidden="1">OCULTOS!$Q$16</definedName>
    <definedName name="Fv_D" hidden="1">PROBLEMA!$AI$18</definedName>
    <definedName name="Fv_D_Ver" hidden="1">OCULTOS!$Q$17</definedName>
    <definedName name="Fv_D1" hidden="1">PROBLEMA!$AI$19</definedName>
    <definedName name="Fv_D1_Ver" hidden="1">OCULTOS!$Q$18</definedName>
    <definedName name="Fv_E" hidden="1">PROBLEMA!$AI$20</definedName>
    <definedName name="Fv_E_Ver" hidden="1">OCULTOS!$Q$19</definedName>
    <definedName name="Fv_F" hidden="1">PROBLEMA!$AI$21</definedName>
    <definedName name="Fv_F_Ver" hidden="1">OCULTOS!$Q$20</definedName>
    <definedName name="Fv_G" hidden="1">PROBLEMA!$AI$22</definedName>
    <definedName name="Fv_G_Ver" hidden="1">OCULTOS!$Q$21</definedName>
    <definedName name="Fv_H" hidden="1">PROBLEMA!$AI$23</definedName>
    <definedName name="Fv_H_Ver" hidden="1">OCULTOS!$Q$22</definedName>
    <definedName name="Fv_I" hidden="1">PROBLEMA!$AI$24</definedName>
    <definedName name="Fv_I_Ver" hidden="1">OCULTOS!$Q$23</definedName>
    <definedName name="Fv_J" hidden="1">PROBLEMA!$AI$25</definedName>
    <definedName name="Fv_J_Ver" hidden="1">OCULTOS!$Q$24</definedName>
    <definedName name="Fv_K" hidden="1">PROBLEMA!$AI$26</definedName>
    <definedName name="Fv_K_Ver" hidden="1">OCULTOS!$Q$25</definedName>
    <definedName name="Fv_L" hidden="1">PROBLEMA!$AI$27</definedName>
    <definedName name="Fv_L_Ver" hidden="1">OCULTOS!$Q$26</definedName>
    <definedName name="Fv_M" hidden="1">PROBLEMA!$AI$28</definedName>
    <definedName name="Fv_M_Ver" hidden="1">OCULTOS!$Q$27</definedName>
    <definedName name="Fv_N" hidden="1">PROBLEMA!$AI$29</definedName>
    <definedName name="Fv_N_Ver" hidden="1">OCULTOS!$Q$28</definedName>
    <definedName name="Fv_O" hidden="1">PROBLEMA!$AI$30</definedName>
    <definedName name="Fv_O_Ver" hidden="1">OCULTOS!$Q$29</definedName>
    <definedName name="IMAGEN" hidden="1">T_D_FIJOS[[#Headers],[IMAGEN]]</definedName>
    <definedName name="Imagen_FTP">'RESULTADOS - FTP'!$B$1</definedName>
    <definedName name="Img_Barra" hidden="1">PROBLEMA!$AU$17</definedName>
    <definedName name="Img_q_H_Barra" hidden="1">'ENLACES DIAGRAMAS'!$E$93</definedName>
    <definedName name="Img_q_H_Cota" hidden="1">'ENLACES DIAGRAMAS'!$E$94</definedName>
    <definedName name="Img_q_H_V_Cota" hidden="1">'ENLACES DIAGRAMAS'!$E$95</definedName>
    <definedName name="Img_q_P_Barra" hidden="1">'ENLACES DIAGRAMAS'!$E$98</definedName>
    <definedName name="Img_q_V_Barra" hidden="1">'ENLACES DIAGRAMAS'!$E$96</definedName>
    <definedName name="Img_q_V_Cota" hidden="1">'ENLACES DIAGRAMAS'!$E$97</definedName>
    <definedName name="Imp_OK" hidden="1">'DATOS FIJOS'!$CI$4</definedName>
    <definedName name="L_1Iguales" hidden="1">PROBLEMA!$W$9</definedName>
    <definedName name="L_AB" hidden="1">PROBLEMA!$X$15</definedName>
    <definedName name="L_AB_Ver" hidden="1">OCULTOS!$O$14</definedName>
    <definedName name="L_BC" hidden="1">PROBLEMA!$X$16</definedName>
    <definedName name="L_BC_Ver" hidden="1">OCULTOS!$O$15</definedName>
    <definedName name="L_CD" hidden="1">PROBLEMA!$X$17</definedName>
    <definedName name="L_CD_Ver" hidden="1">OCULTOS!$O$16</definedName>
    <definedName name="L_CD1" hidden="1">PROBLEMA!$X$31</definedName>
    <definedName name="L_CE_v" hidden="1">PROBLEMA!$X$19</definedName>
    <definedName name="L_CE_Ver" hidden="1">OCULTOS!$O$18</definedName>
    <definedName name="L_D1E" hidden="1">PROBLEMA!$X$32</definedName>
    <definedName name="L_DE" hidden="1">PROBLEMA!$X$18</definedName>
    <definedName name="L_DE_Ver" hidden="1">OCULTOS!$O$17</definedName>
    <definedName name="L_EF" hidden="1">PROBLEMA!$X$20</definedName>
    <definedName name="L_EF_Ver" hidden="1">OCULTOS!$O$19</definedName>
    <definedName name="L_FG" hidden="1">PROBLEMA!$X$21</definedName>
    <definedName name="L_FG_Ver" hidden="1">OCULTOS!$O$20</definedName>
    <definedName name="L_GH" hidden="1">PROBLEMA!$X$22</definedName>
    <definedName name="L_GH_Ver" hidden="1">OCULTOS!$O$21</definedName>
    <definedName name="L_GJ" hidden="1">PROBLEMA!$X$24</definedName>
    <definedName name="L_GJ_Ver" hidden="1">OCULTOS!$O$23</definedName>
    <definedName name="L_HI" hidden="1">PROBLEMA!$X$23</definedName>
    <definedName name="L_HI_Ver" hidden="1">OCULTOS!$O$22</definedName>
    <definedName name="L_JK" hidden="1">PROBLEMA!$X$25</definedName>
    <definedName name="L_JK_Ver" hidden="1">OCULTOS!$O$24</definedName>
    <definedName name="L_KL" hidden="1">PROBLEMA!$X$26</definedName>
    <definedName name="L_KL_Ver" hidden="1">OCULTOS!$O$25</definedName>
    <definedName name="L_LM" hidden="1">PROBLEMA!$X$27</definedName>
    <definedName name="L_LM_Ver" hidden="1">OCULTOS!$O$26</definedName>
    <definedName name="L_MN" hidden="1">PROBLEMA!$X$28</definedName>
    <definedName name="L_MN_Ver" hidden="1">OCULTOS!$O$27</definedName>
    <definedName name="L_MO" hidden="1">PROBLEMA!$X$29</definedName>
    <definedName name="L_MO_Ver" hidden="1">OCULTOS!$O$28</definedName>
    <definedName name="Lista_Datos" hidden="1">T_D_FIJOS[NOMBRE]</definedName>
    <definedName name="Lista_Imagenes" hidden="1">T_DATOS_IMAGENES[NOMBRE]</definedName>
    <definedName name="Lista_T_Figuras" hidden="1">T_D_VAR[Tipo Figura]</definedName>
    <definedName name="Longitudes" hidden="1">OCULTOS!$A$29</definedName>
    <definedName name="M_AB_i" hidden="1">PROBLEMA!$M$34</definedName>
    <definedName name="M_AB_j" hidden="1">PROBLEMA!$Q$34</definedName>
    <definedName name="M_BC_i" hidden="1">PROBLEMA!$M$36</definedName>
    <definedName name="M_BC_j" hidden="1">PROBLEMA!$Q$36</definedName>
    <definedName name="M_CD_i" hidden="1">PROBLEMA!$M$38</definedName>
    <definedName name="M_CD_j" hidden="1">PROBLEMA!$Q$38</definedName>
    <definedName name="M_DE_i" hidden="1">PROBLEMA!$M$40</definedName>
    <definedName name="M_DE_j" hidden="1">PROBLEMA!$Q$40</definedName>
    <definedName name="M_EF_i" hidden="1">PROBLEMA!$M$42</definedName>
    <definedName name="M_EF_j" hidden="1">PROBLEMA!$Q$42</definedName>
    <definedName name="M_FG_i" hidden="1">PROBLEMA!$M$44</definedName>
    <definedName name="M_FG_j" hidden="1">PROBLEMA!$Q$44</definedName>
    <definedName name="M_GH_i" hidden="1">PROBLEMA!$M$46</definedName>
    <definedName name="M_GH_j" hidden="1">PROBLEMA!$Q$46</definedName>
    <definedName name="M_GJ_i" hidden="1">PROBLEMA!$M$50</definedName>
    <definedName name="M_GJ_j" hidden="1">PROBLEMA!$Q$50</definedName>
    <definedName name="M_HI_i" hidden="1">PROBLEMA!$M$48</definedName>
    <definedName name="M_HI_j" hidden="1">PROBLEMA!$Q$48</definedName>
    <definedName name="M_JK_i" hidden="1">PROBLEMA!$M$52</definedName>
    <definedName name="M_JK_j" hidden="1">PROBLEMA!$Q$52</definedName>
    <definedName name="M_KL_i" hidden="1">PROBLEMA!$M$54</definedName>
    <definedName name="M_KL_j" hidden="1">PROBLEMA!$Q$54</definedName>
    <definedName name="M_LM_i" hidden="1">PROBLEMA!$M$56</definedName>
    <definedName name="M_LM_j" hidden="1">PROBLEMA!$Q$56</definedName>
    <definedName name="M_MN_i" hidden="1">PROBLEMA!$M$58</definedName>
    <definedName name="M_MN_j" hidden="1">PROBLEMA!$Q$58</definedName>
    <definedName name="M_MO_i" hidden="1">PROBLEMA!$M$60</definedName>
    <definedName name="M_MO_j" hidden="1">PROBLEMA!$Q$60</definedName>
    <definedName name="MaxFh" hidden="1">PROBLEMA!$AL$13</definedName>
    <definedName name="MaxFv" hidden="1">PROBLEMA!$AI$13</definedName>
    <definedName name="MaxL" hidden="1">PROBLEMA!$X$13</definedName>
    <definedName name="MaxMz" hidden="1">PROBLEMA!$AO$13</definedName>
    <definedName name="MaxQ" hidden="1">PROBLEMA!$AR$13</definedName>
    <definedName name="MinFh" hidden="1">PROBLEMA!$AK$13</definedName>
    <definedName name="MinFv" hidden="1">PROBLEMA!$AH$13</definedName>
    <definedName name="MinL" hidden="1">PROBLEMA!$W$13</definedName>
    <definedName name="MinMz" hidden="1">PROBLEMA!$AN$13</definedName>
    <definedName name="MinQ" hidden="1">PROBLEMA!$AQ$13</definedName>
    <definedName name="Momentos" hidden="1">PROBLEMA!$AO$15:$AO$30</definedName>
    <definedName name="Momentos_z" hidden="1">OCULTOS!$G$29</definedName>
    <definedName name="Mostrar_Mensaje" hidden="1">INSTRUCCIONES!$A$1</definedName>
    <definedName name="MulFh" hidden="1">PROBLEMA!$AM$13</definedName>
    <definedName name="MulFv" hidden="1">PROBLEMA!$AJ$13</definedName>
    <definedName name="MulL" hidden="1">PROBLEMA!$Y$13</definedName>
    <definedName name="MulMz" hidden="1">PROBLEMA!$AP$13</definedName>
    <definedName name="MulQ" hidden="1">PROBLEMA!$AS$13</definedName>
    <definedName name="Multiplo_Img" hidden="1">'DATOS FIJOS'!$CG$1</definedName>
    <definedName name="Mx_AB" hidden="1">PROBLEMA!$R$35</definedName>
    <definedName name="Mx_BC" hidden="1">PROBLEMA!$R$37</definedName>
    <definedName name="Mx_CD" hidden="1">PROBLEMA!$R$39</definedName>
    <definedName name="Mx_DE" hidden="1">PROBLEMA!$R$41</definedName>
    <definedName name="Mx_EF" hidden="1">PROBLEMA!$R$43</definedName>
    <definedName name="Mx_FG" hidden="1">PROBLEMA!$R$45</definedName>
    <definedName name="Mx_GH" hidden="1">PROBLEMA!$R$47</definedName>
    <definedName name="Mx_GJ" hidden="1">PROBLEMA!$R$51</definedName>
    <definedName name="Mx_HI" hidden="1">PROBLEMA!$R$49</definedName>
    <definedName name="Mx_JK" hidden="1">PROBLEMA!$R$53</definedName>
    <definedName name="Mx_KL" hidden="1">PROBLEMA!$R$55</definedName>
    <definedName name="Mx_LM" hidden="1">PROBLEMA!$R$57</definedName>
    <definedName name="Mx_MN" hidden="1">PROBLEMA!$R$59</definedName>
    <definedName name="Mx_MO" hidden="1">PROBLEMA!$R$61</definedName>
    <definedName name="Mz_A" hidden="1">PROBLEMA!$AO$15</definedName>
    <definedName name="Mz_A_Ver" hidden="1">OCULTOS!$U$14</definedName>
    <definedName name="Mz_B" hidden="1">PROBLEMA!$AO$16</definedName>
    <definedName name="Mz_B_Ver" hidden="1">OCULTOS!$U$15</definedName>
    <definedName name="Mz_C" hidden="1">PROBLEMA!$AO$17</definedName>
    <definedName name="Mz_C_Ver" hidden="1">OCULTOS!$U$16</definedName>
    <definedName name="Mz_D" hidden="1">PROBLEMA!$AO$18</definedName>
    <definedName name="Mz_D_Ver" hidden="1">OCULTOS!$U$17</definedName>
    <definedName name="Mz_D1" hidden="1">PROBLEMA!$AO$19</definedName>
    <definedName name="Mz_D1_Ver" hidden="1">OCULTOS!$U$18</definedName>
    <definedName name="Mz_E" hidden="1">PROBLEMA!$AO$20</definedName>
    <definedName name="Mz_E_Ver" hidden="1">OCULTOS!$U$19</definedName>
    <definedName name="Mz_F" hidden="1">PROBLEMA!$AO$21</definedName>
    <definedName name="Mz_F_Ver" hidden="1">OCULTOS!$U$20</definedName>
    <definedName name="Mz_G" hidden="1">PROBLEMA!$AO$22</definedName>
    <definedName name="Mz_G_Ver" hidden="1">OCULTOS!$U$21</definedName>
    <definedName name="Mz_H" hidden="1">PROBLEMA!$AO$23</definedName>
    <definedName name="Mz_H_Ver" hidden="1">OCULTOS!$U$22</definedName>
    <definedName name="Mz_I" hidden="1">PROBLEMA!$AO$24</definedName>
    <definedName name="Mz_I_Ver" hidden="1">OCULTOS!$U$23</definedName>
    <definedName name="Mz_J" hidden="1">PROBLEMA!$AO$25</definedName>
    <definedName name="Mz_J_Ver" hidden="1">OCULTOS!$U$24</definedName>
    <definedName name="Mz_K" hidden="1">PROBLEMA!$AO$26</definedName>
    <definedName name="Mz_K_Ver" hidden="1">OCULTOS!$U$25</definedName>
    <definedName name="Mz_L" hidden="1">PROBLEMA!$AO$27</definedName>
    <definedName name="Mz_L_Ver" hidden="1">OCULTOS!$U$26</definedName>
    <definedName name="Mz_M" hidden="1">PROBLEMA!$AO$28</definedName>
    <definedName name="Mz_M_Ver" hidden="1">OCULTOS!$U$27</definedName>
    <definedName name="Mz_N" hidden="1">PROBLEMA!$AO$29</definedName>
    <definedName name="Mz_N_Ver" hidden="1">OCULTOS!$U$28</definedName>
    <definedName name="Mz_O" hidden="1">PROBLEMA!$AO$30</definedName>
    <definedName name="Mz_O_Ver" hidden="1">OCULTOS!$U$29</definedName>
    <definedName name="N_AB_i" hidden="1">PROBLEMA!$C$34</definedName>
    <definedName name="N_AB_j" hidden="1">PROBLEMA!$G$34</definedName>
    <definedName name="N_BC_i" hidden="1">PROBLEMA!$C$36</definedName>
    <definedName name="N_BC_j" hidden="1">PROBLEMA!$G$36</definedName>
    <definedName name="N_CD_i" hidden="1">PROBLEMA!$C$38</definedName>
    <definedName name="N_CD_j" hidden="1">PROBLEMA!$G$38</definedName>
    <definedName name="N_DE_i" hidden="1">PROBLEMA!$C$40</definedName>
    <definedName name="N_DE_j" hidden="1">PROBLEMA!$G$40</definedName>
    <definedName name="N_EF_i" hidden="1">PROBLEMA!$C$42</definedName>
    <definedName name="N_EF_j" hidden="1">PROBLEMA!$G$42</definedName>
    <definedName name="N_FG_i" hidden="1">PROBLEMA!$C$44</definedName>
    <definedName name="N_FG_j" hidden="1">PROBLEMA!$G$44</definedName>
    <definedName name="N_GH_i" hidden="1">PROBLEMA!$C$46</definedName>
    <definedName name="N_GH_j" hidden="1">PROBLEMA!$G$46</definedName>
    <definedName name="N_GJ_i" hidden="1">PROBLEMA!$C$50</definedName>
    <definedName name="N_GJ_j" hidden="1">PROBLEMA!$G$50</definedName>
    <definedName name="N_HI_i" hidden="1">PROBLEMA!$C$48</definedName>
    <definedName name="N_HI_j" hidden="1">PROBLEMA!$G$48</definedName>
    <definedName name="N_Hoja_Datos" comment="El nombre de la HOJA de DATOS FIJOS por si alguien lo cambia, para la MACRO de IMAGENES" hidden="1">MID(N_Ruta_Datos,FIND("]",N_Ruta_Datos,1)+1,100)</definedName>
    <definedName name="N_Hoja_Pb" hidden="1">MID(N_Ruta_Pb,FIND("]",N_Ruta_Pb,1)+1,100)</definedName>
    <definedName name="N_Ini_D_FIjos" hidden="1">PROBLEMA!$Z$6</definedName>
    <definedName name="N_JK_i" hidden="1">PROBLEMA!$C$52</definedName>
    <definedName name="N_JK_j" hidden="1">PROBLEMA!$G$52</definedName>
    <definedName name="N_KL_i" hidden="1">PROBLEMA!$C$54</definedName>
    <definedName name="N_KL_j" hidden="1">PROBLEMA!$G$54</definedName>
    <definedName name="N_LM_i" hidden="1">PROBLEMA!$C$56</definedName>
    <definedName name="N_LM_j" hidden="1">PROBLEMA!$G$56</definedName>
    <definedName name="N_MN_i" hidden="1">PROBLEMA!$C$58</definedName>
    <definedName name="N_MN_j" hidden="1">PROBLEMA!$G$58</definedName>
    <definedName name="N_MO_i" hidden="1">PROBLEMA!$C$60</definedName>
    <definedName name="N_MO_j" hidden="1">PROBLEMA!$G$60</definedName>
    <definedName name="N_Pb_Ale" hidden="1">PROBLEMA!$W$11</definedName>
    <definedName name="N_Preg_FTP" hidden="1">PROBLEMA!$X$7</definedName>
    <definedName name="N_Preg_FTP_Inicial" hidden="1">PROBLEMA!$W$7</definedName>
    <definedName name="N_Ruta_Datos" hidden="1">CELL("filename",T_D_FIJOS[#All])</definedName>
    <definedName name="N_Ruta_Pb" hidden="1">CELL("filename",Enunciado)</definedName>
    <definedName name="N_Tipo_Generar" hidden="1">'DATOS VARIABLES'!$CF$1</definedName>
    <definedName name="No_Diagrama" hidden="1">"DIAGRAMA NO PREPARADO"</definedName>
    <definedName name="No_Reacc" hidden="1">"--"</definedName>
    <definedName name="Nom_Hoja_Datos" comment="El nombre de la HOJA de DATOS FIJOS por si alguien lo cambia, para la MACRO de IMAGENES" hidden="1">MID(Nom_Ruta_Datos,FIND("]",Nom_Ruta_Datos,1)+1,100)</definedName>
    <definedName name="Nom_hoja_PB" hidden="1">MID(Nom_Ruta_Pb,FIND("]",Nom_Ruta_Pb,1)+1,100)</definedName>
    <definedName name="Nom_Ruta_Datos" hidden="1">CELL("filename",T_D_FIJOS[#All])</definedName>
    <definedName name="Nom_Ruta_Pb" hidden="1">CELL("filename",Enunciado)</definedName>
    <definedName name="Nombre_Archivo" hidden="1">PROBLEMA!$W$1</definedName>
    <definedName name="Nombre_Datos_Fijos" hidden="1">PROBLEMA!$AD$6</definedName>
    <definedName name="Nombre_Datos_Variables" hidden="1">PROBLEMA!$AD$8</definedName>
    <definedName name="Nombre_Figura" hidden="1">PROBLEMA!$V$1</definedName>
    <definedName name="Nombre_FTP" hidden="1">PROBLEMA!$X$3</definedName>
    <definedName name="Nombre_Lista" hidden="1">PROBLEMA!$W$5</definedName>
    <definedName name="Nombre_Pb" hidden="1">PROBLEMA!$B$1</definedName>
    <definedName name="P_horizontales" hidden="1">PROBLEMA!$AL$15:$AL$30</definedName>
    <definedName name="P_verticales" hidden="1">PROBLEMA!$AI$15:$AI$30</definedName>
    <definedName name="Pag_Final" hidden="1">PROBLEMA!$S$1</definedName>
    <definedName name="Preg_1" hidden="1">PROBLEMA!$B$4</definedName>
    <definedName name="Preg_1_FTP" hidden="1">'RESULTADOS - FTP'!$B$42</definedName>
    <definedName name="Preg_1_FTP_2" hidden="1">'RESULTADOS - FTP'!$B$58</definedName>
    <definedName name="Preg_2" hidden="1">PROBLEMA!$B$5</definedName>
    <definedName name="Preg_2_FTP" hidden="1">'RESULTADOS - FTP'!$B$45</definedName>
    <definedName name="Preg_3" hidden="1">PROBLEMA!$B$6</definedName>
    <definedName name="Preg_3_FTP" hidden="1">'RESULTADOS - FTP'!$B$48</definedName>
    <definedName name="Preg_4" hidden="1">PROBLEMA!$B$7</definedName>
    <definedName name="Preg_4_FTP" hidden="1">'RESULTADOS - FTP'!$B$51</definedName>
    <definedName name="q_1Barra_Inclinada" hidden="1">PROBLEMA!$W$10</definedName>
    <definedName name="q_1Iguales" hidden="1">PROBLEMA!$W$8</definedName>
    <definedName name="q_AB" hidden="1">PROBLEMA!$AR$15</definedName>
    <definedName name="q_AB_Ver" hidden="1">OCULTOS!$W$14</definedName>
    <definedName name="q_BC" hidden="1">PROBLEMA!$AR$16</definedName>
    <definedName name="q_BC_Ver" hidden="1">OCULTOS!$W$15</definedName>
    <definedName name="q_CD" hidden="1">PROBLEMA!$AR$17</definedName>
    <definedName name="q_CD_Ver" hidden="1">OCULTOS!$W$16</definedName>
    <definedName name="q_CE" hidden="1">PROBLEMA!$AR$19</definedName>
    <definedName name="q_CE_Ver" hidden="1">OCULTOS!$W$18</definedName>
    <definedName name="q_DE" hidden="1">PROBLEMA!$AR$18</definedName>
    <definedName name="q_DE_Ver" hidden="1">OCULTOS!$W$17</definedName>
    <definedName name="q_EF" hidden="1">PROBLEMA!$AR$20</definedName>
    <definedName name="q_EF_Ver" hidden="1">OCULTOS!$W$19</definedName>
    <definedName name="q_FG" hidden="1">PROBLEMA!$AR$21</definedName>
    <definedName name="q_FG_Ver" hidden="1">OCULTOS!$W$20</definedName>
    <definedName name="q_GH" hidden="1">PROBLEMA!$AR$22</definedName>
    <definedName name="q_GH_Ver" hidden="1">OCULTOS!$W$21</definedName>
    <definedName name="q_GJ" hidden="1">PROBLEMA!$AR$24</definedName>
    <definedName name="q_GJ_Ver" hidden="1">OCULTOS!$W$23</definedName>
    <definedName name="q_h" hidden="1">PROBLEMA!$AT$17</definedName>
    <definedName name="q_HI" hidden="1">PROBLEMA!$AR$23</definedName>
    <definedName name="q_HI_Ver" hidden="1">OCULTOS!$W$22</definedName>
    <definedName name="q_JK" hidden="1">PROBLEMA!$AR$25</definedName>
    <definedName name="q_JK_Ver" hidden="1">OCULTOS!$W$24</definedName>
    <definedName name="q_KL" hidden="1">PROBLEMA!$AR$26</definedName>
    <definedName name="q_KL_Ver" hidden="1">OCULTOS!$W$25</definedName>
    <definedName name="q_LM" hidden="1">PROBLEMA!$AR$27</definedName>
    <definedName name="q_LM_Ver" hidden="1">OCULTOS!$W$26</definedName>
    <definedName name="q_MN" hidden="1">PROBLEMA!$AR$28</definedName>
    <definedName name="q_MN_Ver" hidden="1">OCULTOS!$W$27</definedName>
    <definedName name="q_MO" hidden="1">PROBLEMA!$AR$29</definedName>
    <definedName name="q_MO_Ver" hidden="1">OCULTOS!$W$28</definedName>
    <definedName name="q_v" hidden="1">PROBLEMA!$AT$18</definedName>
    <definedName name="Reaccion_1_FTP" hidden="1">'RESULTADOS - FTP'!$D$4</definedName>
    <definedName name="Reaccion_2_FTP" hidden="1">'RESULTADOS - FTP'!$G$4</definedName>
    <definedName name="Reaccion_3_FTP" hidden="1">'RESULTADOS - FTP'!$J$4</definedName>
    <definedName name="Reaccion_4_FTP" hidden="1">'RESULTADOS - FTP'!$M$4</definedName>
    <definedName name="Resultado_1_FTP" hidden="1">'RESULTADOS - FTP'!$B$43</definedName>
    <definedName name="Resultado_1_FTP_2" hidden="1">'RESULTADOS - FTP'!$B$59</definedName>
    <definedName name="Resultado_2_FTP" hidden="1">'RESULTADOS - FTP'!$B$46</definedName>
    <definedName name="Resultado_3_FTP" hidden="1">'RESULTADOS - FTP'!$B$49</definedName>
    <definedName name="Resultado_4_FTP" hidden="1">'RESULTADOS - FTP'!$B$52</definedName>
    <definedName name="Resultados" hidden="1">'DATOS FIJOS'!$CF$3</definedName>
    <definedName name="Retro_Bien" hidden="1">'RESULTADOS - FTP'!$Q$4</definedName>
    <definedName name="Retro_Mal" hidden="1">'RESULTADOS - FTP'!$R$4</definedName>
    <definedName name="Retro_MuyBien" hidden="1">'RESULTADOS - FTP'!$P$4</definedName>
    <definedName name="RFh" hidden="1">PROBLEMA!$AB$34</definedName>
    <definedName name="RFh_A" hidden="1">OCULTOS!$AV$14</definedName>
    <definedName name="RFh_A_Ver" hidden="1">OCULTOS!$AW$14</definedName>
    <definedName name="RFh_B" hidden="1">OCULTOS!$AV$15</definedName>
    <definedName name="RFh_B_Ver" hidden="1">OCULTOS!$AW$15</definedName>
    <definedName name="RFh_C" hidden="1">OCULTOS!$AV$16</definedName>
    <definedName name="RFh_C_Ver" hidden="1">OCULTOS!$AW$16</definedName>
    <definedName name="RFh_D" hidden="1">OCULTOS!$AV$17</definedName>
    <definedName name="RFh_D_Ver" hidden="1">OCULTOS!$AW$17</definedName>
    <definedName name="RFh_E" hidden="1">OCULTOS!$AV$18</definedName>
    <definedName name="RFh_E_Ver" hidden="1">OCULTOS!$AW$18</definedName>
    <definedName name="RFh_F" hidden="1">OCULTOS!$AV$19</definedName>
    <definedName name="RFh_F_Ver" hidden="1">OCULTOS!$AW$19</definedName>
    <definedName name="RFh_G" hidden="1">OCULTOS!$AV$20</definedName>
    <definedName name="RFh_G_Ver" hidden="1">OCULTOS!$AW$20</definedName>
    <definedName name="RFh_H" hidden="1">OCULTOS!$AV$21</definedName>
    <definedName name="RFh_H_Ver" hidden="1">OCULTOS!$AW$21</definedName>
    <definedName name="RFh_I" hidden="1">OCULTOS!$AV$22</definedName>
    <definedName name="RFh_I_Ver" hidden="1">OCULTOS!$AW$22</definedName>
    <definedName name="RFh_J" hidden="1">OCULTOS!$AV$23</definedName>
    <definedName name="RFh_J_Ver" hidden="1">OCULTOS!$AW$23</definedName>
    <definedName name="RFh_K" hidden="1">OCULTOS!$AV$24</definedName>
    <definedName name="RFh_K_Ver" hidden="1">OCULTOS!$AW$24</definedName>
    <definedName name="RFh_L" hidden="1">OCULTOS!$AV$25</definedName>
    <definedName name="RFh_L_Ver" hidden="1">OCULTOS!$AW$25</definedName>
    <definedName name="RFh_M" hidden="1">OCULTOS!$AV$26</definedName>
    <definedName name="RFh_M_Ver" hidden="1">OCULTOS!$AW$26</definedName>
    <definedName name="RFh_N" hidden="1">OCULTOS!$AV$27</definedName>
    <definedName name="RFh_N_Ver" hidden="1">OCULTOS!$AW$27</definedName>
    <definedName name="RFh_O" hidden="1">OCULTOS!$AV$28</definedName>
    <definedName name="RFh_O_Ver" hidden="1">OCULTOS!$AW$28</definedName>
    <definedName name="RFh_Ver" hidden="1">PROBLEMA!$AB$34</definedName>
    <definedName name="RFv" hidden="1">PROBLEMA!$AB$35</definedName>
    <definedName name="RFv_A" hidden="1">OCULTOS!$AS$14</definedName>
    <definedName name="RFv_A_Ver" hidden="1">OCULTOS!$AT$14</definedName>
    <definedName name="RFv_Ap_2" hidden="1">OCULTOS!$BD$29</definedName>
    <definedName name="RFv_B" hidden="1">OCULTOS!$AS$15</definedName>
    <definedName name="RFv_B_Ver" hidden="1">OCULTOS!$AT$15</definedName>
    <definedName name="RFv_C" hidden="1">OCULTOS!$AS$16</definedName>
    <definedName name="RFv_C_Ver" hidden="1">OCULTOS!$AT$16</definedName>
    <definedName name="RFv_D" hidden="1">OCULTOS!$AS$17</definedName>
    <definedName name="RFv_D_Ver" hidden="1">OCULTOS!$AT$17</definedName>
    <definedName name="RFv_E" hidden="1">OCULTOS!$AS$18</definedName>
    <definedName name="RFv_E_Ver" hidden="1">OCULTOS!$AT$18</definedName>
    <definedName name="RFv_F" hidden="1">OCULTOS!$AS$19</definedName>
    <definedName name="RFv_F_Ver" hidden="1">OCULTOS!$AT$19</definedName>
    <definedName name="RFv_G" hidden="1">OCULTOS!$AS$20</definedName>
    <definedName name="RFv_G_Ver" hidden="1">OCULTOS!$AT$20</definedName>
    <definedName name="RFv_H" hidden="1">OCULTOS!$AS$21</definedName>
    <definedName name="RFv_H_Ver" hidden="1">OCULTOS!$AT$21</definedName>
    <definedName name="RFv_I" hidden="1">OCULTOS!$AS$22</definedName>
    <definedName name="RFv_I_Ver" hidden="1">OCULTOS!$AT$22</definedName>
    <definedName name="RFv_J" hidden="1">OCULTOS!$AS$23</definedName>
    <definedName name="RFv_J_Ver" hidden="1">OCULTOS!$AT$23</definedName>
    <definedName name="RFv_K" hidden="1">OCULTOS!$AS$24</definedName>
    <definedName name="RFv_K_Ver" hidden="1">OCULTOS!$AT$24</definedName>
    <definedName name="RFv_L" hidden="1">OCULTOS!$AS$25</definedName>
    <definedName name="RFv_L_Ver" hidden="1">OCULTOS!$AT$25</definedName>
    <definedName name="RFv_M" hidden="1">OCULTOS!$AS$26</definedName>
    <definedName name="RFv_M_Ver" hidden="1">OCULTOS!$AT$26</definedName>
    <definedName name="RFv_N" hidden="1">OCULTOS!$AS$27</definedName>
    <definedName name="RFv_N_Ver" hidden="1">OCULTOS!$AT$27</definedName>
    <definedName name="RFv_O" hidden="1">OCULTOS!$AS$28</definedName>
    <definedName name="RFv_O_Ver" hidden="1">OCULTOS!$AT$28</definedName>
    <definedName name="RFv_Ver" hidden="1">PROBLEMA!$AB$35</definedName>
    <definedName name="RM_A" hidden="1">OCULTOS!$AY$14</definedName>
    <definedName name="RM_A_Ver" hidden="1">OCULTOS!$AZ$14</definedName>
    <definedName name="RM_B" hidden="1">OCULTOS!$AY$15</definedName>
    <definedName name="RM_B_Ver" hidden="1">OCULTOS!$AZ$15</definedName>
    <definedName name="RM_C" hidden="1">OCULTOS!$AY$16</definedName>
    <definedName name="RM_C_Ver" hidden="1">OCULTOS!$AZ$16</definedName>
    <definedName name="RM_D" hidden="1">OCULTOS!$AY$17</definedName>
    <definedName name="RM_D_Ver" hidden="1">OCULTOS!$AZ$17</definedName>
    <definedName name="RM_E" hidden="1">OCULTOS!$AY$18</definedName>
    <definedName name="RM_E_Ver" hidden="1">OCULTOS!$AZ$18</definedName>
    <definedName name="RM_F" hidden="1">OCULTOS!$AY$19</definedName>
    <definedName name="RM_F_Ver" hidden="1">OCULTOS!$AZ$19</definedName>
    <definedName name="RM_G" hidden="1">OCULTOS!$AY$20</definedName>
    <definedName name="RM_G_Ver" hidden="1">OCULTOS!$AZ$20</definedName>
    <definedName name="RM_H" hidden="1">OCULTOS!$AY$21</definedName>
    <definedName name="RM_H_Ver" hidden="1">OCULTOS!$AZ$21</definedName>
    <definedName name="RM_I" hidden="1">OCULTOS!$AY$22</definedName>
    <definedName name="RM_I_Ver" hidden="1">OCULTOS!$AZ$22</definedName>
    <definedName name="RM_J" hidden="1">OCULTOS!$AY$23</definedName>
    <definedName name="RM_J_Ver" hidden="1">OCULTOS!$AZ$23</definedName>
    <definedName name="RM_K" hidden="1">OCULTOS!$AY$24</definedName>
    <definedName name="RM_K_Ver" hidden="1">OCULTOS!$AZ$24</definedName>
    <definedName name="RM_L" hidden="1">OCULTOS!$AY$25</definedName>
    <definedName name="RM_L_Ver" hidden="1">OCULTOS!$AZ$25</definedName>
    <definedName name="RM_M" hidden="1">OCULTOS!$AY$26</definedName>
    <definedName name="RM_M_Ver" hidden="1">OCULTOS!$AZ$26</definedName>
    <definedName name="RM_N" hidden="1">OCULTOS!$AY$27</definedName>
    <definedName name="RM_N_Ver" hidden="1">OCULTOS!$AZ$27</definedName>
    <definedName name="RM_O" hidden="1">OCULTOS!$AY$28</definedName>
    <definedName name="RM_O_Ver" hidden="1">OCULTOS!$AZ$28</definedName>
    <definedName name="RM_Ver" hidden="1">PROBLEMA!$AB$37</definedName>
    <definedName name="RMFv_Ver" hidden="1">PROBLEMA!$AB$36</definedName>
    <definedName name="S_L" hidden="1">'RESULTADOS - FTP'!$C$37</definedName>
    <definedName name="Salto" hidden="1">PROBLEMA!$W$6</definedName>
    <definedName name="SALTOS_FTP" hidden="1">OCULTOS!$F$3:$F$4</definedName>
    <definedName name="SI_NO" hidden="1">OCULTOS!$G$3:$G$4</definedName>
    <definedName name="SM_A" hidden="1">OCULTOS!$BA$14</definedName>
    <definedName name="SM_B" hidden="1">OCULTOS!$BA$15</definedName>
    <definedName name="SM_C" hidden="1">OCULTOS!$BA$16</definedName>
    <definedName name="SM_D" hidden="1">OCULTOS!$BA$17</definedName>
    <definedName name="SM_E" hidden="1">OCULTOS!$BA$18</definedName>
    <definedName name="SM_F" hidden="1">OCULTOS!$BA$19</definedName>
    <definedName name="SM_G" hidden="1">OCULTOS!$BA$20</definedName>
    <definedName name="SM_H" hidden="1">OCULTOS!$BA$21</definedName>
    <definedName name="SM_I" hidden="1">OCULTOS!$BA$22</definedName>
    <definedName name="SM_J" hidden="1">OCULTOS!$BA$23</definedName>
    <definedName name="SM_K" hidden="1">OCULTOS!$BA$24</definedName>
    <definedName name="SM_L" hidden="1">OCULTOS!$BA$25</definedName>
    <definedName name="SM_M" hidden="1">OCULTOS!$BA$26</definedName>
    <definedName name="SM_N" hidden="1">OCULTOS!$BA$27</definedName>
    <definedName name="SM_O" hidden="1">OCULTOS!$BA$28</definedName>
    <definedName name="SUB_CARPETA" hidden="1">PROBLEMA!$X$1</definedName>
    <definedName name="T_Emp" hidden="1">OCULTOS!$N$2</definedName>
    <definedName name="T_Fijo" hidden="1">OCULTOS!$N$3</definedName>
    <definedName name="T_Generar" hidden="1">'DATOS VARIABLES'!$CG$1</definedName>
    <definedName name="T_Movil" hidden="1">OCULTOS!$N$4</definedName>
    <definedName name="Tab" comment="Tabulador HTLM" hidden="1">IF(Salto=""," ","&amp;emsp;")</definedName>
    <definedName name="Tab_3" hidden="1">REPT(IF(Salto="","","&amp;emsp;"),3)</definedName>
    <definedName name="Tab_4" hidden="1">REPT(IF(Salto="","","&amp;emsp;"),4)</definedName>
    <definedName name="Tab_8" hidden="1">REPT(IF(Salto="","","&amp;emsp;"),8)</definedName>
    <definedName name="Tipo_Ap" hidden="1">OCULTOS!$Q$2</definedName>
    <definedName name="Tipo_Ap_Ale" hidden="1">PROBLEMA!$Y$12</definedName>
    <definedName name="Tipo_Estructura" hidden="1">PROBLEMA!$AD$7</definedName>
    <definedName name="Tipo_Estructura_FTP" hidden="1">'RESULTADOS - FTP'!$I$1</definedName>
    <definedName name="_xlnm.Print_Titles" localSheetId="1">PROBLEMA!$1:$1</definedName>
    <definedName name="URL_ALTO" comment="ALTO PARA URL IMAGEN EN FTP" hidden="1">""" height="""</definedName>
    <definedName name="URL_F" comment="FIN DE LA URL PARA IMAGEN FTP" hidden="1">"""&gt;"</definedName>
    <definedName name="URL_I" comment="URL INICIAL PARA LA IMAGEN EN FTP" hidden="1">"&lt;img src="""</definedName>
    <definedName name="URL_W" comment="ANCHO DE LA IMAGEN PARA URL FTP" hidden="1">""" width="""</definedName>
    <definedName name="V_AB_i" hidden="1">PROBLEMA!$H$34</definedName>
    <definedName name="V_AB_j" hidden="1">PROBLEMA!$L$34</definedName>
    <definedName name="V_BC_i" hidden="1">PROBLEMA!$H$36</definedName>
    <definedName name="V_BC_j" hidden="1">PROBLEMA!$L$36</definedName>
    <definedName name="V_CD_i" hidden="1">PROBLEMA!$H$38</definedName>
    <definedName name="V_CD_j" hidden="1">PROBLEMA!$L$38</definedName>
    <definedName name="V_DE_i" hidden="1">PROBLEMA!$H$40</definedName>
    <definedName name="V_DE_j" hidden="1">PROBLEMA!$L$40</definedName>
    <definedName name="V_EF_i" hidden="1">PROBLEMA!$H$42</definedName>
    <definedName name="V_EF_j" hidden="1">PROBLEMA!$L$42</definedName>
    <definedName name="V_Excel" hidden="1">"V2021 o POSTERIOR"</definedName>
    <definedName name="V_FG_i" hidden="1">PROBLEMA!$H$44</definedName>
    <definedName name="V_FG_j" hidden="1">PROBLEMA!$L$44</definedName>
    <definedName name="V_GH_i" hidden="1">PROBLEMA!$H$46</definedName>
    <definedName name="V_GH_j" hidden="1">PROBLEMA!$L$46</definedName>
    <definedName name="V_GJ_i" hidden="1">PROBLEMA!$H$50</definedName>
    <definedName name="V_GJ_j" hidden="1">PROBLEMA!$L$50</definedName>
    <definedName name="V_HI_i" hidden="1">PROBLEMA!$H$48</definedName>
    <definedName name="V_HI_j" hidden="1">PROBLEMA!$L$48</definedName>
    <definedName name="V_JK_i" hidden="1">PROBLEMA!$H$52</definedName>
    <definedName name="V_JK_j" hidden="1">PROBLEMA!$L$52</definedName>
    <definedName name="V_KL_i" hidden="1">PROBLEMA!$H$54</definedName>
    <definedName name="V_KL_j" hidden="1">PROBLEMA!$L$54</definedName>
    <definedName name="V_LM_i" hidden="1">PROBLEMA!$H$56</definedName>
    <definedName name="V_LM_j" hidden="1">PROBLEMA!$L$56</definedName>
    <definedName name="V_MN_i" hidden="1">PROBLEMA!$H$58</definedName>
    <definedName name="V_MN_j" hidden="1">PROBLEMA!$L$58</definedName>
    <definedName name="V_MO_i" hidden="1">PROBLEMA!$H$60</definedName>
    <definedName name="V_MO_j" hidden="1">PROBLEMA!$L$60</definedName>
    <definedName name="Ver_Datos" hidden="1">PROBLEMA!$W$2</definedName>
    <definedName name="Ver_Resultados" hidden="1">PROBLEMA!$W$3</definedName>
    <definedName name="X_A" hidden="1">OCULTOS!$AQ$14</definedName>
    <definedName name="X_AB" hidden="1">PROBLEMA!$R$34</definedName>
    <definedName name="X_B" hidden="1">OCULTOS!$AQ$15</definedName>
    <definedName name="X_BC" hidden="1">PROBLEMA!$R$36</definedName>
    <definedName name="X_C" hidden="1">OCULTOS!$AQ$16</definedName>
    <definedName name="X_CD" hidden="1">PROBLEMA!$R$38</definedName>
    <definedName name="X_D" hidden="1">OCULTOS!$AQ$17</definedName>
    <definedName name="X_DE" hidden="1">PROBLEMA!$R$40</definedName>
    <definedName name="X_E" hidden="1">OCULTOS!$AQ$18</definedName>
    <definedName name="X_EF" hidden="1">PROBLEMA!$R$42</definedName>
    <definedName name="X_F" hidden="1">OCULTOS!$AQ$19</definedName>
    <definedName name="X_FG" hidden="1">PROBLEMA!$R$44</definedName>
    <definedName name="X_G" hidden="1">OCULTOS!$AQ$20</definedName>
    <definedName name="X_GH" hidden="1">PROBLEMA!$R$46</definedName>
    <definedName name="X_GJ" hidden="1">PROBLEMA!$R$50</definedName>
    <definedName name="X_H" hidden="1">OCULTOS!$AQ$21</definedName>
    <definedName name="X_HI" hidden="1">PROBLEMA!$R$48</definedName>
    <definedName name="X_I" hidden="1">OCULTOS!$AQ$22</definedName>
    <definedName name="X_J" hidden="1">OCULTOS!$AQ$23</definedName>
    <definedName name="X_JK" hidden="1">PROBLEMA!$R$52</definedName>
    <definedName name="X_K" hidden="1">OCULTOS!$AQ$24</definedName>
    <definedName name="X_KL" hidden="1">PROBLEMA!$R$54</definedName>
    <definedName name="X_L" hidden="1">OCULTOS!$AQ$25</definedName>
    <definedName name="X_LM" hidden="1">PROBLEMA!$R$56</definedName>
    <definedName name="X_M" hidden="1">OCULTOS!$AQ$26</definedName>
    <definedName name="X_MN" hidden="1">PROBLEMA!$R$58</definedName>
    <definedName name="X_MO" hidden="1">PROBLEMA!$R$60</definedName>
    <definedName name="X_N" hidden="1">OCULTOS!$AQ$27</definedName>
    <definedName name="X_O" hidden="1">OCULTOS!$AQ$28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0" i="41" l="1"/>
  <c r="CG5" i="39"/>
  <c r="CG6" i="39"/>
  <c r="CG7" i="39"/>
  <c r="CG8" i="39"/>
  <c r="CG9" i="39"/>
  <c r="CG10" i="39"/>
  <c r="CG11" i="39"/>
  <c r="CG12" i="39"/>
  <c r="CG13" i="39"/>
  <c r="CG14" i="39"/>
  <c r="CG15" i="39"/>
  <c r="CG16" i="39"/>
  <c r="CG17" i="39"/>
  <c r="CG18" i="39"/>
  <c r="CG19" i="39"/>
  <c r="CG20" i="39"/>
  <c r="CG21" i="39"/>
  <c r="CG22" i="39"/>
  <c r="CG23" i="39"/>
  <c r="CG24" i="39"/>
  <c r="CG25" i="39"/>
  <c r="CG26" i="39"/>
  <c r="CG27" i="39"/>
  <c r="CG28" i="39"/>
  <c r="CG29" i="39"/>
  <c r="CG30" i="39"/>
  <c r="CG31" i="39"/>
  <c r="A31" i="39"/>
  <c r="CH31" i="39"/>
  <c r="A30" i="39"/>
  <c r="CH30" i="39"/>
  <c r="A29" i="39"/>
  <c r="CH29" i="39"/>
  <c r="A28" i="39"/>
  <c r="CH28" i="39"/>
  <c r="A27" i="39"/>
  <c r="CH27" i="39"/>
  <c r="A26" i="39"/>
  <c r="CH26" i="39"/>
  <c r="A25" i="39"/>
  <c r="CH25" i="39"/>
  <c r="A24" i="39"/>
  <c r="CH24" i="39"/>
  <c r="A23" i="39"/>
  <c r="CH23" i="39"/>
  <c r="A22" i="39"/>
  <c r="CH22" i="39"/>
  <c r="A21" i="39"/>
  <c r="CH21" i="39"/>
  <c r="A20" i="39"/>
  <c r="CH20" i="39"/>
  <c r="A19" i="39"/>
  <c r="CH19" i="39"/>
  <c r="A18" i="39"/>
  <c r="CH18" i="39"/>
  <c r="A17" i="39"/>
  <c r="CH17" i="39"/>
  <c r="A16" i="39"/>
  <c r="CH16" i="39"/>
  <c r="A15" i="39"/>
  <c r="CH15" i="39"/>
  <c r="A14" i="39"/>
  <c r="CH14" i="39"/>
  <c r="A13" i="39"/>
  <c r="CH13" i="39"/>
  <c r="A12" i="39"/>
  <c r="CH12" i="39"/>
  <c r="A11" i="39"/>
  <c r="CH11" i="39"/>
  <c r="A10" i="39"/>
  <c r="CH10" i="39"/>
  <c r="A9" i="39"/>
  <c r="CH9" i="39"/>
  <c r="A8" i="39"/>
  <c r="CH8" i="39"/>
  <c r="A7" i="39"/>
  <c r="CH7" i="39"/>
  <c r="A6" i="39"/>
  <c r="CH6" i="39"/>
  <c r="CF5" i="47"/>
  <c r="CF6" i="47"/>
  <c r="CF7" i="47"/>
  <c r="CF8" i="47"/>
  <c r="CF9" i="47"/>
  <c r="CF10" i="47"/>
  <c r="CF11" i="47"/>
  <c r="CF12" i="47"/>
  <c r="CF13" i="47"/>
  <c r="CF14" i="47"/>
  <c r="CF15" i="47"/>
  <c r="CF16" i="47"/>
  <c r="CF17" i="47"/>
  <c r="CF18" i="47"/>
  <c r="CF19" i="47"/>
  <c r="CF20" i="47"/>
  <c r="CF21" i="47"/>
  <c r="CF22" i="47"/>
  <c r="CF23" i="47"/>
  <c r="CF24" i="47"/>
  <c r="CF25" i="47"/>
  <c r="CF26" i="47"/>
  <c r="CF27" i="47"/>
  <c r="CF28" i="47"/>
  <c r="CF29" i="47"/>
  <c r="CF30" i="47"/>
  <c r="CF31" i="47"/>
  <c r="Y5" i="47"/>
  <c r="AN5" i="47" s="1"/>
  <c r="Z6" i="47"/>
  <c r="AO6" i="47" s="1"/>
  <c r="BD6" i="47" s="1"/>
  <c r="Z7" i="47"/>
  <c r="Y7" i="47" s="1"/>
  <c r="X7" i="47" s="1"/>
  <c r="W7" i="47" s="1"/>
  <c r="AA8" i="47"/>
  <c r="AB8" i="47" s="1"/>
  <c r="AA9" i="47"/>
  <c r="AB9" i="47" s="1"/>
  <c r="AA10" i="47"/>
  <c r="AA11" i="47"/>
  <c r="AA12" i="47"/>
  <c r="AB12" i="47" s="1"/>
  <c r="AA13" i="47"/>
  <c r="Y13" i="47" s="1"/>
  <c r="AA14" i="47"/>
  <c r="AP14" i="47" s="1"/>
  <c r="BE14" i="47" s="1"/>
  <c r="Z15" i="47"/>
  <c r="Y16" i="47"/>
  <c r="AN16" i="47"/>
  <c r="BC16" i="47"/>
  <c r="Y17" i="47"/>
  <c r="AN17" i="47"/>
  <c r="BC17" i="47"/>
  <c r="Y18" i="47"/>
  <c r="Z18" i="47" s="1"/>
  <c r="AN18" i="47"/>
  <c r="AO18" i="47"/>
  <c r="BC18" i="47"/>
  <c r="X19" i="47"/>
  <c r="Y19" i="47" s="1"/>
  <c r="AM19" i="47"/>
  <c r="AN19" i="47"/>
  <c r="BC19" i="47"/>
  <c r="AB13" i="47" l="1"/>
  <c r="AD13" i="47" s="1"/>
  <c r="AP8" i="47"/>
  <c r="BE8" i="47" s="1"/>
  <c r="AP12" i="47"/>
  <c r="BE12" i="47" s="1"/>
  <c r="AO7" i="47"/>
  <c r="BD7" i="47" s="1"/>
  <c r="BB19" i="47"/>
  <c r="Y12" i="47"/>
  <c r="AB14" i="47"/>
  <c r="AC14" i="47" s="1"/>
  <c r="AD14" i="47" s="1"/>
  <c r="AC8" i="47"/>
  <c r="AD12" i="47"/>
  <c r="AP9" i="47"/>
  <c r="BE9" i="47" s="1"/>
  <c r="Y6" i="47"/>
  <c r="AN6" i="47" s="1"/>
  <c r="AC9" i="47"/>
  <c r="BD18" i="47"/>
  <c r="AP13" i="47"/>
  <c r="BE13" i="47" s="1"/>
  <c r="AA15" i="47"/>
  <c r="AO15" i="47"/>
  <c r="BD15" i="47" s="1"/>
  <c r="AP11" i="47"/>
  <c r="BE11" i="47" s="1"/>
  <c r="AB11" i="47"/>
  <c r="AB10" i="47"/>
  <c r="AP10" i="47"/>
  <c r="BE10" i="47" s="1"/>
  <c r="BC5" i="47"/>
  <c r="X5" i="47"/>
  <c r="W5" i="47" s="1"/>
  <c r="A5" i="39"/>
  <c r="CH5" i="39"/>
  <c r="V5" i="1"/>
  <c r="AN7" i="47" l="1"/>
  <c r="AM7" i="47" s="1"/>
  <c r="AL7" i="47" s="1"/>
  <c r="AQ12" i="47"/>
  <c r="BF12" i="47" s="1"/>
  <c r="BG12" i="47" s="1"/>
  <c r="AQ8" i="47"/>
  <c r="BF8" i="47" s="1"/>
  <c r="AQ14" i="47"/>
  <c r="AR14" i="47" s="1"/>
  <c r="AM5" i="47"/>
  <c r="AL5" i="47" s="1"/>
  <c r="BC6" i="47"/>
  <c r="AQ9" i="47"/>
  <c r="BF9" i="47" s="1"/>
  <c r="X6" i="47"/>
  <c r="W6" i="47" s="1"/>
  <c r="AQ13" i="47"/>
  <c r="AS13" i="47" s="1"/>
  <c r="AQ11" i="47"/>
  <c r="BF11" i="47" s="1"/>
  <c r="BG11" i="47" s="1"/>
  <c r="AD11" i="47"/>
  <c r="AD10" i="47"/>
  <c r="AQ10" i="47"/>
  <c r="BF10" i="47" s="1"/>
  <c r="BG10" i="47" s="1"/>
  <c r="AB15" i="47"/>
  <c r="AP15" i="47"/>
  <c r="AQ15" i="47" s="1"/>
  <c r="CG5" i="47"/>
  <c r="CG6" i="47"/>
  <c r="CG7" i="47"/>
  <c r="CG8" i="47"/>
  <c r="CG9" i="47"/>
  <c r="CG10" i="47"/>
  <c r="CG11" i="47"/>
  <c r="CG12" i="47"/>
  <c r="CG13" i="47"/>
  <c r="CG14" i="47"/>
  <c r="CG15" i="47"/>
  <c r="CG16" i="47"/>
  <c r="CG17" i="47"/>
  <c r="CG18" i="47"/>
  <c r="CG19" i="47"/>
  <c r="CG20" i="47"/>
  <c r="CG21" i="47"/>
  <c r="CG22" i="47"/>
  <c r="CG23" i="47"/>
  <c r="CG24" i="47"/>
  <c r="CG25" i="47"/>
  <c r="CG26" i="47"/>
  <c r="CG27" i="47"/>
  <c r="CG28" i="47"/>
  <c r="CG29" i="47"/>
  <c r="CG30" i="47"/>
  <c r="CG31" i="47"/>
  <c r="AS12" i="47" l="1"/>
  <c r="BH12" i="47" s="1"/>
  <c r="AR8" i="47"/>
  <c r="BG8" i="47" s="1"/>
  <c r="BC7" i="47"/>
  <c r="BB7" i="47" s="1"/>
  <c r="BA7" i="47" s="1"/>
  <c r="BB5" i="47"/>
  <c r="BA5" i="47" s="1"/>
  <c r="BO5" i="47" s="1"/>
  <c r="AN12" i="47"/>
  <c r="BD12" i="47" s="1"/>
  <c r="BC12" i="47" s="1"/>
  <c r="AS14" i="47"/>
  <c r="BF14" i="47"/>
  <c r="BG14" i="47" s="1"/>
  <c r="AM6" i="47"/>
  <c r="AL6" i="47" s="1"/>
  <c r="AR9" i="47"/>
  <c r="BG9" i="47" s="1"/>
  <c r="AN13" i="47"/>
  <c r="BF13" i="47"/>
  <c r="BE15" i="47"/>
  <c r="BF15" i="47" s="1"/>
  <c r="AS10" i="47"/>
  <c r="BH10" i="47" s="1"/>
  <c r="AC15" i="47"/>
  <c r="AS11" i="47"/>
  <c r="BH11" i="47" s="1"/>
  <c r="CG1" i="47"/>
  <c r="BH14" i="47" l="1"/>
  <c r="BB6" i="47"/>
  <c r="BA6" i="47" s="1"/>
  <c r="BG13" i="47"/>
  <c r="BH13" i="47" s="1"/>
  <c r="BD13" i="47"/>
  <c r="BC13" i="47" s="1"/>
  <c r="AR15" i="47"/>
  <c r="BG15" i="47" s="1"/>
  <c r="BP5" i="47"/>
  <c r="BQ5" i="47" s="1"/>
  <c r="J10" i="47"/>
  <c r="G10" i="47"/>
  <c r="I10" i="47" s="1"/>
  <c r="G9" i="47"/>
  <c r="J9" i="47" s="1"/>
  <c r="G8" i="47"/>
  <c r="J8" i="47" s="1"/>
  <c r="F7" i="47"/>
  <c r="C7" i="47"/>
  <c r="E7" i="47" s="1"/>
  <c r="F6" i="47"/>
  <c r="C6" i="47"/>
  <c r="E6" i="47" s="1"/>
  <c r="Q7" i="47" a="1"/>
  <c r="D6" i="47" l="1"/>
  <c r="H8" i="47"/>
  <c r="H9" i="47"/>
  <c r="I8" i="47"/>
  <c r="I9" i="47"/>
  <c r="D7" i="47"/>
  <c r="H10" i="47"/>
  <c r="Q7" i="47"/>
  <c r="BT8" i="47" l="1"/>
  <c r="BT9" i="47"/>
  <c r="BT10" i="47"/>
  <c r="BO7" i="47"/>
  <c r="BO6" i="47" l="1"/>
  <c r="BR7" i="47"/>
  <c r="BP7" i="47" s="1"/>
  <c r="BQ7" i="47" s="1"/>
  <c r="BS7" i="47"/>
  <c r="BR6" i="47" l="1"/>
  <c r="B7" i="47"/>
  <c r="CF1" i="47"/>
  <c r="F42" i="2" a="1"/>
  <c r="M33" i="2" a="1"/>
  <c r="D33" i="2" a="1"/>
  <c r="K33" i="2" a="1"/>
  <c r="L33" i="2" a="1"/>
  <c r="C42" i="2" a="1"/>
  <c r="B33" i="2" a="1"/>
  <c r="R20" i="47" a="1"/>
  <c r="D42" i="2" a="1"/>
  <c r="G33" i="2" a="1"/>
  <c r="J33" i="2" a="1"/>
  <c r="J42" i="2" a="1"/>
  <c r="E42" i="2" a="1"/>
  <c r="I33" i="2" a="1"/>
  <c r="F33" i="2" a="1"/>
  <c r="H42" i="2" a="1"/>
  <c r="G42" i="2" a="1"/>
  <c r="K42" i="2" a="1"/>
  <c r="C33" i="2" a="1"/>
  <c r="H33" i="2" a="1"/>
  <c r="L42" i="2" a="1"/>
  <c r="M42" i="2" a="1"/>
  <c r="R28" i="47" a="1"/>
  <c r="B42" i="2" a="1"/>
  <c r="E33" i="2" a="1"/>
  <c r="I42" i="2" a="1"/>
  <c r="M33" i="2" l="1"/>
  <c r="L33" i="2"/>
  <c r="J33" i="2"/>
  <c r="K33" i="2"/>
  <c r="I33" i="2"/>
  <c r="H33" i="2"/>
  <c r="G33" i="2"/>
  <c r="F33" i="2"/>
  <c r="M42" i="2"/>
  <c r="M44" i="2" s="1" a="1"/>
  <c r="M44" i="2" s="1"/>
  <c r="L42" i="2"/>
  <c r="L44" i="2" s="1" a="1"/>
  <c r="L44" i="2" s="1"/>
  <c r="K42" i="2"/>
  <c r="J42" i="2"/>
  <c r="I42" i="2"/>
  <c r="I44" i="2" s="1" a="1"/>
  <c r="I44" i="2" s="1"/>
  <c r="H42" i="2"/>
  <c r="G42" i="2"/>
  <c r="F42" i="2"/>
  <c r="F44" i="2" s="1" a="1"/>
  <c r="F44" i="2" s="1"/>
  <c r="E42" i="2"/>
  <c r="E44" i="2" s="1" a="1"/>
  <c r="E44" i="2" s="1"/>
  <c r="E33" i="2"/>
  <c r="D42" i="2"/>
  <c r="D44" i="2" s="1" a="1"/>
  <c r="D44" i="2" s="1"/>
  <c r="D33" i="2"/>
  <c r="R20" i="47"/>
  <c r="C42" i="2"/>
  <c r="C44" i="2" s="1" a="1"/>
  <c r="C44" i="2" s="1"/>
  <c r="C33" i="2"/>
  <c r="B33" i="2"/>
  <c r="B42" i="2"/>
  <c r="B44" i="2" s="1" a="1"/>
  <c r="B44" i="2" s="1"/>
  <c r="R28" i="47"/>
  <c r="E28" i="47"/>
  <c r="E27" i="47"/>
  <c r="E29" i="47"/>
  <c r="I31" i="47"/>
  <c r="J31" i="47" s="1"/>
  <c r="P31" i="47"/>
  <c r="M31" i="47"/>
  <c r="N31" i="47" s="1"/>
  <c r="K31" i="47"/>
  <c r="L31" i="47" s="1"/>
  <c r="G31" i="47"/>
  <c r="H31" i="47" s="1"/>
  <c r="P30" i="47"/>
  <c r="M30" i="47"/>
  <c r="N30" i="47" s="1"/>
  <c r="K30" i="47"/>
  <c r="L30" i="47" s="1"/>
  <c r="G30" i="47"/>
  <c r="H30" i="47" s="1"/>
  <c r="M29" i="47"/>
  <c r="N29" i="47" s="1"/>
  <c r="K29" i="47"/>
  <c r="L29" i="47" s="1"/>
  <c r="G29" i="47"/>
  <c r="H29" i="47" s="1"/>
  <c r="K28" i="47"/>
  <c r="L28" i="47" s="1"/>
  <c r="G28" i="47"/>
  <c r="H28" i="47" s="1"/>
  <c r="K27" i="47"/>
  <c r="L27" i="47" s="1"/>
  <c r="G27" i="47"/>
  <c r="H27" i="47" s="1"/>
  <c r="F26" i="47"/>
  <c r="E26" i="47" s="1"/>
  <c r="O25" i="47"/>
  <c r="M25" i="47"/>
  <c r="N25" i="47" s="1"/>
  <c r="K25" i="47"/>
  <c r="L25" i="47" s="1"/>
  <c r="F25" i="47"/>
  <c r="H25" i="47" s="1"/>
  <c r="D25" i="47"/>
  <c r="E25" i="47" s="1"/>
  <c r="I24" i="47"/>
  <c r="J24" i="47" s="1"/>
  <c r="F24" i="47"/>
  <c r="H24" i="47" s="1"/>
  <c r="C24" i="47"/>
  <c r="E24" i="47" s="1"/>
  <c r="G23" i="47"/>
  <c r="H23" i="47" s="1"/>
  <c r="G21" i="47"/>
  <c r="H21" i="47" s="1"/>
  <c r="K23" i="47"/>
  <c r="L23" i="47" s="1"/>
  <c r="I23" i="47"/>
  <c r="J23" i="47" s="1"/>
  <c r="C23" i="47"/>
  <c r="E23" i="47" s="1"/>
  <c r="D22" i="47"/>
  <c r="E22" i="47" s="1"/>
  <c r="K22" i="47"/>
  <c r="L22" i="47" s="1"/>
  <c r="F22" i="47"/>
  <c r="H22" i="47" s="1"/>
  <c r="G14" i="47"/>
  <c r="J14" i="47" s="1"/>
  <c r="J13" i="47"/>
  <c r="F13" i="47" s="1"/>
  <c r="G13" i="47"/>
  <c r="H13" i="47" s="1"/>
  <c r="J12" i="47"/>
  <c r="F12" i="47" s="1"/>
  <c r="G12" i="47"/>
  <c r="I12" i="47" s="1"/>
  <c r="R24" i="47" a="1"/>
  <c r="R30" i="47" a="1"/>
  <c r="R26" i="47" a="1"/>
  <c r="R23" i="47" a="1"/>
  <c r="R29" i="47" a="1"/>
  <c r="R27" i="47" a="1"/>
  <c r="R22" i="47" a="1"/>
  <c r="R31" i="47" a="1"/>
  <c r="R25" i="47" a="1"/>
  <c r="K44" i="2" l="1" a="1"/>
  <c r="K44" i="2" s="1"/>
  <c r="H44" i="2" a="1"/>
  <c r="H44" i="2" s="1"/>
  <c r="G44" i="2" a="1"/>
  <c r="G44" i="2" s="1"/>
  <c r="J44" i="2" a="1"/>
  <c r="J44" i="2" s="1"/>
  <c r="S28" i="47"/>
  <c r="S20" i="47"/>
  <c r="O31" i="47"/>
  <c r="R31" i="47"/>
  <c r="R30" i="47"/>
  <c r="R29" i="47"/>
  <c r="I28" i="47"/>
  <c r="R27" i="47"/>
  <c r="R26" i="47"/>
  <c r="R25" i="47"/>
  <c r="G25" i="47"/>
  <c r="D24" i="47"/>
  <c r="R24" i="47"/>
  <c r="G24" i="47"/>
  <c r="D23" i="47"/>
  <c r="R23" i="47"/>
  <c r="G22" i="47"/>
  <c r="R22" i="47"/>
  <c r="H14" i="47"/>
  <c r="I14" i="47"/>
  <c r="I13" i="47"/>
  <c r="H12" i="47"/>
  <c r="S29" i="47" l="1"/>
  <c r="S25" i="47"/>
  <c r="S31" i="47"/>
  <c r="S23" i="47"/>
  <c r="S27" i="47"/>
  <c r="S22" i="47"/>
  <c r="S24" i="47"/>
  <c r="S30" i="47"/>
  <c r="S26" i="47"/>
  <c r="BR17" i="47"/>
  <c r="BR16" i="47"/>
  <c r="P21" i="47"/>
  <c r="O21" i="47"/>
  <c r="M21" i="47"/>
  <c r="N21" i="47" s="1"/>
  <c r="K21" i="47"/>
  <c r="L21" i="47" s="1"/>
  <c r="I21" i="47"/>
  <c r="J21" i="47" s="1"/>
  <c r="C21" i="47"/>
  <c r="P20" i="47"/>
  <c r="O20" i="47"/>
  <c r="M20" i="47"/>
  <c r="N20" i="47" s="1"/>
  <c r="K20" i="47"/>
  <c r="L20" i="47" s="1"/>
  <c r="I20" i="47"/>
  <c r="J20" i="47" s="1"/>
  <c r="F20" i="47"/>
  <c r="G20" i="47" s="1"/>
  <c r="J11" i="47"/>
  <c r="C20" i="47"/>
  <c r="E19" i="47"/>
  <c r="E18" i="47"/>
  <c r="E17" i="47"/>
  <c r="E16" i="47"/>
  <c r="G15" i="47"/>
  <c r="G11" i="47"/>
  <c r="C5" i="47"/>
  <c r="J15" i="47" l="1"/>
  <c r="E20" i="47"/>
  <c r="D5" i="47"/>
  <c r="I11" i="47"/>
  <c r="E21" i="47"/>
  <c r="D21" i="47"/>
  <c r="H20" i="47"/>
  <c r="I15" i="47"/>
  <c r="D20" i="47"/>
  <c r="H15" i="47"/>
  <c r="H11" i="47"/>
  <c r="E5" i="47"/>
  <c r="T6" i="2" a="1"/>
  <c r="BT14" i="47" l="1"/>
  <c r="BR19" i="47"/>
  <c r="T6" i="2"/>
  <c r="R21" i="47" a="1"/>
  <c r="BT12" i="47" l="1"/>
  <c r="BT13" i="47"/>
  <c r="BT15" i="47"/>
  <c r="BR18" i="47"/>
  <c r="CD20" i="47"/>
  <c r="R21" i="47"/>
  <c r="S21" i="47" l="1"/>
  <c r="BT11" i="47"/>
  <c r="S41" i="41"/>
  <c r="Q40" i="41"/>
  <c r="R41" i="41"/>
  <c r="Q41" i="41"/>
  <c r="P41" i="41"/>
  <c r="E42" i="6" l="1"/>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E2" i="6"/>
  <c r="E98" i="42" l="1"/>
  <c r="E97" i="42"/>
  <c r="E96" i="42"/>
  <c r="E95" i="42"/>
  <c r="E94" i="42"/>
  <c r="AV36" i="1" l="1"/>
  <c r="E88" i="42" l="1"/>
  <c r="E89" i="42"/>
  <c r="E90" i="42"/>
  <c r="E87" i="42"/>
  <c r="D104" i="42" l="1"/>
  <c r="E104" i="42" s="1"/>
  <c r="D103" i="42"/>
  <c r="E103" i="42" s="1"/>
  <c r="D102" i="42"/>
  <c r="E102" i="42" s="1"/>
  <c r="E93" i="42"/>
  <c r="E86" i="42"/>
  <c r="E85" i="42"/>
  <c r="E84" i="42"/>
  <c r="E83" i="42"/>
  <c r="E82" i="42"/>
  <c r="E81" i="42"/>
  <c r="E80" i="42"/>
  <c r="E79" i="42"/>
  <c r="E78" i="42"/>
  <c r="E77" i="42"/>
  <c r="E76" i="42"/>
  <c r="E75" i="42"/>
  <c r="E74" i="42"/>
  <c r="E73" i="42"/>
  <c r="E72" i="42"/>
  <c r="E71" i="42"/>
  <c r="E70" i="42"/>
  <c r="E69" i="42"/>
  <c r="E68" i="42"/>
  <c r="E67" i="42"/>
  <c r="E66" i="42"/>
  <c r="E65" i="42"/>
  <c r="E64" i="42"/>
  <c r="E63" i="42"/>
  <c r="E62" i="42"/>
  <c r="E61" i="42"/>
  <c r="E60" i="42"/>
  <c r="E59" i="42"/>
  <c r="E58" i="42"/>
  <c r="E57" i="42"/>
  <c r="E56" i="42"/>
  <c r="E55" i="42"/>
  <c r="E54" i="42"/>
  <c r="E53" i="42"/>
  <c r="E52" i="42"/>
  <c r="E51" i="42"/>
  <c r="E50" i="42"/>
  <c r="E49" i="42"/>
  <c r="E48" i="42"/>
  <c r="E47" i="42"/>
  <c r="E46" i="42"/>
  <c r="E45" i="42"/>
  <c r="E44" i="42"/>
  <c r="E43" i="42"/>
  <c r="E42" i="42"/>
  <c r="E41" i="42"/>
  <c r="E40" i="42"/>
  <c r="E39" i="42"/>
  <c r="E38" i="42"/>
  <c r="E37" i="42"/>
  <c r="E36" i="42"/>
  <c r="E35" i="42"/>
  <c r="E34" i="42"/>
  <c r="E33" i="42"/>
  <c r="E32" i="42"/>
  <c r="E31" i="42"/>
  <c r="E30" i="42"/>
  <c r="E29" i="42"/>
  <c r="E28" i="42"/>
  <c r="E27" i="42"/>
  <c r="E26" i="42"/>
  <c r="E25" i="42"/>
  <c r="E24" i="42"/>
  <c r="E23" i="42"/>
  <c r="E22" i="42"/>
  <c r="E21" i="42"/>
  <c r="E20" i="42"/>
  <c r="E19" i="42"/>
  <c r="E18" i="42"/>
  <c r="E17" i="42"/>
  <c r="E16" i="42"/>
  <c r="E15" i="42"/>
  <c r="C15" i="42"/>
  <c r="E14" i="42"/>
  <c r="E13" i="42"/>
  <c r="E12" i="42"/>
  <c r="E11" i="42"/>
  <c r="E10" i="42"/>
  <c r="E9" i="42"/>
  <c r="E8" i="42"/>
  <c r="E7" i="42"/>
  <c r="E6" i="42"/>
  <c r="E5" i="42"/>
  <c r="E4" i="42"/>
  <c r="E3" i="42"/>
  <c r="A3" i="42"/>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A28" i="42" s="1"/>
  <c r="A29" i="42" s="1"/>
  <c r="A30" i="42" s="1"/>
  <c r="A31" i="42" s="1"/>
  <c r="A32" i="42" s="1"/>
  <c r="A33" i="42" s="1"/>
  <c r="A34" i="42" s="1"/>
  <c r="A35" i="42" s="1"/>
  <c r="A36" i="42" s="1"/>
  <c r="A37" i="42" s="1"/>
  <c r="A38" i="42" s="1"/>
  <c r="A39" i="42" s="1"/>
  <c r="A40" i="42" s="1"/>
  <c r="A41" i="42" s="1"/>
  <c r="A42" i="42" s="1"/>
  <c r="A43" i="42" s="1"/>
  <c r="A44" i="42" s="1"/>
  <c r="A45" i="42" s="1"/>
  <c r="A46" i="42" s="1"/>
  <c r="A47" i="42" s="1"/>
  <c r="A48" i="42" s="1"/>
  <c r="A49" i="42" s="1"/>
  <c r="A50" i="42" s="1"/>
  <c r="A51" i="42" s="1"/>
  <c r="A52" i="42" s="1"/>
  <c r="A53" i="42" s="1"/>
  <c r="A54" i="42" s="1"/>
  <c r="A55" i="42" s="1"/>
  <c r="A56" i="42" s="1"/>
  <c r="A57" i="42" s="1"/>
  <c r="A58" i="42" s="1"/>
  <c r="A59" i="42" s="1"/>
  <c r="A60" i="42" s="1"/>
  <c r="A61" i="42" s="1"/>
  <c r="A62" i="42" s="1"/>
  <c r="A63" i="42" s="1"/>
  <c r="A64" i="42" s="1"/>
  <c r="A65" i="42" s="1"/>
  <c r="A66" i="42" s="1"/>
  <c r="A67" i="42" s="1"/>
  <c r="A68" i="42" s="1"/>
  <c r="A69" i="42" s="1"/>
  <c r="A70" i="42" s="1"/>
  <c r="A71" i="42" s="1"/>
  <c r="A72" i="42" s="1"/>
  <c r="A73" i="42" s="1"/>
  <c r="A74" i="42" s="1"/>
  <c r="A75" i="42" s="1"/>
  <c r="A76" i="42" s="1"/>
  <c r="A77" i="42" s="1"/>
  <c r="A78" i="42" s="1"/>
  <c r="A79" i="42" s="1"/>
  <c r="A80" i="42" s="1"/>
  <c r="A81" i="42" s="1"/>
  <c r="A82" i="42" s="1"/>
  <c r="A83" i="42" s="1"/>
  <c r="A84" i="42" s="1"/>
  <c r="A85" i="42" s="1"/>
  <c r="A86" i="42" s="1"/>
  <c r="A87" i="42" s="1"/>
  <c r="A88" i="42" s="1"/>
  <c r="A89" i="42" s="1"/>
  <c r="A90" i="42" s="1"/>
  <c r="E2" i="42"/>
  <c r="A35" i="41"/>
  <c r="A34" i="41"/>
  <c r="K34" i="41" s="1"/>
  <c r="A33" i="41"/>
  <c r="A32" i="41"/>
  <c r="K32" i="41" s="1"/>
  <c r="A31" i="41"/>
  <c r="A30" i="41"/>
  <c r="K30" i="41" s="1"/>
  <c r="A29" i="41"/>
  <c r="A28" i="41"/>
  <c r="K28" i="41" s="1"/>
  <c r="A27" i="41"/>
  <c r="A26" i="41"/>
  <c r="K26" i="41" s="1"/>
  <c r="A25" i="41"/>
  <c r="A24" i="41"/>
  <c r="K24" i="41" s="1"/>
  <c r="A23" i="41"/>
  <c r="A22" i="41"/>
  <c r="K22" i="41" s="1"/>
  <c r="A21" i="41"/>
  <c r="A20" i="41"/>
  <c r="K20" i="41" s="1"/>
  <c r="A19" i="41"/>
  <c r="A18" i="41"/>
  <c r="K18" i="41" s="1"/>
  <c r="A17" i="41"/>
  <c r="A16" i="41"/>
  <c r="K16" i="41" s="1"/>
  <c r="A15" i="41"/>
  <c r="A14" i="41"/>
  <c r="K14" i="41" s="1"/>
  <c r="A13" i="41"/>
  <c r="A12" i="41"/>
  <c r="K12" i="41" s="1"/>
  <c r="A11" i="41"/>
  <c r="A10" i="41"/>
  <c r="K10" i="41" s="1"/>
  <c r="A9" i="41"/>
  <c r="A8" i="41"/>
  <c r="K8" i="41" s="1"/>
  <c r="BE28" i="2"/>
  <c r="BE27" i="2"/>
  <c r="BE26" i="2"/>
  <c r="BE25" i="2"/>
  <c r="BE24" i="2"/>
  <c r="BE23" i="2"/>
  <c r="BE22" i="2"/>
  <c r="BE21" i="2"/>
  <c r="BE20" i="2"/>
  <c r="BE19" i="2"/>
  <c r="BE18" i="2"/>
  <c r="BE17" i="2"/>
  <c r="BE16" i="2"/>
  <c r="BE15" i="2"/>
  <c r="BE14" i="2"/>
  <c r="A8" i="2"/>
  <c r="A7" i="2"/>
  <c r="A6" i="2"/>
  <c r="S4" i="2"/>
  <c r="AS47" i="1"/>
  <c r="F67" i="42" a="1"/>
  <c r="G2" i="42" a="1"/>
  <c r="G49" i="42" a="1"/>
  <c r="F59" i="42" a="1"/>
  <c r="G76" i="42" a="1"/>
  <c r="G31" i="42" a="1"/>
  <c r="F10" i="42" a="1"/>
  <c r="F16" i="42" a="1"/>
  <c r="F77" i="42" a="1"/>
  <c r="Q21" i="47" a="1"/>
  <c r="G29" i="42" a="1"/>
  <c r="F45" i="42" a="1"/>
  <c r="G10" i="42" a="1"/>
  <c r="G13" i="42" a="1"/>
  <c r="G15" i="42" a="1"/>
  <c r="F53" i="42" a="1"/>
  <c r="F61" i="42" a="1"/>
  <c r="G36" i="42" a="1"/>
  <c r="F47" i="42" a="1"/>
  <c r="F35" i="42" a="1"/>
  <c r="G28" i="42" a="1"/>
  <c r="G50" i="42" a="1"/>
  <c r="Q18" i="47" a="1"/>
  <c r="F44" i="42" a="1"/>
  <c r="G22" i="42" a="1"/>
  <c r="G61" i="42" a="1"/>
  <c r="G19" i="42" a="1"/>
  <c r="G14" i="42" a="1"/>
  <c r="G11" i="42" a="1"/>
  <c r="F17" i="42" a="1"/>
  <c r="F54" i="42" a="1"/>
  <c r="G79" i="42" a="1"/>
  <c r="Q27" i="47" a="1"/>
  <c r="G64" i="42" a="1"/>
  <c r="G62" i="42" a="1"/>
  <c r="G52" i="42" a="1"/>
  <c r="F80" i="42" a="1"/>
  <c r="G78" i="42" a="1"/>
  <c r="F39" i="42" a="1"/>
  <c r="G67" i="42" a="1"/>
  <c r="G80" i="42" a="1"/>
  <c r="F5" i="42" a="1"/>
  <c r="G38" i="42" a="1"/>
  <c r="G83" i="42" a="1"/>
  <c r="F9" i="42" a="1"/>
  <c r="G4" i="42" a="1"/>
  <c r="F62" i="42" a="1"/>
  <c r="G35" i="42" a="1"/>
  <c r="G60" i="42" a="1"/>
  <c r="F46" i="42" a="1"/>
  <c r="F71" i="42" a="1"/>
  <c r="F76" i="42" a="1"/>
  <c r="G82" i="42" a="1"/>
  <c r="F74" i="42" a="1"/>
  <c r="F82" i="42" a="1"/>
  <c r="F25" i="42" a="1"/>
  <c r="F51" i="42" a="1"/>
  <c r="G72" i="42" a="1"/>
  <c r="F58" i="42" a="1"/>
  <c r="F30" i="42" a="1"/>
  <c r="F72" i="42" a="1"/>
  <c r="F68" i="42" a="1"/>
  <c r="G46" i="42" a="1"/>
  <c r="G7" i="42" a="1"/>
  <c r="G73" i="42" a="1"/>
  <c r="F15" i="42" a="1"/>
  <c r="Q19" i="47" a="1"/>
  <c r="F86" i="42" a="1"/>
  <c r="F28" i="42" a="1"/>
  <c r="F70" i="42" a="1"/>
  <c r="F34" i="42" a="1"/>
  <c r="F4" i="42" a="1"/>
  <c r="F18" i="42" a="1"/>
  <c r="F37" i="42" a="1"/>
  <c r="F12" i="42" a="1"/>
  <c r="F83" i="42" a="1"/>
  <c r="G39" i="42" a="1"/>
  <c r="F65" i="42" a="1"/>
  <c r="F21" i="42" a="1"/>
  <c r="F13" i="42" a="1"/>
  <c r="G70" i="42" a="1"/>
  <c r="G68" i="42" a="1"/>
  <c r="F57" i="42" a="1"/>
  <c r="G77" i="42" a="1"/>
  <c r="F64" i="42" a="1"/>
  <c r="G40" i="42" a="1"/>
  <c r="G74" i="42" a="1"/>
  <c r="G8" i="42" a="1"/>
  <c r="F31" i="42" a="1"/>
  <c r="G65" i="42" a="1"/>
  <c r="F32" i="42" a="1"/>
  <c r="F41" i="42" a="1"/>
  <c r="F49" i="42" a="1"/>
  <c r="G9" i="42" a="1"/>
  <c r="G66" i="42" a="1"/>
  <c r="F56" i="42" a="1"/>
  <c r="F22" i="42" a="1"/>
  <c r="G57" i="42" a="1"/>
  <c r="F26" i="42" a="1"/>
  <c r="G12" i="42" a="1"/>
  <c r="F66" i="42" a="1"/>
  <c r="G6" i="42" a="1"/>
  <c r="G59" i="42" a="1"/>
  <c r="G34" i="42" a="1"/>
  <c r="G20" i="42" a="1"/>
  <c r="G30" i="42" a="1"/>
  <c r="F63" i="42" a="1"/>
  <c r="G16" i="42" a="1"/>
  <c r="F14" i="42" a="1"/>
  <c r="G21" i="42" a="1"/>
  <c r="G26" i="42" a="1"/>
  <c r="F73" i="42" a="1"/>
  <c r="G25" i="42" a="1"/>
  <c r="F8" i="42" a="1"/>
  <c r="G23" i="42" a="1"/>
  <c r="G69" i="42" a="1"/>
  <c r="G84" i="42" a="1"/>
  <c r="F27" i="42" a="1"/>
  <c r="F50" i="42" a="1"/>
  <c r="F40" i="42" a="1"/>
  <c r="G56" i="42" a="1"/>
  <c r="F23" i="42" a="1"/>
  <c r="F2" i="42" a="1"/>
  <c r="G54" i="42" a="1"/>
  <c r="G87" i="42" a="1"/>
  <c r="G51" i="42" a="1"/>
  <c r="F7" i="42" a="1"/>
  <c r="G44" i="42" a="1"/>
  <c r="G75" i="42" a="1"/>
  <c r="F81" i="42" a="1"/>
  <c r="Q17" i="47" a="1"/>
  <c r="G43" i="42" a="1"/>
  <c r="F11" i="42" a="1"/>
  <c r="F78" i="42" a="1"/>
  <c r="F75" i="42" a="1"/>
  <c r="F29" i="42" a="1"/>
  <c r="Q16" i="47" a="1"/>
  <c r="F48" i="42" a="1"/>
  <c r="G24" i="42" a="1"/>
  <c r="Q23" i="47" a="1"/>
  <c r="F6" i="42" a="1"/>
  <c r="G71" i="42" a="1"/>
  <c r="Q28" i="47" a="1"/>
  <c r="G85" i="42" a="1"/>
  <c r="F79" i="42" a="1"/>
  <c r="F36" i="42" a="1"/>
  <c r="G55" i="42" a="1"/>
  <c r="G32" i="42" a="1"/>
  <c r="F85" i="42" a="1"/>
  <c r="G58" i="42" a="1"/>
  <c r="G27" i="42" a="1"/>
  <c r="F38" i="42" a="1"/>
  <c r="G3" i="42" a="1"/>
  <c r="Q29" i="47" a="1"/>
  <c r="F84" i="42" a="1"/>
  <c r="G45" i="42" a="1"/>
  <c r="G37" i="42" a="1"/>
  <c r="F24" i="42" a="1"/>
  <c r="G33" i="42" a="1"/>
  <c r="G5" i="42" a="1"/>
  <c r="F60" i="42" a="1"/>
  <c r="F43" i="42" a="1"/>
  <c r="F3" i="42" a="1"/>
  <c r="F55" i="42" a="1"/>
  <c r="F69" i="42" a="1"/>
  <c r="G48" i="42" a="1"/>
  <c r="G86" i="42" a="1"/>
  <c r="F52" i="42" a="1"/>
  <c r="G81" i="42" a="1"/>
  <c r="G17" i="42" a="1"/>
  <c r="G41" i="42" a="1"/>
  <c r="G53" i="42" a="1"/>
  <c r="F42" i="42" a="1"/>
  <c r="F19" i="42" a="1"/>
  <c r="G42" i="42" a="1"/>
  <c r="F33" i="42" a="1"/>
  <c r="G47" i="42" a="1"/>
  <c r="G18" i="42" a="1"/>
  <c r="G63" i="42" a="1"/>
  <c r="F20" i="42" a="1"/>
  <c r="Q28" i="47" l="1"/>
  <c r="Q18" i="47"/>
  <c r="Q21" i="47"/>
  <c r="CD21" i="47" s="1"/>
  <c r="Q27" i="47"/>
  <c r="Q29" i="47"/>
  <c r="Q17" i="47"/>
  <c r="Q19" i="47"/>
  <c r="Q23" i="47"/>
  <c r="Q16" i="47"/>
  <c r="H16" i="41"/>
  <c r="H32" i="41"/>
  <c r="B10" i="41"/>
  <c r="H34" i="41"/>
  <c r="B12" i="41"/>
  <c r="E20" i="41"/>
  <c r="B28" i="41"/>
  <c r="H8" i="41"/>
  <c r="B18" i="41"/>
  <c r="H26" i="41"/>
  <c r="E14" i="41"/>
  <c r="E22" i="41"/>
  <c r="H30" i="41"/>
  <c r="G87" i="42"/>
  <c r="H9" i="41"/>
  <c r="E25" i="41"/>
  <c r="B30" i="41"/>
  <c r="H19" i="41"/>
  <c r="H25" i="41"/>
  <c r="E30" i="41"/>
  <c r="B25" i="41"/>
  <c r="H29" i="41"/>
  <c r="B9" i="41"/>
  <c r="E19" i="41"/>
  <c r="E9" i="41"/>
  <c r="H20" i="41"/>
  <c r="B19" i="41"/>
  <c r="H13" i="41"/>
  <c r="E23" i="41"/>
  <c r="B23" i="41"/>
  <c r="E10" i="41"/>
  <c r="B35" i="41"/>
  <c r="B16" i="41"/>
  <c r="E16" i="41"/>
  <c r="H23" i="41"/>
  <c r="E29" i="41"/>
  <c r="B34" i="41"/>
  <c r="H10" i="41"/>
  <c r="B14" i="41"/>
  <c r="B26" i="41"/>
  <c r="B32" i="41"/>
  <c r="E35" i="41"/>
  <c r="E13" i="41"/>
  <c r="E31" i="41"/>
  <c r="H14" i="41"/>
  <c r="E26" i="41"/>
  <c r="E32" i="41"/>
  <c r="H35" i="41"/>
  <c r="B27" i="41"/>
  <c r="E15" i="41"/>
  <c r="B21" i="41"/>
  <c r="E12" i="41"/>
  <c r="H15" i="41"/>
  <c r="E21" i="41"/>
  <c r="H22" i="41"/>
  <c r="H31" i="41"/>
  <c r="B8" i="41"/>
  <c r="E11" i="41"/>
  <c r="H12" i="41"/>
  <c r="B17" i="41"/>
  <c r="E18" i="41"/>
  <c r="H21" i="41"/>
  <c r="B24" i="41"/>
  <c r="E27" i="41"/>
  <c r="H28" i="41"/>
  <c r="B33" i="41"/>
  <c r="E34" i="41"/>
  <c r="E8" i="41"/>
  <c r="H11" i="41"/>
  <c r="E17" i="41"/>
  <c r="H18" i="41"/>
  <c r="E24" i="41"/>
  <c r="E33" i="41"/>
  <c r="B13" i="41"/>
  <c r="H17" i="41"/>
  <c r="B20" i="41"/>
  <c r="H24" i="41"/>
  <c r="B29" i="41"/>
  <c r="H33" i="41"/>
  <c r="B11" i="41"/>
  <c r="E28" i="41"/>
  <c r="H27" i="41"/>
  <c r="B15" i="41"/>
  <c r="B22" i="41"/>
  <c r="B31" i="41"/>
  <c r="F64" i="42"/>
  <c r="G71" i="42"/>
  <c r="G38" i="42"/>
  <c r="G42" i="42"/>
  <c r="F10" i="42"/>
  <c r="F25" i="42"/>
  <c r="F76" i="42"/>
  <c r="G16" i="42"/>
  <c r="F34" i="42"/>
  <c r="F48" i="42"/>
  <c r="G55" i="42"/>
  <c r="F74" i="42"/>
  <c r="G86" i="42"/>
  <c r="G10" i="42"/>
  <c r="G25" i="42"/>
  <c r="F60" i="42"/>
  <c r="G74" i="42"/>
  <c r="F4" i="42"/>
  <c r="F13" i="42"/>
  <c r="F19" i="42"/>
  <c r="F28" i="42"/>
  <c r="G39" i="42"/>
  <c r="F58" i="42"/>
  <c r="G70" i="42"/>
  <c r="F9" i="42"/>
  <c r="G15" i="42"/>
  <c r="F24" i="42"/>
  <c r="F44" i="42"/>
  <c r="G58" i="42"/>
  <c r="G11" i="42"/>
  <c r="G26" i="42"/>
  <c r="F42" i="42"/>
  <c r="G54" i="42"/>
  <c r="F80" i="42"/>
  <c r="F3" i="42"/>
  <c r="G7" i="42"/>
  <c r="G8" i="42"/>
  <c r="G9" i="42"/>
  <c r="F18" i="42"/>
  <c r="G22" i="42"/>
  <c r="G23" i="42"/>
  <c r="G24" i="42"/>
  <c r="F33" i="42"/>
  <c r="G34" i="42"/>
  <c r="F41" i="42"/>
  <c r="G48" i="42"/>
  <c r="F57" i="42"/>
  <c r="G64" i="42"/>
  <c r="F73" i="42"/>
  <c r="G80" i="42"/>
  <c r="F12" i="42"/>
  <c r="F27" i="42"/>
  <c r="F32" i="42"/>
  <c r="G47" i="42"/>
  <c r="F50" i="42"/>
  <c r="G63" i="42"/>
  <c r="F66" i="42"/>
  <c r="G79" i="42"/>
  <c r="F82" i="42"/>
  <c r="F2" i="42"/>
  <c r="G3" i="42"/>
  <c r="F17" i="42"/>
  <c r="G18" i="42"/>
  <c r="G33" i="42"/>
  <c r="F36" i="42"/>
  <c r="F40" i="42"/>
  <c r="G46" i="42"/>
  <c r="G50" i="42"/>
  <c r="F56" i="42"/>
  <c r="G62" i="42"/>
  <c r="G66" i="42"/>
  <c r="F72" i="42"/>
  <c r="G78" i="42"/>
  <c r="G82" i="42"/>
  <c r="F11" i="42"/>
  <c r="F16" i="42"/>
  <c r="F26" i="42"/>
  <c r="G30" i="42"/>
  <c r="G31" i="42"/>
  <c r="G32" i="42"/>
  <c r="F52" i="42"/>
  <c r="F68" i="42"/>
  <c r="F84" i="42"/>
  <c r="G2" i="42"/>
  <c r="F5" i="42"/>
  <c r="G17" i="42"/>
  <c r="F20" i="42"/>
  <c r="F35" i="42"/>
  <c r="G40" i="42"/>
  <c r="F49" i="42"/>
  <c r="G56" i="42"/>
  <c r="F65" i="42"/>
  <c r="G72" i="42"/>
  <c r="F81" i="42"/>
  <c r="G41" i="42"/>
  <c r="F43" i="42"/>
  <c r="G49" i="42"/>
  <c r="F51" i="42"/>
  <c r="G57" i="42"/>
  <c r="F59" i="42"/>
  <c r="G65" i="42"/>
  <c r="F67" i="42"/>
  <c r="G73" i="42"/>
  <c r="F75" i="42"/>
  <c r="G81" i="42"/>
  <c r="F83" i="42"/>
  <c r="G4" i="42"/>
  <c r="F6" i="42"/>
  <c r="G12" i="42"/>
  <c r="F14" i="42"/>
  <c r="G19" i="42"/>
  <c r="F21" i="42"/>
  <c r="G27" i="42"/>
  <c r="F29" i="42"/>
  <c r="G35" i="42"/>
  <c r="F37" i="42"/>
  <c r="G43" i="42"/>
  <c r="F45" i="42"/>
  <c r="G51" i="42"/>
  <c r="F53" i="42"/>
  <c r="G59" i="42"/>
  <c r="F61" i="42"/>
  <c r="G67" i="42"/>
  <c r="F69" i="42"/>
  <c r="G75" i="42"/>
  <c r="F77" i="42"/>
  <c r="G83" i="42"/>
  <c r="F85" i="42"/>
  <c r="G5" i="42"/>
  <c r="F7" i="42"/>
  <c r="G13" i="42"/>
  <c r="G20" i="42"/>
  <c r="F22" i="42"/>
  <c r="G28" i="42"/>
  <c r="F30" i="42"/>
  <c r="G36" i="42"/>
  <c r="F38" i="42"/>
  <c r="G44" i="42"/>
  <c r="F46" i="42"/>
  <c r="G52" i="42"/>
  <c r="F54" i="42"/>
  <c r="G60" i="42"/>
  <c r="F62" i="42"/>
  <c r="G68" i="42"/>
  <c r="F70" i="42"/>
  <c r="G76" i="42"/>
  <c r="F78" i="42"/>
  <c r="G84" i="42"/>
  <c r="F86" i="42"/>
  <c r="G6" i="42"/>
  <c r="F8" i="42"/>
  <c r="G14" i="42"/>
  <c r="F15" i="42"/>
  <c r="G21" i="42"/>
  <c r="F23" i="42"/>
  <c r="G29" i="42"/>
  <c r="F31" i="42"/>
  <c r="G37" i="42"/>
  <c r="F39" i="42"/>
  <c r="G45" i="42"/>
  <c r="F47" i="42"/>
  <c r="G53" i="42"/>
  <c r="F55" i="42"/>
  <c r="G61" i="42"/>
  <c r="F63" i="42"/>
  <c r="G69" i="42"/>
  <c r="F71" i="42"/>
  <c r="G77" i="42"/>
  <c r="F79" i="42"/>
  <c r="G85" i="42"/>
  <c r="I16" i="42" a="1"/>
  <c r="I74" i="42" a="1"/>
  <c r="I10" i="42" a="1"/>
  <c r="I5" i="42" a="1"/>
  <c r="I9" i="42" a="1"/>
  <c r="I21" i="42" a="1"/>
  <c r="G88" i="42" a="1"/>
  <c r="I65" i="42" a="1"/>
  <c r="I27" i="42" a="1"/>
  <c r="I69" i="42" a="1"/>
  <c r="I29" i="42" a="1"/>
  <c r="I64" i="42" a="1"/>
  <c r="I6" i="42" a="1"/>
  <c r="F87" i="42" a="1"/>
  <c r="I54" i="42" a="1"/>
  <c r="I79" i="42" a="1"/>
  <c r="I13" i="42" a="1"/>
  <c r="I47" i="42" a="1"/>
  <c r="I81" i="42" a="1"/>
  <c r="I36" i="42" a="1"/>
  <c r="I24" i="42" a="1"/>
  <c r="I67" i="42" a="1"/>
  <c r="I22" i="42" a="1"/>
  <c r="I38" i="42" a="1"/>
  <c r="I30" i="42" a="1"/>
  <c r="I2" i="42" a="1"/>
  <c r="I23" i="42" a="1"/>
  <c r="I66" i="42" a="1"/>
  <c r="I15" i="42" a="1"/>
  <c r="I49" i="42" a="1"/>
  <c r="I76" i="42" a="1"/>
  <c r="I82" i="42" a="1"/>
  <c r="I45" i="42" a="1"/>
  <c r="I33" i="42" a="1"/>
  <c r="I14" i="42" a="1"/>
  <c r="I17" i="42" a="1"/>
  <c r="I46" i="42" a="1"/>
  <c r="I70" i="42" a="1"/>
  <c r="I61" i="42" a="1"/>
  <c r="I12" i="42" a="1"/>
  <c r="I7" i="42" a="1"/>
  <c r="I73" i="42" a="1"/>
  <c r="I37" i="42" a="1"/>
  <c r="I51" i="42" a="1"/>
  <c r="I55" i="42" a="1"/>
  <c r="I80" i="42" a="1"/>
  <c r="I19" i="42" a="1"/>
  <c r="I77" i="42" a="1"/>
  <c r="I34" i="42" a="1"/>
  <c r="I59" i="42" a="1"/>
  <c r="I52" i="42" a="1"/>
  <c r="I68" i="42" a="1"/>
  <c r="I11" i="42" a="1"/>
  <c r="I44" i="42" a="1"/>
  <c r="I48" i="42" a="1"/>
  <c r="I40" i="42" a="1"/>
  <c r="I4" i="42" a="1"/>
  <c r="I25" i="42" a="1"/>
  <c r="I83" i="42" a="1"/>
  <c r="I3" i="42" a="1"/>
  <c r="I84" i="42" a="1"/>
  <c r="I78" i="42" a="1"/>
  <c r="I86" i="42" a="1"/>
  <c r="I20" i="42" a="1"/>
  <c r="I72" i="42" a="1"/>
  <c r="I28" i="42" a="1"/>
  <c r="I32" i="42" a="1"/>
  <c r="I56" i="42" a="1"/>
  <c r="I31" i="42" a="1"/>
  <c r="I50" i="42" a="1"/>
  <c r="I60" i="42" a="1"/>
  <c r="I53" i="42" a="1"/>
  <c r="I41" i="42" a="1"/>
  <c r="I63" i="42" a="1"/>
  <c r="I62" i="42" a="1"/>
  <c r="I42" i="42" a="1"/>
  <c r="I85" i="42" a="1"/>
  <c r="I18" i="42" a="1"/>
  <c r="I8" i="42" a="1"/>
  <c r="I35" i="42" a="1"/>
  <c r="I58" i="42" a="1"/>
  <c r="I57" i="42" a="1"/>
  <c r="I71" i="42" a="1"/>
  <c r="I43" i="42" a="1"/>
  <c r="I26" i="42" a="1"/>
  <c r="I39" i="42" a="1"/>
  <c r="I75" i="42" a="1"/>
  <c r="I63" i="42" l="1"/>
  <c r="I31" i="42"/>
  <c r="I86" i="42"/>
  <c r="I54" i="42"/>
  <c r="I56" i="42"/>
  <c r="I32" i="42"/>
  <c r="I41" i="42"/>
  <c r="I71" i="42"/>
  <c r="I62" i="42"/>
  <c r="I58" i="42"/>
  <c r="I77" i="42"/>
  <c r="I45" i="42"/>
  <c r="I67" i="42"/>
  <c r="I81" i="42"/>
  <c r="I55" i="42"/>
  <c r="I69" i="42"/>
  <c r="I37" i="42"/>
  <c r="I59" i="42"/>
  <c r="I65" i="42"/>
  <c r="I44" i="42"/>
  <c r="I74" i="42"/>
  <c r="I46" i="42"/>
  <c r="I84" i="42"/>
  <c r="I82" i="42"/>
  <c r="I33" i="42"/>
  <c r="I61" i="42"/>
  <c r="I29" i="42"/>
  <c r="I83" i="42"/>
  <c r="I51" i="42"/>
  <c r="I49" i="42"/>
  <c r="I68" i="42"/>
  <c r="I40" i="42"/>
  <c r="I80" i="42"/>
  <c r="I48" i="42"/>
  <c r="I79" i="42"/>
  <c r="I47" i="42"/>
  <c r="I70" i="42"/>
  <c r="I38" i="42"/>
  <c r="I52" i="42"/>
  <c r="I36" i="42"/>
  <c r="I66" i="42"/>
  <c r="I73" i="42"/>
  <c r="I34" i="42"/>
  <c r="I64" i="42"/>
  <c r="I39" i="42"/>
  <c r="I30" i="42"/>
  <c r="I50" i="42"/>
  <c r="I57" i="42"/>
  <c r="I76" i="42"/>
  <c r="I78" i="42"/>
  <c r="I85" i="42"/>
  <c r="I53" i="42"/>
  <c r="I75" i="42"/>
  <c r="I43" i="42"/>
  <c r="I35" i="42"/>
  <c r="I72" i="42"/>
  <c r="I42" i="42"/>
  <c r="I60" i="42"/>
  <c r="I28" i="42"/>
  <c r="I17" i="42"/>
  <c r="I25" i="42"/>
  <c r="I22" i="42"/>
  <c r="I26" i="42"/>
  <c r="I24" i="42"/>
  <c r="I20" i="42"/>
  <c r="I18" i="42"/>
  <c r="I16" i="42"/>
  <c r="I27" i="42"/>
  <c r="I19" i="42"/>
  <c r="I23" i="42"/>
  <c r="I21" i="42"/>
  <c r="I15" i="42"/>
  <c r="I5" i="42"/>
  <c r="I10" i="42"/>
  <c r="I14" i="42"/>
  <c r="I6" i="42"/>
  <c r="I8" i="42"/>
  <c r="I11" i="42"/>
  <c r="I12" i="42"/>
  <c r="I3" i="42"/>
  <c r="I13" i="42"/>
  <c r="I9" i="42"/>
  <c r="I7" i="42"/>
  <c r="I4" i="42"/>
  <c r="I2" i="42"/>
  <c r="G88" i="42"/>
  <c r="F87" i="42"/>
  <c r="H63" i="42"/>
  <c r="H31" i="42"/>
  <c r="H86" i="42"/>
  <c r="H54" i="42"/>
  <c r="H22" i="42"/>
  <c r="H5" i="42"/>
  <c r="H17" i="42"/>
  <c r="H50" i="42"/>
  <c r="H57" i="42"/>
  <c r="H18" i="42"/>
  <c r="H58" i="42"/>
  <c r="H76" i="42"/>
  <c r="H69" i="42"/>
  <c r="H37" i="42"/>
  <c r="H6" i="42"/>
  <c r="H59" i="42"/>
  <c r="H65" i="42"/>
  <c r="H26" i="42"/>
  <c r="H56" i="42"/>
  <c r="H25" i="42"/>
  <c r="H55" i="42"/>
  <c r="H23" i="42"/>
  <c r="H78" i="42"/>
  <c r="H46" i="42"/>
  <c r="H16" i="42"/>
  <c r="H2" i="42"/>
  <c r="H32" i="42"/>
  <c r="H41" i="42"/>
  <c r="H28" i="42"/>
  <c r="H10" i="42"/>
  <c r="H7" i="42"/>
  <c r="H61" i="42"/>
  <c r="H29" i="42"/>
  <c r="H83" i="42"/>
  <c r="H51" i="42"/>
  <c r="H49" i="42"/>
  <c r="H84" i="42"/>
  <c r="H11" i="42"/>
  <c r="H27" i="42"/>
  <c r="H44" i="42"/>
  <c r="H19" i="42"/>
  <c r="H74" i="42"/>
  <c r="H79" i="42"/>
  <c r="H47" i="42"/>
  <c r="H15" i="42"/>
  <c r="H70" i="42"/>
  <c r="H38" i="42"/>
  <c r="H68" i="42"/>
  <c r="H40" i="42"/>
  <c r="H82" i="42"/>
  <c r="H12" i="42"/>
  <c r="H33" i="42"/>
  <c r="H3" i="42"/>
  <c r="H24" i="42"/>
  <c r="H13" i="42"/>
  <c r="H85" i="42"/>
  <c r="H53" i="42"/>
  <c r="H21" i="42"/>
  <c r="H75" i="42"/>
  <c r="H43" i="42"/>
  <c r="H35" i="42"/>
  <c r="H52" i="42"/>
  <c r="H36" i="42"/>
  <c r="H80" i="42"/>
  <c r="H4" i="42"/>
  <c r="H48" i="42"/>
  <c r="H71" i="42"/>
  <c r="H39" i="42"/>
  <c r="H8" i="42"/>
  <c r="H62" i="42"/>
  <c r="H30" i="42"/>
  <c r="H20" i="42"/>
  <c r="H72" i="42"/>
  <c r="H66" i="42"/>
  <c r="H73" i="42"/>
  <c r="H9" i="42"/>
  <c r="H34" i="42"/>
  <c r="H64" i="42"/>
  <c r="H77" i="42"/>
  <c r="H45" i="42"/>
  <c r="H14" i="42"/>
  <c r="H67" i="42"/>
  <c r="H81" i="42"/>
  <c r="H42" i="42"/>
  <c r="H60" i="42"/>
  <c r="F89" i="42" a="1"/>
  <c r="F90" i="42" a="1"/>
  <c r="I87" i="42" a="1"/>
  <c r="G89" i="42" a="1"/>
  <c r="G90" i="42" a="1"/>
  <c r="F88" i="42" a="1"/>
  <c r="I87" i="42" l="1"/>
  <c r="F88" i="42"/>
  <c r="G89" i="42"/>
  <c r="F89" i="42"/>
  <c r="G90" i="42"/>
  <c r="F90" i="42"/>
  <c r="H87" i="42"/>
  <c r="I88" i="42" a="1"/>
  <c r="I89" i="42" a="1"/>
  <c r="I90" i="42" a="1"/>
  <c r="I90" i="42" l="1"/>
  <c r="I89" i="42"/>
  <c r="I88" i="42"/>
  <c r="H88" i="42"/>
  <c r="H90" i="42"/>
  <c r="H89" i="42"/>
  <c r="CC31" i="47" l="1"/>
  <c r="BQ17" i="47" l="1"/>
  <c r="BQ16" i="47"/>
  <c r="BS17" i="47" l="1"/>
  <c r="B17" i="47" s="1"/>
  <c r="BS16" i="47"/>
  <c r="B16" i="47" s="1"/>
  <c r="BQ18" i="47" l="1"/>
  <c r="BS18" i="47" l="1"/>
  <c r="B18" i="47" s="1"/>
  <c r="BQ19" i="47" l="1"/>
  <c r="BS19" i="47" l="1"/>
  <c r="B19" i="47" l="1"/>
  <c r="AD7" i="1" l="1"/>
  <c r="BP6" i="47" l="1"/>
  <c r="BU8" i="47"/>
  <c r="BU9" i="47"/>
  <c r="BU10" i="47"/>
  <c r="BU11" i="47"/>
  <c r="BU12" i="47"/>
  <c r="BU13" i="47"/>
  <c r="BU14" i="47"/>
  <c r="BU15" i="47"/>
  <c r="BV11" i="47" l="1"/>
  <c r="BW11" i="47" s="1"/>
  <c r="BV10" i="47"/>
  <c r="BW10" i="47" s="1"/>
  <c r="BV8" i="47"/>
  <c r="BW8" i="47" s="1"/>
  <c r="BQ6" i="47"/>
  <c r="B6" i="47" s="1"/>
  <c r="BV9" i="47"/>
  <c r="BW9" i="47" s="1"/>
  <c r="BV15" i="47"/>
  <c r="BW15" i="47" s="1"/>
  <c r="BV14" i="47"/>
  <c r="BV13" i="47"/>
  <c r="BV12" i="47"/>
  <c r="BW12" i="47" s="1"/>
  <c r="B8" i="47" l="1"/>
  <c r="B11" i="47"/>
  <c r="B15" i="47"/>
  <c r="B9" i="47"/>
  <c r="B10" i="47"/>
  <c r="BW13" i="47"/>
  <c r="BR13" i="47" s="1"/>
  <c r="BW14" i="47"/>
  <c r="BR12" i="47"/>
  <c r="B12" i="47" l="1"/>
  <c r="B14" i="47"/>
  <c r="B13" i="47"/>
  <c r="G43" i="2" a="1"/>
  <c r="C43" i="2" a="1"/>
  <c r="L43" i="2" a="1"/>
  <c r="J43" i="2" a="1"/>
  <c r="M43" i="2" a="1"/>
  <c r="H43" i="2" a="1"/>
  <c r="B43" i="2" a="1"/>
  <c r="E43" i="2" a="1"/>
  <c r="M43" i="2" l="1"/>
  <c r="T31" i="47" s="1"/>
  <c r="C43" i="2"/>
  <c r="T21" i="47" s="1"/>
  <c r="B43" i="2"/>
  <c r="T20" i="47" s="1"/>
  <c r="E43" i="2"/>
  <c r="T23" i="47" s="1"/>
  <c r="G43" i="2"/>
  <c r="T25" i="47" s="1"/>
  <c r="J43" i="2"/>
  <c r="T28" i="47" s="1"/>
  <c r="L43" i="2"/>
  <c r="T30" i="47" s="1"/>
  <c r="H43" i="2"/>
  <c r="T26" i="47" s="1"/>
  <c r="F43" i="2" a="1"/>
  <c r="I43" i="2" a="1"/>
  <c r="K43" i="2" a="1"/>
  <c r="D43" i="2" a="1"/>
  <c r="AM26" i="47" l="1"/>
  <c r="Y26" i="47"/>
  <c r="X26" i="47"/>
  <c r="AF30" i="47"/>
  <c r="AG30" i="47" s="1"/>
  <c r="AT30" i="47"/>
  <c r="Z30" i="47"/>
  <c r="AO30" i="47" s="1"/>
  <c r="AT25" i="47"/>
  <c r="AF25" i="47"/>
  <c r="W25" i="47"/>
  <c r="AL25" i="47" s="1"/>
  <c r="Y25" i="47"/>
  <c r="Z25" i="47" s="1"/>
  <c r="V20" i="47"/>
  <c r="AK20" i="47" s="1"/>
  <c r="Y20" i="47"/>
  <c r="AN20" i="47" s="1"/>
  <c r="V21" i="47"/>
  <c r="AK21" i="47" s="1"/>
  <c r="AZ21" i="47" s="1"/>
  <c r="Y21" i="47"/>
  <c r="AF28" i="47"/>
  <c r="Y28" i="47"/>
  <c r="X28" i="47"/>
  <c r="AM28" i="47"/>
  <c r="X23" i="47"/>
  <c r="V23" i="47"/>
  <c r="AK23" i="47" s="1"/>
  <c r="Y23" i="47"/>
  <c r="AN23" i="47" s="1"/>
  <c r="Z31" i="47"/>
  <c r="AO31" i="47" s="1"/>
  <c r="K43" i="2"/>
  <c r="T29" i="47" s="1"/>
  <c r="I43" i="2"/>
  <c r="T27" i="47" s="1"/>
  <c r="D43" i="2"/>
  <c r="T22" i="47" s="1"/>
  <c r="F43" i="2"/>
  <c r="T24" i="47" s="1"/>
  <c r="BI25" i="47" l="1"/>
  <c r="BB26" i="47"/>
  <c r="BB28" i="47"/>
  <c r="AG25" i="47"/>
  <c r="AH25" i="47" s="1"/>
  <c r="AN28" i="47"/>
  <c r="AA31" i="47"/>
  <c r="AP31" i="47" s="1"/>
  <c r="Z28" i="47"/>
  <c r="AA28" i="47" s="1"/>
  <c r="Z23" i="47"/>
  <c r="AA23" i="47" s="1"/>
  <c r="AB23" i="47" s="1"/>
  <c r="AC23" i="47" s="1"/>
  <c r="AN25" i="47"/>
  <c r="AA30" i="47"/>
  <c r="Z20" i="47"/>
  <c r="AA20" i="47" s="1"/>
  <c r="Z26" i="47"/>
  <c r="AU25" i="47"/>
  <c r="AZ23" i="47"/>
  <c r="AL23" i="47"/>
  <c r="AM25" i="47"/>
  <c r="BA25" i="47"/>
  <c r="AZ20" i="47"/>
  <c r="AH30" i="47"/>
  <c r="AA25" i="47"/>
  <c r="BI30" i="47"/>
  <c r="Y24" i="47"/>
  <c r="AN24" i="47" s="1"/>
  <c r="V24" i="47"/>
  <c r="AK24" i="47" s="1"/>
  <c r="AT22" i="47"/>
  <c r="AF22" i="47"/>
  <c r="Y22" i="47"/>
  <c r="AN22" i="47" s="1"/>
  <c r="W22" i="47"/>
  <c r="AL22" i="47" s="1"/>
  <c r="AM22" i="47" s="1"/>
  <c r="AU30" i="47"/>
  <c r="Y27" i="47"/>
  <c r="X27" i="47"/>
  <c r="AF27" i="47"/>
  <c r="AT27" i="47"/>
  <c r="AM27" i="47"/>
  <c r="AT29" i="47"/>
  <c r="Y29" i="47"/>
  <c r="AM29" i="47"/>
  <c r="X29" i="47"/>
  <c r="AF29" i="47"/>
  <c r="AN26" i="47"/>
  <c r="Z21" i="47"/>
  <c r="AN21" i="47"/>
  <c r="AO25" i="47" l="1"/>
  <c r="AP25" i="47" s="1"/>
  <c r="Z22" i="47"/>
  <c r="AA22" i="47" s="1"/>
  <c r="AB22" i="47" s="1"/>
  <c r="Z24" i="47"/>
  <c r="AA24" i="47" s="1"/>
  <c r="AB24" i="47" s="1"/>
  <c r="BB27" i="47"/>
  <c r="AV25" i="47"/>
  <c r="AW25" i="47" s="1"/>
  <c r="AO28" i="47"/>
  <c r="BC28" i="47"/>
  <c r="BD31" i="47"/>
  <c r="AB31" i="47"/>
  <c r="AQ31" i="47" s="1"/>
  <c r="BC26" i="47"/>
  <c r="BI27" i="47"/>
  <c r="AN27" i="47"/>
  <c r="AB30" i="47"/>
  <c r="BD30" i="47"/>
  <c r="AU22" i="47"/>
  <c r="AU27" i="47"/>
  <c r="BJ25" i="47"/>
  <c r="Z27" i="47"/>
  <c r="BB29" i="47"/>
  <c r="BI29" i="47"/>
  <c r="BJ30" i="47"/>
  <c r="BK30" i="47" s="1"/>
  <c r="AL24" i="47"/>
  <c r="AZ24" i="47"/>
  <c r="BA22" i="47"/>
  <c r="BB22" i="47" s="1"/>
  <c r="Z29" i="47"/>
  <c r="AB25" i="47"/>
  <c r="AG29" i="47"/>
  <c r="AN29" i="47"/>
  <c r="AU29" i="47"/>
  <c r="BI22" i="47"/>
  <c r="AI25" i="47"/>
  <c r="AO26" i="47"/>
  <c r="BA23" i="47"/>
  <c r="AM23" i="47"/>
  <c r="AB28" i="47"/>
  <c r="AD23" i="47"/>
  <c r="AJ30" i="47"/>
  <c r="AW30" i="47"/>
  <c r="AA21" i="47"/>
  <c r="BB25" i="47"/>
  <c r="BC25" i="47" s="1"/>
  <c r="AB20" i="47"/>
  <c r="BD28" i="47" l="1"/>
  <c r="BE28" i="47" s="1"/>
  <c r="BD25" i="47"/>
  <c r="BR25" i="47" s="1"/>
  <c r="AO22" i="47"/>
  <c r="AP22" i="47" s="1"/>
  <c r="BC22" i="47"/>
  <c r="BJ27" i="47"/>
  <c r="BX27" i="47" s="1"/>
  <c r="BY27" i="47" s="1"/>
  <c r="AC31" i="47"/>
  <c r="AD31" i="47" s="1"/>
  <c r="BK25" i="47"/>
  <c r="BL25" i="47" s="1"/>
  <c r="BZ25" i="47" s="1"/>
  <c r="CA25" i="47" s="1"/>
  <c r="CB25" i="47" s="1"/>
  <c r="BC27" i="47"/>
  <c r="BD26" i="47"/>
  <c r="BQ26" i="47" s="1"/>
  <c r="BR26" i="47" s="1"/>
  <c r="B26" i="47" s="1"/>
  <c r="BE31" i="47"/>
  <c r="BJ22" i="47"/>
  <c r="BX25" i="47"/>
  <c r="BY25" i="47" s="1"/>
  <c r="BE30" i="47"/>
  <c r="AQ30" i="47"/>
  <c r="BL30" i="47"/>
  <c r="AO27" i="47"/>
  <c r="AA27" i="47"/>
  <c r="AB27" i="47" s="1"/>
  <c r="AE23" i="47"/>
  <c r="AB21" i="47"/>
  <c r="AC28" i="47"/>
  <c r="AQ28" i="47"/>
  <c r="AY30" i="47"/>
  <c r="AQ25" i="47"/>
  <c r="AC20" i="47"/>
  <c r="AO29" i="47"/>
  <c r="AA29" i="47"/>
  <c r="BC29" i="47"/>
  <c r="AM24" i="47"/>
  <c r="BA24" i="47"/>
  <c r="BJ29" i="47"/>
  <c r="BX29" i="47" s="1"/>
  <c r="BY29" i="47" s="1"/>
  <c r="AH29" i="47"/>
  <c r="BB23" i="47"/>
  <c r="BC23" i="47" s="1"/>
  <c r="AO23" i="47"/>
  <c r="AX25" i="47"/>
  <c r="AC24" i="47"/>
  <c r="BE25" i="47" l="1"/>
  <c r="BF25" i="47" s="1"/>
  <c r="AQ27" i="47"/>
  <c r="BD22" i="47"/>
  <c r="BE22" i="47" s="1"/>
  <c r="BF31" i="47"/>
  <c r="BT31" i="47" s="1"/>
  <c r="BU31" i="47" s="1"/>
  <c r="AR31" i="47"/>
  <c r="BN30" i="47"/>
  <c r="BF30" i="47"/>
  <c r="BT30" i="47" s="1"/>
  <c r="BM25" i="47"/>
  <c r="BD27" i="47"/>
  <c r="BE27" i="47" s="1"/>
  <c r="AE31" i="47"/>
  <c r="BB24" i="47"/>
  <c r="BC24" i="47" s="1"/>
  <c r="AO24" i="47"/>
  <c r="AC21" i="47"/>
  <c r="BK29" i="47"/>
  <c r="AW29" i="47"/>
  <c r="AD24" i="47"/>
  <c r="BF28" i="47"/>
  <c r="AR28" i="47"/>
  <c r="BD23" i="47"/>
  <c r="AP23" i="47"/>
  <c r="AD20" i="47"/>
  <c r="AB29" i="47"/>
  <c r="BD29" i="47"/>
  <c r="AQ22" i="47"/>
  <c r="AF23" i="47"/>
  <c r="BZ30" i="47"/>
  <c r="CA30" i="47" s="1"/>
  <c r="BT25" i="47"/>
  <c r="BU25" i="47" s="1"/>
  <c r="BF27" i="47" l="1"/>
  <c r="BG31" i="47"/>
  <c r="BL29" i="47"/>
  <c r="BZ29" i="47" s="1"/>
  <c r="CA29" i="47" s="1"/>
  <c r="AS31" i="47"/>
  <c r="AT31" i="47" s="1"/>
  <c r="BP25" i="47"/>
  <c r="BQ25" i="47" s="1"/>
  <c r="B25" i="47" s="1"/>
  <c r="AD21" i="47"/>
  <c r="AP24" i="47"/>
  <c r="BD24" i="47"/>
  <c r="BR24" i="47" s="1"/>
  <c r="BT24" i="47" s="1"/>
  <c r="BU24" i="47" s="1"/>
  <c r="AE20" i="47"/>
  <c r="AQ23" i="47"/>
  <c r="BE23" i="47"/>
  <c r="AT28" i="47"/>
  <c r="BG28" i="47"/>
  <c r="BE29" i="47"/>
  <c r="AQ29" i="47"/>
  <c r="BF22" i="47"/>
  <c r="AF31" i="47"/>
  <c r="BX30" i="47"/>
  <c r="BY30" i="47" s="1"/>
  <c r="BV31" i="47"/>
  <c r="BW31" i="47" s="1"/>
  <c r="BF29" i="47" l="1"/>
  <c r="BR29" i="47" s="1"/>
  <c r="BT29" i="47" s="1"/>
  <c r="BU29" i="47" s="1"/>
  <c r="BH31" i="47"/>
  <c r="BI31" i="47" s="1"/>
  <c r="BE24" i="47"/>
  <c r="AQ24" i="47"/>
  <c r="AU28" i="47"/>
  <c r="BI28" i="47"/>
  <c r="AU31" i="47"/>
  <c r="AG31" i="47"/>
  <c r="AF20" i="47"/>
  <c r="AR23" i="47"/>
  <c r="BF23" i="47"/>
  <c r="AE21" i="47"/>
  <c r="BR27" i="47"/>
  <c r="BQ27" i="47" s="1"/>
  <c r="BP22" i="47"/>
  <c r="BQ29" i="47" l="1"/>
  <c r="BS29" i="47" s="1"/>
  <c r="AF21" i="47"/>
  <c r="AV31" i="47"/>
  <c r="BJ31" i="47"/>
  <c r="AH31" i="47"/>
  <c r="AS23" i="47"/>
  <c r="BG23" i="47"/>
  <c r="BJ28" i="47"/>
  <c r="BR28" i="47" s="1"/>
  <c r="AG20" i="47"/>
  <c r="AR24" i="47"/>
  <c r="BF24" i="47"/>
  <c r="BT27" i="47"/>
  <c r="BU27" i="47" s="1"/>
  <c r="BQ22" i="47"/>
  <c r="BS27" i="47"/>
  <c r="BX22" i="47"/>
  <c r="BY22" i="47" s="1"/>
  <c r="B29" i="47" l="1"/>
  <c r="BX28" i="47"/>
  <c r="BY28" i="47" s="1"/>
  <c r="BQ28" i="47"/>
  <c r="BS28" i="47" s="1"/>
  <c r="BT28" i="47"/>
  <c r="BU28" i="47" s="1"/>
  <c r="BV28" i="47" s="1"/>
  <c r="BH23" i="47"/>
  <c r="AT23" i="47"/>
  <c r="AI31" i="47"/>
  <c r="BK31" i="47"/>
  <c r="AW31" i="47"/>
  <c r="AS24" i="47"/>
  <c r="BG24" i="47"/>
  <c r="BV24" i="47"/>
  <c r="BW24" i="47" s="1"/>
  <c r="AH20" i="47"/>
  <c r="AG21" i="47"/>
  <c r="B27" i="47"/>
  <c r="BR22" i="47"/>
  <c r="BT22" i="47" s="1"/>
  <c r="BU22" i="47" s="1"/>
  <c r="B28" i="47" l="1"/>
  <c r="BH24" i="47"/>
  <c r="BO24" i="47" s="1"/>
  <c r="BP24" i="47" s="1"/>
  <c r="BQ24" i="47" s="1"/>
  <c r="AU23" i="47"/>
  <c r="BI23" i="47"/>
  <c r="AI20" i="47"/>
  <c r="AH21" i="47"/>
  <c r="AJ31" i="47"/>
  <c r="AX31" i="47"/>
  <c r="BL31" i="47"/>
  <c r="BZ31" i="47" s="1"/>
  <c r="CA31" i="47" s="1"/>
  <c r="CB31" i="47" s="1"/>
  <c r="B22" i="47"/>
  <c r="BJ23" i="47" l="1"/>
  <c r="BX23" i="47" s="1"/>
  <c r="BY23" i="47" s="1"/>
  <c r="AI21" i="47"/>
  <c r="AJ20" i="47"/>
  <c r="AY31" i="47"/>
  <c r="BM31" i="47"/>
  <c r="B24" i="47"/>
  <c r="BO23" i="47" l="1"/>
  <c r="BP23" i="47" s="1"/>
  <c r="BN31" i="47"/>
  <c r="BX31" i="47" s="1"/>
  <c r="AL20" i="47"/>
  <c r="AJ21" i="47"/>
  <c r="BR23" i="47" l="1"/>
  <c r="BQ23" i="47" s="1"/>
  <c r="BS23" i="47" s="1"/>
  <c r="AL21" i="47"/>
  <c r="AM20" i="47"/>
  <c r="BY31" i="47"/>
  <c r="B31" i="47" s="1"/>
  <c r="BT23" i="47" l="1"/>
  <c r="BU23" i="47" s="1"/>
  <c r="BV23" i="47" s="1"/>
  <c r="BW23" i="47" s="1"/>
  <c r="AO20" i="47"/>
  <c r="AM21" i="47"/>
  <c r="B23" i="47" l="1"/>
  <c r="AO21" i="47"/>
  <c r="AP20" i="47"/>
  <c r="AP21" i="47" l="1"/>
  <c r="AQ20" i="47"/>
  <c r="AR20" i="47" l="1"/>
  <c r="AQ21" i="47"/>
  <c r="AR21" i="47" l="1"/>
  <c r="AS20" i="47"/>
  <c r="AS21" i="47" l="1"/>
  <c r="AT20" i="47"/>
  <c r="AU20" i="47" l="1"/>
  <c r="AT21" i="47"/>
  <c r="AU21" i="47" l="1"/>
  <c r="AV20" i="47"/>
  <c r="AW20" i="47" l="1"/>
  <c r="AV21" i="47"/>
  <c r="AW21" i="47" l="1"/>
  <c r="AX20" i="47"/>
  <c r="AY20" i="47" l="1"/>
  <c r="AX21" i="47"/>
  <c r="AY21" i="47" l="1"/>
  <c r="BA20" i="47"/>
  <c r="BB20" i="47" s="1"/>
  <c r="BC20" i="47" s="1"/>
  <c r="BD20" i="47" s="1"/>
  <c r="BE20" i="47" s="1"/>
  <c r="BF20" i="47" s="1"/>
  <c r="BG20" i="47" s="1"/>
  <c r="BH20" i="47" s="1"/>
  <c r="BI20" i="47" s="1"/>
  <c r="BJ20" i="47" s="1"/>
  <c r="BK20" i="47" s="1"/>
  <c r="BL20" i="47" s="1"/>
  <c r="BM20" i="47" s="1"/>
  <c r="BN20" i="47" s="1"/>
  <c r="BA21" i="47" l="1"/>
  <c r="BB21" i="47" s="1"/>
  <c r="BC21" i="47" s="1"/>
  <c r="BD21" i="47" s="1"/>
  <c r="BE21" i="47" s="1"/>
  <c r="BF21" i="47" s="1"/>
  <c r="BG21" i="47" s="1"/>
  <c r="BH21" i="47" s="1"/>
  <c r="BI21" i="47" s="1"/>
  <c r="BJ21" i="47" s="1"/>
  <c r="BK21" i="47" s="1"/>
  <c r="BL21" i="47" s="1"/>
  <c r="BM21" i="47" s="1"/>
  <c r="BN21" i="47" s="1"/>
  <c r="BR20" i="47"/>
  <c r="BT20" i="47" s="1"/>
  <c r="BU20" i="47" s="1"/>
  <c r="BV20" i="47" s="1"/>
  <c r="BW20" i="47" s="1"/>
  <c r="BX21" i="47" l="1"/>
  <c r="BY21" i="47" s="1"/>
  <c r="BX20" i="47" l="1"/>
  <c r="BY20" i="47" s="1"/>
  <c r="BZ21" i="47"/>
  <c r="CA21" i="47" s="1"/>
  <c r="CB21" i="47" s="1"/>
  <c r="B5" i="47"/>
  <c r="BO21" i="47" l="1"/>
  <c r="BR21" i="47" l="1"/>
  <c r="CC21" i="47"/>
  <c r="BP21" i="47"/>
  <c r="BZ20" i="47"/>
  <c r="CA20" i="47" s="1"/>
  <c r="CB20" i="47" s="1"/>
  <c r="BO20" i="47" l="1"/>
  <c r="BQ21" i="47"/>
  <c r="BS21" i="47" s="1"/>
  <c r="BT21" i="47"/>
  <c r="BU21" i="47" s="1"/>
  <c r="BV21" i="47" s="1"/>
  <c r="BW21" i="47" s="1"/>
  <c r="B21" i="47" l="1"/>
  <c r="CC20" i="47"/>
  <c r="BP20" i="47"/>
  <c r="BQ20" i="47" s="1"/>
  <c r="BU30" i="47"/>
  <c r="CC30" i="47"/>
  <c r="B20" i="47" l="1"/>
  <c r="AD8" i="1" s="1"/>
  <c r="B30" i="47"/>
  <c r="Y12" i="1" l="1"/>
  <c r="W12" i="1"/>
  <c r="X12" i="1"/>
  <c r="X7" i="1" a="1"/>
  <c r="X7" i="1" l="1"/>
  <c r="AD4" i="1" l="1" a="1"/>
  <c r="AD4" i="1" s="1"/>
  <c r="X2" i="1" l="1"/>
  <c r="AD6" i="1" a="1"/>
  <c r="AD6" i="1" l="1"/>
  <c r="AD5" i="1"/>
  <c r="I1" i="41"/>
  <c r="B1" i="41" s="1"/>
  <c r="B10" i="1"/>
  <c r="B8" i="1" l="1"/>
  <c r="B1" i="1"/>
  <c r="X27" i="1"/>
  <c r="Q2" i="2"/>
  <c r="AD3" i="1"/>
  <c r="X25" i="1"/>
  <c r="X16" i="1"/>
  <c r="X19" i="1"/>
  <c r="X26" i="1"/>
  <c r="X23" i="1"/>
  <c r="X24" i="1"/>
  <c r="X21" i="1"/>
  <c r="X29" i="1"/>
  <c r="X30" i="1"/>
  <c r="X28" i="1"/>
  <c r="X22" i="1"/>
  <c r="X20" i="1"/>
  <c r="X15" i="1"/>
  <c r="P2" i="2"/>
  <c r="P3" i="2"/>
  <c r="AQ46" i="1" a="1"/>
  <c r="N23" i="41" a="1"/>
  <c r="AQ32" i="1" a="1"/>
  <c r="AQ38" i="1" a="1"/>
  <c r="O21" i="41" a="1"/>
  <c r="AQ33" i="1" a="1"/>
  <c r="M11" i="41" a="1"/>
  <c r="N9" i="41" a="1"/>
  <c r="M25" i="41" a="1"/>
  <c r="O14" i="2" a="1"/>
  <c r="M17" i="41" a="1"/>
  <c r="N35" i="41" a="1"/>
  <c r="M35" i="41" a="1"/>
  <c r="N33" i="41" a="1"/>
  <c r="O22" i="2" a="1"/>
  <c r="N31" i="41" a="1"/>
  <c r="M19" i="41" a="1"/>
  <c r="O29" i="41" a="1"/>
  <c r="O19" i="2" a="1"/>
  <c r="N27" i="41" a="1"/>
  <c r="M33" i="41" a="1"/>
  <c r="N25" i="41" a="1"/>
  <c r="M23" i="41" a="1"/>
  <c r="AQ39" i="1" a="1"/>
  <c r="B15" i="2" a="1"/>
  <c r="M9" i="41" a="1"/>
  <c r="O21" i="2" a="1"/>
  <c r="B28" i="2" a="1"/>
  <c r="O25" i="2" a="1"/>
  <c r="M27" i="41" a="1"/>
  <c r="AQ44" i="1" a="1"/>
  <c r="O28" i="2" a="1"/>
  <c r="O23" i="41" a="1"/>
  <c r="AQ42" i="1" a="1"/>
  <c r="B14" i="2" a="1"/>
  <c r="AQ43" i="1" a="1"/>
  <c r="O15" i="2" a="1"/>
  <c r="O26" i="2" a="1"/>
  <c r="O25" i="41" a="1"/>
  <c r="O19" i="41" a="1"/>
  <c r="O27" i="41" a="1"/>
  <c r="O31" i="41" a="1"/>
  <c r="AQ40" i="1" a="1"/>
  <c r="O23" i="2" a="1"/>
  <c r="AQ45" i="1" a="1"/>
  <c r="N19" i="41" a="1"/>
  <c r="O35" i="41" a="1"/>
  <c r="O27" i="2" a="1"/>
  <c r="AQ37" i="1" a="1"/>
  <c r="AQ41" i="1" a="1"/>
  <c r="M29" i="41" a="1"/>
  <c r="O24" i="2" a="1"/>
  <c r="N17" i="41" a="1"/>
  <c r="M21" i="41" a="1"/>
  <c r="N29" i="41" a="1"/>
  <c r="O33" i="41" a="1"/>
  <c r="O11" i="41" a="1"/>
  <c r="M31" i="41" a="1"/>
  <c r="O20" i="2" a="1"/>
  <c r="N21" i="41" a="1"/>
  <c r="O9" i="41" a="1"/>
  <c r="N11" i="41" a="1"/>
  <c r="O17" i="41" a="1"/>
  <c r="Z31" i="1" l="1" a="1"/>
  <c r="Z31" i="1" s="1"/>
  <c r="O33" i="41"/>
  <c r="M33" i="41"/>
  <c r="N33" i="41"/>
  <c r="AQ45" i="1"/>
  <c r="O27" i="2"/>
  <c r="A27" i="2" s="1"/>
  <c r="O27" i="41"/>
  <c r="N27" i="41"/>
  <c r="O24" i="2"/>
  <c r="A24" i="2" s="1"/>
  <c r="M27" i="41"/>
  <c r="AQ42" i="1"/>
  <c r="B28" i="2"/>
  <c r="O28" i="2"/>
  <c r="A28" i="2" s="1"/>
  <c r="O35" i="41"/>
  <c r="M35" i="41"/>
  <c r="N35" i="41"/>
  <c r="AQ46" i="1"/>
  <c r="O19" i="41"/>
  <c r="O20" i="2"/>
  <c r="A20" i="2" s="1"/>
  <c r="N19" i="41"/>
  <c r="M19" i="41"/>
  <c r="AQ38" i="1"/>
  <c r="O17" i="41"/>
  <c r="M17" i="41"/>
  <c r="N17" i="41"/>
  <c r="AQ37" i="1"/>
  <c r="O19" i="2"/>
  <c r="A19" i="2" s="1"/>
  <c r="N25" i="41"/>
  <c r="O23" i="2"/>
  <c r="A23" i="2" s="1"/>
  <c r="AQ41" i="1"/>
  <c r="M25" i="41"/>
  <c r="O25" i="41"/>
  <c r="AQ44" i="1"/>
  <c r="O31" i="41"/>
  <c r="O26" i="2"/>
  <c r="A26" i="2" s="1"/>
  <c r="M31" i="41"/>
  <c r="N31" i="41"/>
  <c r="O25" i="2"/>
  <c r="A25" i="2" s="1"/>
  <c r="N29" i="41"/>
  <c r="AQ43" i="1"/>
  <c r="M29" i="41"/>
  <c r="O29" i="41"/>
  <c r="M21" i="41"/>
  <c r="N21" i="41"/>
  <c r="AQ39" i="1"/>
  <c r="O21" i="2"/>
  <c r="A21" i="2" s="1"/>
  <c r="O21" i="41"/>
  <c r="AQ33" i="1"/>
  <c r="B15" i="2"/>
  <c r="N11" i="41"/>
  <c r="M11" i="41"/>
  <c r="O15" i="2"/>
  <c r="A15" i="2" s="1"/>
  <c r="O11" i="41"/>
  <c r="AQ32" i="1"/>
  <c r="N9" i="41"/>
  <c r="B14" i="2"/>
  <c r="O9" i="41"/>
  <c r="M9" i="41"/>
  <c r="O14" i="2"/>
  <c r="A14" i="2" s="1"/>
  <c r="O22" i="2"/>
  <c r="A22" i="2" s="1"/>
  <c r="O23" i="41"/>
  <c r="M23" i="41"/>
  <c r="AQ40" i="1"/>
  <c r="N23" i="41"/>
  <c r="Z19" i="1"/>
  <c r="AA19" i="1"/>
  <c r="O18" i="2"/>
  <c r="Y28" i="1"/>
  <c r="AA28" i="1"/>
  <c r="V29" i="1"/>
  <c r="Z28" i="1"/>
  <c r="Z30" i="1"/>
  <c r="X18" i="1"/>
  <c r="V19" i="1"/>
  <c r="O29" i="2"/>
  <c r="Y19" i="1"/>
  <c r="AN1" i="39"/>
  <c r="BC1" i="39"/>
  <c r="AA30" i="1"/>
  <c r="Y30" i="1"/>
  <c r="X31" i="1"/>
  <c r="X17" i="1" s="1"/>
  <c r="Y1" i="39"/>
  <c r="AA25" i="1"/>
  <c r="Z25" i="1"/>
  <c r="Y25" i="1"/>
  <c r="V26" i="1"/>
  <c r="Z29" i="1"/>
  <c r="AA29" i="1"/>
  <c r="V30" i="1"/>
  <c r="Y29" i="1"/>
  <c r="Z13" i="2"/>
  <c r="Z12" i="2"/>
  <c r="H4" i="41"/>
  <c r="J3" i="41" s="1"/>
  <c r="AC36" i="1"/>
  <c r="Y21" i="1"/>
  <c r="V22" i="1"/>
  <c r="Z21" i="1"/>
  <c r="AA21" i="1"/>
  <c r="T2" i="2"/>
  <c r="W2" i="2"/>
  <c r="S2" i="2"/>
  <c r="P4" i="2"/>
  <c r="U2" i="2"/>
  <c r="V2" i="2"/>
  <c r="R2" i="2"/>
  <c r="Y12" i="2"/>
  <c r="Z20" i="1"/>
  <c r="AA20" i="1"/>
  <c r="V21" i="1"/>
  <c r="Y20" i="1"/>
  <c r="BF24" i="2"/>
  <c r="AU23" i="2"/>
  <c r="E4" i="41"/>
  <c r="AC34" i="1"/>
  <c r="AU19" i="2"/>
  <c r="AX23" i="2"/>
  <c r="AX26" i="2"/>
  <c r="AX28" i="2"/>
  <c r="AU28" i="2"/>
  <c r="B4" i="41"/>
  <c r="BF25" i="2"/>
  <c r="AX14" i="2"/>
  <c r="AX16" i="2"/>
  <c r="BF17" i="2"/>
  <c r="AU17" i="2"/>
  <c r="AW17" i="2" s="1"/>
  <c r="AU18" i="2"/>
  <c r="AX21" i="2"/>
  <c r="AY21" i="2" s="1" a="1"/>
  <c r="AY21" i="2" s="1"/>
  <c r="AZ21" i="2" s="1"/>
  <c r="AX18" i="2"/>
  <c r="BF18" i="2"/>
  <c r="AU15" i="2"/>
  <c r="AV15" i="2" s="1"/>
  <c r="AW15" i="2" s="1"/>
  <c r="BF16" i="2"/>
  <c r="BF21" i="2"/>
  <c r="AX20" i="2"/>
  <c r="AX15" i="2"/>
  <c r="AY15" i="2" s="1" a="1"/>
  <c r="AY15" i="2" s="1"/>
  <c r="AZ15" i="2" s="1"/>
  <c r="AX25" i="2"/>
  <c r="AU27" i="2"/>
  <c r="AU24" i="2"/>
  <c r="AU16" i="2"/>
  <c r="AU14" i="2"/>
  <c r="AC35" i="1"/>
  <c r="AU25" i="2"/>
  <c r="BF23" i="2"/>
  <c r="BF20" i="2"/>
  <c r="BF15" i="2"/>
  <c r="AU21" i="2"/>
  <c r="AU26" i="2"/>
  <c r="AV26" i="2" s="1"/>
  <c r="AW26" i="2" s="1"/>
  <c r="AX19" i="2"/>
  <c r="AX22" i="2"/>
  <c r="BF26" i="2"/>
  <c r="AX17" i="2"/>
  <c r="AX24" i="2"/>
  <c r="BF19" i="2"/>
  <c r="AX27" i="2"/>
  <c r="AZ27" i="2" s="1"/>
  <c r="AU22" i="2"/>
  <c r="AU20" i="2"/>
  <c r="AV20" i="2" s="1"/>
  <c r="AW20" i="2" s="1"/>
  <c r="AR27" i="2"/>
  <c r="AT27" i="2" s="1"/>
  <c r="AR16" i="2"/>
  <c r="AR24" i="2"/>
  <c r="AR19" i="2"/>
  <c r="AR15" i="2"/>
  <c r="AR18" i="2"/>
  <c r="AR22" i="2"/>
  <c r="AR23" i="2"/>
  <c r="AT23" i="2" s="1"/>
  <c r="AR25" i="2"/>
  <c r="AR26" i="2"/>
  <c r="AR28" i="2"/>
  <c r="AR21" i="2"/>
  <c r="AR14" i="2"/>
  <c r="AR20" i="2"/>
  <c r="AR17" i="2"/>
  <c r="AT17" i="2" s="1"/>
  <c r="V25" i="1"/>
  <c r="Y24" i="1"/>
  <c r="Z24" i="1"/>
  <c r="AA24" i="1"/>
  <c r="AA27" i="1"/>
  <c r="Y27" i="1"/>
  <c r="V28" i="1"/>
  <c r="Z27" i="1"/>
  <c r="V27" i="1"/>
  <c r="Y26" i="1"/>
  <c r="AA26" i="1"/>
  <c r="Z26" i="1"/>
  <c r="Z22" i="1"/>
  <c r="AA22" i="1"/>
  <c r="Y22" i="1"/>
  <c r="V23" i="1"/>
  <c r="Y16" i="1"/>
  <c r="Z16" i="1"/>
  <c r="AA16" i="1"/>
  <c r="V15" i="1"/>
  <c r="V16" i="1"/>
  <c r="Y15" i="1"/>
  <c r="Z15" i="1"/>
  <c r="AA15" i="1"/>
  <c r="Z23" i="1"/>
  <c r="Y23" i="1"/>
  <c r="AA23" i="1"/>
  <c r="V24" i="1"/>
  <c r="O17" i="2" a="1"/>
  <c r="O13" i="41" a="1"/>
  <c r="N15" i="41" a="1"/>
  <c r="AQ34" i="1" a="1"/>
  <c r="AB31" i="1" a="1"/>
  <c r="AQ35" i="1" a="1"/>
  <c r="O15" i="41" a="1"/>
  <c r="M13" i="41" a="1"/>
  <c r="N13" i="41" a="1"/>
  <c r="O16" i="2" a="1"/>
  <c r="M15" i="41" a="1"/>
  <c r="AA18" i="1" l="1"/>
  <c r="AR19" i="1"/>
  <c r="AQ17" i="2"/>
  <c r="Z18" i="1"/>
  <c r="V20" i="1"/>
  <c r="Y18" i="1"/>
  <c r="O16" i="2"/>
  <c r="A16" i="2" s="1"/>
  <c r="O13" i="41"/>
  <c r="M13" i="41"/>
  <c r="N13" i="41"/>
  <c r="AQ34" i="1"/>
  <c r="AB31" i="1"/>
  <c r="M15" i="41"/>
  <c r="AQ35" i="1"/>
  <c r="O15" i="41"/>
  <c r="N15" i="41"/>
  <c r="O17" i="2"/>
  <c r="A17" i="2" s="1"/>
  <c r="AL16" i="1"/>
  <c r="AI16" i="1"/>
  <c r="AG33" i="1"/>
  <c r="AO16" i="1"/>
  <c r="AL24" i="1"/>
  <c r="AI24" i="1"/>
  <c r="AG41" i="1"/>
  <c r="AO24" i="1"/>
  <c r="AC22" i="1"/>
  <c r="AI22" i="1"/>
  <c r="AL22" i="1"/>
  <c r="AG39" i="1"/>
  <c r="AE22" i="1"/>
  <c r="AD22" i="1"/>
  <c r="AF22" i="1"/>
  <c r="AB22" i="1"/>
  <c r="AO22" i="1"/>
  <c r="B16" i="2" a="1"/>
  <c r="B16" i="2" s="1"/>
  <c r="AA17" i="1"/>
  <c r="Z17" i="1"/>
  <c r="AG44" i="1"/>
  <c r="AC27" i="1"/>
  <c r="AI27" i="1"/>
  <c r="AL27" i="1"/>
  <c r="AE27" i="1"/>
  <c r="AD27" i="1"/>
  <c r="AF27" i="1"/>
  <c r="AB27" i="1"/>
  <c r="AO27" i="1"/>
  <c r="AV27" i="2"/>
  <c r="AW27" i="2"/>
  <c r="AW23" i="2"/>
  <c r="AV23" i="2"/>
  <c r="AZ23" i="2"/>
  <c r="AY23" i="2" a="1"/>
  <c r="AY23" i="2" s="1"/>
  <c r="AG43" i="1"/>
  <c r="AI26" i="1"/>
  <c r="AL26" i="1"/>
  <c r="AO26" i="1"/>
  <c r="AC29" i="1"/>
  <c r="AG46" i="1"/>
  <c r="AL29" i="1"/>
  <c r="AI29" i="1"/>
  <c r="AE29" i="1"/>
  <c r="AD29" i="1"/>
  <c r="AF29" i="1"/>
  <c r="AB29" i="1"/>
  <c r="AO29" i="1"/>
  <c r="Q3" i="2"/>
  <c r="W3" i="2" s="1"/>
  <c r="R4" i="2"/>
  <c r="W4" i="2" s="1"/>
  <c r="BD19" i="2"/>
  <c r="AG22" i="1"/>
  <c r="BD24" i="2"/>
  <c r="BD25" i="2"/>
  <c r="AC37" i="1"/>
  <c r="AO19" i="1"/>
  <c r="K4" i="41"/>
  <c r="M3" i="41" s="1"/>
  <c r="AG26" i="1"/>
  <c r="AG16" i="1"/>
  <c r="AG30" i="1"/>
  <c r="BD18" i="2"/>
  <c r="BD16" i="2"/>
  <c r="AG25" i="1"/>
  <c r="B42" i="41"/>
  <c r="BD15" i="2"/>
  <c r="AG15" i="1"/>
  <c r="BD14" i="2"/>
  <c r="AG24" i="1"/>
  <c r="BD20" i="2"/>
  <c r="AG29" i="1"/>
  <c r="BD27" i="2"/>
  <c r="BD21" i="2"/>
  <c r="BD22" i="2"/>
  <c r="AG19" i="1"/>
  <c r="AG27" i="1"/>
  <c r="BD28" i="2"/>
  <c r="AG21" i="1"/>
  <c r="BD26" i="2"/>
  <c r="AG28" i="1"/>
  <c r="BD17" i="2"/>
  <c r="AG23" i="1"/>
  <c r="BD23" i="2"/>
  <c r="AZ25" i="2"/>
  <c r="AY25" i="2" a="1"/>
  <c r="AY25" i="2" s="1"/>
  <c r="AT19" i="1"/>
  <c r="AR26" i="1"/>
  <c r="AR25" i="1"/>
  <c r="AR27" i="1"/>
  <c r="AT17" i="1"/>
  <c r="AR24" i="1"/>
  <c r="AR28" i="1"/>
  <c r="AR16" i="1"/>
  <c r="AR29" i="1"/>
  <c r="AR22" i="1"/>
  <c r="AR15" i="1"/>
  <c r="AR23" i="1"/>
  <c r="AR21" i="1"/>
  <c r="AT18" i="1"/>
  <c r="AR20" i="1"/>
  <c r="AD19" i="1"/>
  <c r="AG36" i="1"/>
  <c r="AL19" i="1"/>
  <c r="AE19" i="1"/>
  <c r="AB19" i="1"/>
  <c r="AC19" i="1"/>
  <c r="AF19" i="1"/>
  <c r="AI19" i="1"/>
  <c r="AL28" i="1"/>
  <c r="AI28" i="1"/>
  <c r="AG45" i="1"/>
  <c r="AO28" i="1"/>
  <c r="AL23" i="1"/>
  <c r="AI23" i="1"/>
  <c r="AG40" i="1"/>
  <c r="AO23" i="1"/>
  <c r="V17" i="1"/>
  <c r="AG17" i="1" s="1"/>
  <c r="Y17" i="1"/>
  <c r="AY17" i="2" a="1"/>
  <c r="AY17" i="2" s="1"/>
  <c r="AZ17" i="2"/>
  <c r="V18" i="1"/>
  <c r="AO18" i="1" s="1"/>
  <c r="X32" i="1"/>
  <c r="AQ18" i="2"/>
  <c r="AQ19" i="2" s="1"/>
  <c r="AQ20" i="2" s="1"/>
  <c r="AG32" i="1"/>
  <c r="AL15" i="1"/>
  <c r="AI15" i="1"/>
  <c r="AO15" i="1"/>
  <c r="AG42" i="1"/>
  <c r="AB25" i="1"/>
  <c r="AL25" i="1"/>
  <c r="AD25" i="1"/>
  <c r="AI25" i="1"/>
  <c r="AF25" i="1"/>
  <c r="AC25" i="1"/>
  <c r="AE25" i="1"/>
  <c r="AO25" i="1"/>
  <c r="AY19" i="2" a="1"/>
  <c r="AY19" i="2" s="1"/>
  <c r="AZ19" i="2"/>
  <c r="AI21" i="1"/>
  <c r="AC21" i="1"/>
  <c r="AL21" i="1"/>
  <c r="AG38" i="1"/>
  <c r="AO21" i="1"/>
  <c r="AB21" i="1"/>
  <c r="AF21" i="1"/>
  <c r="AE21" i="1"/>
  <c r="AG47" i="1"/>
  <c r="AL30" i="1"/>
  <c r="AC30" i="1"/>
  <c r="AI30" i="1"/>
  <c r="AF30" i="1"/>
  <c r="AD30" i="1"/>
  <c r="AB30" i="1"/>
  <c r="AO30" i="1"/>
  <c r="AE30" i="1"/>
  <c r="AY20" i="2" a="1"/>
  <c r="AY20" i="2" s="1"/>
  <c r="AZ20" i="2"/>
  <c r="AK17" i="2" a="1"/>
  <c r="AK17" i="2" s="1"/>
  <c r="AM21" i="2" a="1"/>
  <c r="AM21" i="2" s="1"/>
  <c r="AO27" i="2" a="1"/>
  <c r="AO27" i="2" s="1"/>
  <c r="AJ23" i="2"/>
  <c r="AN22" i="2" a="1"/>
  <c r="AN22" i="2" s="1"/>
  <c r="AL20" i="2" a="1"/>
  <c r="AL20" i="2" s="1"/>
  <c r="AG18" i="2" a="1"/>
  <c r="AG18" i="2" s="1"/>
  <c r="AL17" i="2" a="1"/>
  <c r="AL17" i="2" s="1"/>
  <c r="AM15" i="2" a="1"/>
  <c r="AM15" i="2" s="1"/>
  <c r="AG16" i="2" a="1"/>
  <c r="AG16" i="2" s="1"/>
  <c r="AO25" i="2" a="1"/>
  <c r="AO25" i="2" s="1"/>
  <c r="AJ21" i="2" a="1"/>
  <c r="AJ21" i="2" s="1"/>
  <c r="AL23" i="2" a="1"/>
  <c r="AL23" i="2" s="1"/>
  <c r="AO23" i="2" a="1"/>
  <c r="AO23" i="2" s="1"/>
  <c r="AJ22" i="2" a="1"/>
  <c r="AJ22" i="2" s="1"/>
  <c r="AD17" i="2"/>
  <c r="AJ15" i="2" a="1"/>
  <c r="AJ15" i="2" s="1"/>
  <c r="AE17" i="2" a="1"/>
  <c r="AE17" i="2" s="1"/>
  <c r="AJ14" i="2" a="1"/>
  <c r="AJ14" i="2" s="1"/>
  <c r="AJ18" i="2" a="1"/>
  <c r="AJ18" i="2" s="1"/>
  <c r="AD14" i="2" a="1"/>
  <c r="AD14" i="2" s="1"/>
  <c r="AM17" i="2" a="1"/>
  <c r="AM17" i="2" s="1"/>
  <c r="AD16" i="2" a="1"/>
  <c r="AD16" i="2" s="1"/>
  <c r="AL21" i="2" a="1"/>
  <c r="AL21" i="2" s="1"/>
  <c r="AO21" i="2" a="1"/>
  <c r="AO21" i="2" s="1"/>
  <c r="AN26" i="2" a="1"/>
  <c r="AN26" i="2" s="1"/>
  <c r="AN23" i="2" a="1"/>
  <c r="AN23" i="2" s="1"/>
  <c r="AM14" i="2" a="1"/>
  <c r="AM14" i="2" s="1"/>
  <c r="AN16" i="2" a="1"/>
  <c r="AN16" i="2" s="1"/>
  <c r="AI16" i="2" a="1"/>
  <c r="AI16" i="2" s="1"/>
  <c r="AN17" i="2" a="1"/>
  <c r="AN17" i="2" s="1"/>
  <c r="AI17" i="2" a="1"/>
  <c r="AI17" i="2" s="1"/>
  <c r="AO20" i="2" a="1"/>
  <c r="AO20" i="2" s="1"/>
  <c r="AI15" i="2" a="1"/>
  <c r="AI15" i="2" s="1"/>
  <c r="AN25" i="2" a="1"/>
  <c r="AN25" i="2" s="1"/>
  <c r="AJ19" i="2" a="1"/>
  <c r="AJ19" i="2" s="1"/>
  <c r="AG15" i="2" a="1"/>
  <c r="AG15" i="2" s="1"/>
  <c r="AH15" i="2" a="1"/>
  <c r="AH15" i="2" s="1"/>
  <c r="AN21" i="2" a="1"/>
  <c r="AN21" i="2" s="1"/>
  <c r="AO16" i="2" a="1"/>
  <c r="AO16" i="2" s="1"/>
  <c r="AN20" i="2" a="1"/>
  <c r="AN20" i="2" s="1"/>
  <c r="AF17" i="2" a="1"/>
  <c r="AF17" i="2" s="1"/>
  <c r="AM22" i="2" a="1"/>
  <c r="AM22" i="2" s="1"/>
  <c r="AO22" i="2" a="1"/>
  <c r="AO22" i="2" s="1"/>
  <c r="AD15" i="2" a="1"/>
  <c r="AD15" i="2" s="1"/>
  <c r="AM23" i="2" a="1"/>
  <c r="AM23" i="2" s="1"/>
  <c r="AO15" i="2" a="1"/>
  <c r="AO15" i="2" s="1"/>
  <c r="AH17" i="2" a="1"/>
  <c r="AH17" i="2" s="1"/>
  <c r="AH20" i="2" a="1"/>
  <c r="AH20" i="2" s="1"/>
  <c r="AM18" i="2" a="1"/>
  <c r="AM18" i="2" s="1"/>
  <c r="AJ16" i="2" a="1"/>
  <c r="AJ16" i="2" s="1"/>
  <c r="AO17" i="2" a="1"/>
  <c r="AO17" i="2" s="1"/>
  <c r="AG17" i="2" a="1"/>
  <c r="AG17" i="2" s="1"/>
  <c r="AM20" i="2" a="1"/>
  <c r="AM20" i="2" s="1"/>
  <c r="AJ17" i="2" a="1"/>
  <c r="AJ17" i="2" s="1"/>
  <c r="AG19" i="2" a="1"/>
  <c r="AG19" i="2" s="1"/>
  <c r="AL22" i="2" a="1"/>
  <c r="AL22" i="2" s="1"/>
  <c r="AM26" i="2"/>
  <c r="AN27" i="2"/>
  <c r="AN14" i="2" a="1"/>
  <c r="AN14" i="2" s="1"/>
  <c r="AK16" i="2" a="1"/>
  <c r="AK16" i="2" s="1"/>
  <c r="AH14" i="2" a="1"/>
  <c r="AH14" i="2" s="1"/>
  <c r="AI19" i="2" a="1"/>
  <c r="AI19" i="2" s="1"/>
  <c r="AM25" i="2" a="1"/>
  <c r="AM25" i="2" s="1"/>
  <c r="AL25" i="2" s="1"/>
  <c r="AI21" i="2" a="1"/>
  <c r="AI21" i="2" s="1"/>
  <c r="AO19" i="2" a="1"/>
  <c r="AO19" i="2" s="1"/>
  <c r="AN24" i="2" a="1"/>
  <c r="AN24" i="2" s="1"/>
  <c r="AK22" i="2" a="1"/>
  <c r="AK22" i="2" s="1"/>
  <c r="AL24" i="2" a="1"/>
  <c r="AL24" i="2" s="1"/>
  <c r="AF15" i="2" a="1"/>
  <c r="AF15" i="2" s="1"/>
  <c r="AO24" i="2" a="1"/>
  <c r="AO24" i="2" s="1"/>
  <c r="AK19" i="2" a="1"/>
  <c r="AK19" i="2" s="1"/>
  <c r="AL16" i="2" a="1"/>
  <c r="AL16" i="2" s="1"/>
  <c r="AE14" i="2" a="1"/>
  <c r="AE14" i="2" s="1"/>
  <c r="AO18" i="2" a="1"/>
  <c r="AO18" i="2" s="1"/>
  <c r="AH16" i="2" a="1"/>
  <c r="AH16" i="2" s="1"/>
  <c r="AL14" i="2" a="1"/>
  <c r="AL14" i="2" s="1"/>
  <c r="AL19" i="2" a="1"/>
  <c r="AL19" i="2" s="1"/>
  <c r="AL18" i="2" a="1"/>
  <c r="AL18" i="2" s="1"/>
  <c r="AK21" i="2" a="1"/>
  <c r="AK21" i="2" s="1"/>
  <c r="AH21" i="2" s="1"/>
  <c r="AN19" i="2" a="1"/>
  <c r="AN19" i="2" s="1"/>
  <c r="AM19" i="2" a="1"/>
  <c r="AM19" i="2" s="1"/>
  <c r="AM24" i="2" a="1"/>
  <c r="AM24" i="2" s="1"/>
  <c r="AK18" i="2" a="1"/>
  <c r="AK18" i="2" s="1"/>
  <c r="AN18" i="2" a="1"/>
  <c r="AN18" i="2" s="1"/>
  <c r="AN15" i="2" a="1"/>
  <c r="AN15" i="2" s="1"/>
  <c r="AE15" i="2" a="1"/>
  <c r="AE15" i="2" s="1"/>
  <c r="AK15" i="2" a="1"/>
  <c r="AK15" i="2" s="1"/>
  <c r="AG14" i="2" a="1"/>
  <c r="AG14" i="2" s="1"/>
  <c r="AF14" i="2" a="1"/>
  <c r="AF14" i="2" s="1"/>
  <c r="AO14" i="2" a="1"/>
  <c r="AO14" i="2" s="1"/>
  <c r="AI20" i="2" a="1"/>
  <c r="AI20" i="2" s="1"/>
  <c r="AG20" i="2" s="1"/>
  <c r="D14" i="2" a="1"/>
  <c r="K23" i="2" a="1"/>
  <c r="K19" i="2" a="1"/>
  <c r="W18" i="2" a="1"/>
  <c r="K27" i="2" a="1"/>
  <c r="K28" i="2" a="1"/>
  <c r="J28" i="2" a="1"/>
  <c r="B20" i="2" a="1"/>
  <c r="B22" i="2" a="1"/>
  <c r="B19" i="2" a="1"/>
  <c r="K15" i="2" a="1"/>
  <c r="B26" i="2" a="1"/>
  <c r="B21" i="2" a="1"/>
  <c r="B25" i="2" a="1"/>
  <c r="K25" i="2" a="1"/>
  <c r="D23" i="2" a="1"/>
  <c r="K22" i="2" a="1"/>
  <c r="B27" i="2" a="1"/>
  <c r="D15" i="2" a="1"/>
  <c r="B23" i="2" a="1"/>
  <c r="W21" i="2" a="1"/>
  <c r="AB32" i="1" a="1"/>
  <c r="H15" i="2" a="1"/>
  <c r="F25" i="2" a="1"/>
  <c r="B24" i="2" a="1"/>
  <c r="D28" i="2" a="1"/>
  <c r="K21" i="2" a="1"/>
  <c r="F27" i="2" a="1"/>
  <c r="F14" i="2" a="1"/>
  <c r="H23" i="2" a="1"/>
  <c r="W14" i="2" a="1"/>
  <c r="K26" i="2" a="1"/>
  <c r="W26" i="2" a="1"/>
  <c r="K18" i="2" a="1"/>
  <c r="K24" i="2" a="1"/>
  <c r="K14" i="2" a="1"/>
  <c r="H28" i="2" a="1"/>
  <c r="H26" i="2" a="1"/>
  <c r="W20" i="2" a="1"/>
  <c r="F24" i="2" a="1"/>
  <c r="F28" i="2" a="1"/>
  <c r="W28" i="2" a="1"/>
  <c r="W25" i="2" a="1"/>
  <c r="W19" i="2" a="1"/>
  <c r="W22" i="2" a="1"/>
  <c r="W23" i="2" a="1"/>
  <c r="W15" i="2" a="1"/>
  <c r="H14" i="2" a="1"/>
  <c r="F15" i="2" a="1"/>
  <c r="W24" i="2" a="1"/>
  <c r="K20" i="2" a="1"/>
  <c r="W27" i="2" a="1"/>
  <c r="AB37" i="1" a="1"/>
  <c r="AB32" i="1" l="1"/>
  <c r="AR39" i="1"/>
  <c r="AS39" i="1" s="1"/>
  <c r="AV39" i="1" s="1"/>
  <c r="AR43" i="1"/>
  <c r="AS43" i="1" s="1"/>
  <c r="AV43" i="1" s="1"/>
  <c r="AR46" i="1"/>
  <c r="AS46" i="1" s="1"/>
  <c r="AV46" i="1" s="1"/>
  <c r="AR33" i="1"/>
  <c r="AS33" i="1" s="1"/>
  <c r="AV33" i="1" s="1"/>
  <c r="AR37" i="1"/>
  <c r="AS37" i="1" s="1"/>
  <c r="AV37" i="1" s="1"/>
  <c r="AR45" i="1"/>
  <c r="AS45" i="1" s="1"/>
  <c r="AV45" i="1" s="1"/>
  <c r="AR41" i="1"/>
  <c r="AS41" i="1" s="1"/>
  <c r="AV41" i="1" s="1"/>
  <c r="AR38" i="1"/>
  <c r="AS38" i="1" s="1"/>
  <c r="AV38" i="1" s="1"/>
  <c r="AR40" i="1"/>
  <c r="AS40" i="1" s="1"/>
  <c r="AV40" i="1" s="1"/>
  <c r="AR44" i="1"/>
  <c r="AS44" i="1" s="1"/>
  <c r="AV44" i="1" s="1"/>
  <c r="AR17" i="1"/>
  <c r="AR32" i="1"/>
  <c r="AS32" i="1" s="1"/>
  <c r="AV32" i="1" s="1"/>
  <c r="AR42" i="1"/>
  <c r="AS42" i="1" s="1"/>
  <c r="G58" i="1"/>
  <c r="C58" i="1" s="1"/>
  <c r="B27" i="2"/>
  <c r="B24" i="2"/>
  <c r="B23" i="2"/>
  <c r="B26" i="2"/>
  <c r="B25" i="2"/>
  <c r="AR18" i="1"/>
  <c r="AS19" i="1"/>
  <c r="K18" i="2"/>
  <c r="W18" i="2"/>
  <c r="B20" i="2"/>
  <c r="B19" i="2"/>
  <c r="B21" i="2"/>
  <c r="B22" i="2"/>
  <c r="AL20" i="1"/>
  <c r="AI20" i="1"/>
  <c r="AG37" i="1"/>
  <c r="AN37" i="1" s="1"/>
  <c r="AG20" i="1"/>
  <c r="AO20" i="1"/>
  <c r="AP25" i="2"/>
  <c r="AG29" i="2"/>
  <c r="AS20" i="2" s="1"/>
  <c r="AT20" i="2" s="1"/>
  <c r="AP26" i="2"/>
  <c r="B17" i="2" a="1"/>
  <c r="B17" i="2" s="1"/>
  <c r="AG18" i="1"/>
  <c r="AU17" i="1"/>
  <c r="F28" i="2"/>
  <c r="E28" i="2" s="1"/>
  <c r="H26" i="2"/>
  <c r="G26" i="2" s="1"/>
  <c r="K22" i="2"/>
  <c r="W22" i="2"/>
  <c r="AB37" i="1"/>
  <c r="L4" i="41" s="1"/>
  <c r="M4" i="41" s="1"/>
  <c r="K24" i="2"/>
  <c r="W24" i="2"/>
  <c r="F24" i="2"/>
  <c r="E24" i="2" s="1"/>
  <c r="F15" i="2"/>
  <c r="E15" i="2" s="1"/>
  <c r="H23" i="2"/>
  <c r="G23" i="2" s="1"/>
  <c r="K25" i="2"/>
  <c r="W25" i="2"/>
  <c r="F14" i="2"/>
  <c r="E14" i="2" s="1"/>
  <c r="K19" i="2"/>
  <c r="W19" i="2"/>
  <c r="K28" i="2"/>
  <c r="W28" i="2"/>
  <c r="J28" i="2"/>
  <c r="I28" i="2" s="1"/>
  <c r="H28" i="2"/>
  <c r="G28" i="2" s="1"/>
  <c r="W14" i="2"/>
  <c r="K14" i="2"/>
  <c r="D14" i="2"/>
  <c r="C14" i="2" s="1"/>
  <c r="H15" i="2"/>
  <c r="G15" i="2" s="1"/>
  <c r="D23" i="2"/>
  <c r="C23" i="2" s="1"/>
  <c r="K23" i="2"/>
  <c r="W23" i="2"/>
  <c r="K26" i="2"/>
  <c r="W26" i="2"/>
  <c r="D15" i="2"/>
  <c r="C15" i="2" s="1"/>
  <c r="K21" i="2"/>
  <c r="W21" i="2"/>
  <c r="D28" i="2"/>
  <c r="C28" i="2" s="1"/>
  <c r="H14" i="2"/>
  <c r="G14" i="2" s="1"/>
  <c r="W15" i="2"/>
  <c r="K15" i="2"/>
  <c r="F27" i="2"/>
  <c r="E27" i="2" s="1"/>
  <c r="K20" i="2"/>
  <c r="W20" i="2"/>
  <c r="W27" i="2"/>
  <c r="K27" i="2"/>
  <c r="F25" i="2"/>
  <c r="E25" i="2" s="1"/>
  <c r="AM30" i="1"/>
  <c r="S29" i="2"/>
  <c r="U27" i="2"/>
  <c r="AP28" i="1"/>
  <c r="U17" i="2"/>
  <c r="AV17" i="2" s="1"/>
  <c r="AP18" i="1"/>
  <c r="U18" i="2"/>
  <c r="AP19" i="1"/>
  <c r="U25" i="2"/>
  <c r="AP26" i="1"/>
  <c r="AP17" i="2"/>
  <c r="AS23" i="1"/>
  <c r="AP21" i="2"/>
  <c r="AQ21" i="2"/>
  <c r="AQ22" i="2" s="1"/>
  <c r="AQ23" i="2"/>
  <c r="AQ24" i="2" s="1"/>
  <c r="AQ25" i="2" s="1"/>
  <c r="AQ26" i="2" s="1"/>
  <c r="S18" i="2"/>
  <c r="AM19" i="1"/>
  <c r="AS25" i="1"/>
  <c r="AM26" i="1"/>
  <c r="S25" i="2"/>
  <c r="AM16" i="1"/>
  <c r="S15" i="2"/>
  <c r="AP20" i="2"/>
  <c r="AN29" i="2"/>
  <c r="AS27" i="2" s="1"/>
  <c r="L58" i="1" s="1"/>
  <c r="AP25" i="1"/>
  <c r="U24" i="2"/>
  <c r="AH42" i="1"/>
  <c r="AI42" i="1" s="1"/>
  <c r="AK42" i="1"/>
  <c r="AL42" i="1" s="1"/>
  <c r="AN42" i="1"/>
  <c r="AO42" i="1" s="1"/>
  <c r="AS26" i="1"/>
  <c r="Q25" i="2"/>
  <c r="AJ26" i="1"/>
  <c r="AK41" i="1"/>
  <c r="AL41" i="1" s="1"/>
  <c r="AN41" i="1"/>
  <c r="AO41" i="1" s="1"/>
  <c r="AH41" i="1"/>
  <c r="AP27" i="2"/>
  <c r="AP23" i="2"/>
  <c r="AP21" i="1"/>
  <c r="U20" i="2"/>
  <c r="S14" i="2"/>
  <c r="AM15" i="1"/>
  <c r="AJ23" i="1"/>
  <c r="Q22" i="2"/>
  <c r="S27" i="2"/>
  <c r="AM28" i="1"/>
  <c r="AJ19" i="1"/>
  <c r="Q18" i="2"/>
  <c r="AS20" i="1"/>
  <c r="AS29" i="1"/>
  <c r="AJ29" i="1"/>
  <c r="Q28" i="2"/>
  <c r="AK43" i="1"/>
  <c r="AL43" i="1" s="1"/>
  <c r="AN43" i="1"/>
  <c r="AO43" i="1" s="1"/>
  <c r="AH43" i="1"/>
  <c r="AI43" i="1" s="1"/>
  <c r="AJ24" i="1"/>
  <c r="Q23" i="2"/>
  <c r="AK47" i="1"/>
  <c r="AL47" i="1" s="1"/>
  <c r="AN47" i="1"/>
  <c r="AO47" i="1" s="1"/>
  <c r="AH47" i="1"/>
  <c r="AI47" i="1" s="1"/>
  <c r="AJ21" i="1"/>
  <c r="Q20" i="2"/>
  <c r="Q21" i="2"/>
  <c r="AJ22" i="1"/>
  <c r="AH33" i="1"/>
  <c r="AI33" i="1" s="1"/>
  <c r="AK33" i="1"/>
  <c r="AL33" i="1" s="1"/>
  <c r="AN33" i="1"/>
  <c r="AO33" i="1" s="1"/>
  <c r="U29" i="2"/>
  <c r="AP30" i="1"/>
  <c r="AM25" i="1"/>
  <c r="S24" i="2"/>
  <c r="AS15" i="1"/>
  <c r="U26" i="2"/>
  <c r="AP27" i="1"/>
  <c r="AH44" i="1"/>
  <c r="AI44" i="1" s="1"/>
  <c r="AN44" i="1"/>
  <c r="AO44" i="1" s="1"/>
  <c r="AK44" i="1"/>
  <c r="AL44" i="1" s="1"/>
  <c r="U21" i="2"/>
  <c r="AP22" i="1"/>
  <c r="AP23" i="1"/>
  <c r="U22" i="2"/>
  <c r="AK45" i="1"/>
  <c r="AL45" i="1" s="1"/>
  <c r="AN45" i="1"/>
  <c r="AO45" i="1" s="1"/>
  <c r="AH45" i="1"/>
  <c r="AI45" i="1" s="1"/>
  <c r="AH36" i="1"/>
  <c r="AI36" i="1" s="1"/>
  <c r="AN36" i="1"/>
  <c r="AO36" i="1" s="1"/>
  <c r="AK36" i="1"/>
  <c r="AL36" i="1" s="1"/>
  <c r="Q14" i="2"/>
  <c r="AJ15" i="1"/>
  <c r="AN40" i="1"/>
  <c r="AO40" i="1" s="1"/>
  <c r="AH40" i="1"/>
  <c r="AI40" i="1" s="1"/>
  <c r="AK40" i="1"/>
  <c r="AL40" i="1" s="1"/>
  <c r="AJ28" i="1"/>
  <c r="Q27" i="2"/>
  <c r="U15" i="2"/>
  <c r="AP16" i="1"/>
  <c r="AJ25" i="1"/>
  <c r="Q24" i="2"/>
  <c r="AS24" i="1"/>
  <c r="U28" i="2"/>
  <c r="AP29" i="1"/>
  <c r="AJ27" i="1"/>
  <c r="Q26" i="2"/>
  <c r="AM22" i="1"/>
  <c r="S21" i="2"/>
  <c r="AS27" i="1"/>
  <c r="AJ16" i="1"/>
  <c r="Q15" i="2"/>
  <c r="AP24" i="1"/>
  <c r="U23" i="2"/>
  <c r="AD29" i="2"/>
  <c r="AS17" i="2" s="1"/>
  <c r="AS22" i="1"/>
  <c r="AJ29" i="2"/>
  <c r="AS23" i="2" s="1"/>
  <c r="Q29" i="2"/>
  <c r="AJ30" i="1"/>
  <c r="AN38" i="1"/>
  <c r="AO38" i="1" s="1"/>
  <c r="AK38" i="1"/>
  <c r="AL38" i="1" s="1"/>
  <c r="AH38" i="1"/>
  <c r="AI38" i="1" s="1"/>
  <c r="U14" i="2"/>
  <c r="AP15" i="1"/>
  <c r="AH32" i="1"/>
  <c r="AI32" i="1" s="1"/>
  <c r="AN32" i="1"/>
  <c r="AO32" i="1" s="1"/>
  <c r="AK32" i="1"/>
  <c r="AL32" i="1" s="1"/>
  <c r="AF18" i="1"/>
  <c r="AG35" i="1"/>
  <c r="AE18" i="1"/>
  <c r="AL18" i="1"/>
  <c r="AD18" i="1"/>
  <c r="AI18" i="1"/>
  <c r="AB18" i="1"/>
  <c r="AC18" i="1"/>
  <c r="AG34" i="1"/>
  <c r="AL17" i="1"/>
  <c r="AD17" i="1"/>
  <c r="AI17" i="1"/>
  <c r="AO17" i="1"/>
  <c r="AE17" i="1"/>
  <c r="AM23" i="1"/>
  <c r="S22" i="2"/>
  <c r="AS16" i="1"/>
  <c r="S28" i="2"/>
  <c r="AM29" i="1"/>
  <c r="S20" i="2"/>
  <c r="AM21" i="1"/>
  <c r="V31" i="1"/>
  <c r="AS21" i="1"/>
  <c r="AS28" i="1"/>
  <c r="V3" i="2"/>
  <c r="S3" i="2"/>
  <c r="U3" i="2"/>
  <c r="AE28" i="1" s="1"/>
  <c r="Y13" i="2"/>
  <c r="T3" i="2"/>
  <c r="R3" i="2"/>
  <c r="AH46" i="1"/>
  <c r="AI46" i="1" s="1"/>
  <c r="AK46" i="1"/>
  <c r="AL46" i="1" s="1"/>
  <c r="AN46" i="1"/>
  <c r="AO46" i="1" s="1"/>
  <c r="AM27" i="1"/>
  <c r="S26" i="2"/>
  <c r="AK39" i="1"/>
  <c r="AL39" i="1" s="1"/>
  <c r="AN39" i="1"/>
  <c r="AO39" i="1" s="1"/>
  <c r="AH39" i="1"/>
  <c r="AI39" i="1" s="1"/>
  <c r="AM24" i="1"/>
  <c r="S23" i="2"/>
  <c r="J15" i="2" a="1"/>
  <c r="K16" i="2" a="1"/>
  <c r="H16" i="2" a="1"/>
  <c r="D16" i="2" a="1"/>
  <c r="W17" i="2" a="1"/>
  <c r="U4" i="2" a="1"/>
  <c r="J14" i="2" a="1"/>
  <c r="F16" i="2" a="1"/>
  <c r="W16" i="2" a="1"/>
  <c r="J19" i="2" a="1"/>
  <c r="J18" i="2" a="1"/>
  <c r="C32" i="41" a="1"/>
  <c r="J16" i="2" a="1"/>
  <c r="F33" i="41" a="1"/>
  <c r="C33" i="41" a="1"/>
  <c r="J20" i="2" a="1"/>
  <c r="K17" i="2" a="1"/>
  <c r="AS17" i="1" l="1"/>
  <c r="AR34" i="1"/>
  <c r="AS34" i="1" s="1"/>
  <c r="AV34" i="1" s="1"/>
  <c r="AB11" i="2"/>
  <c r="AV28" i="2" s="1"/>
  <c r="L60" i="1" s="1"/>
  <c r="AV42" i="1"/>
  <c r="W16" i="2"/>
  <c r="K16" i="2"/>
  <c r="AP20" i="1"/>
  <c r="AJ20" i="1"/>
  <c r="AS18" i="1"/>
  <c r="AM20" i="1"/>
  <c r="AP45" i="1"/>
  <c r="AB17" i="1"/>
  <c r="AB28" i="1"/>
  <c r="AM45" i="1"/>
  <c r="AC16" i="1"/>
  <c r="AC28" i="1"/>
  <c r="AF17" i="1"/>
  <c r="AF28" i="1"/>
  <c r="AD16" i="1"/>
  <c r="AD28" i="1"/>
  <c r="AV24" i="2"/>
  <c r="AW24" i="2" s="1"/>
  <c r="AC17" i="1"/>
  <c r="AV25" i="2"/>
  <c r="AW25" i="2" s="1"/>
  <c r="AF26" i="1"/>
  <c r="AF16" i="1"/>
  <c r="AE26" i="1"/>
  <c r="AE16" i="1"/>
  <c r="AB15" i="1"/>
  <c r="AB26" i="1"/>
  <c r="AD15" i="1"/>
  <c r="AD26" i="1"/>
  <c r="AC15" i="1"/>
  <c r="AC26" i="1"/>
  <c r="AP36" i="1"/>
  <c r="AV19" i="2"/>
  <c r="AW19" i="2" s="1"/>
  <c r="AM36" i="1"/>
  <c r="T69" i="1"/>
  <c r="AJ44" i="1"/>
  <c r="AP46" i="1"/>
  <c r="AM46" i="1"/>
  <c r="AM47" i="1"/>
  <c r="C33" i="41"/>
  <c r="AM43" i="1"/>
  <c r="K17" i="2"/>
  <c r="W17" i="2"/>
  <c r="AE20" i="1"/>
  <c r="AE15" i="1"/>
  <c r="AM44" i="1"/>
  <c r="AF20" i="1"/>
  <c r="AF15" i="1"/>
  <c r="AP44" i="1"/>
  <c r="AR35" i="1"/>
  <c r="AS35" i="1" s="1"/>
  <c r="AE11" i="2"/>
  <c r="AH11" i="2" s="1"/>
  <c r="BD29" i="2" s="1"/>
  <c r="AJ43" i="1"/>
  <c r="AP42" i="1"/>
  <c r="AJ45" i="1"/>
  <c r="AJ46" i="1"/>
  <c r="AJ47" i="1"/>
  <c r="AP43" i="1"/>
  <c r="AM42" i="1"/>
  <c r="AP47" i="1"/>
  <c r="AJ42" i="1"/>
  <c r="AV16" i="2"/>
  <c r="AW16" i="2" s="1"/>
  <c r="J18" i="2"/>
  <c r="I18" i="2" s="1"/>
  <c r="AI22" i="2"/>
  <c r="AP22" i="2" s="1"/>
  <c r="AV21" i="2"/>
  <c r="AW21" i="2" s="1"/>
  <c r="AH37" i="1"/>
  <c r="AI37" i="1" s="1"/>
  <c r="J19" i="2"/>
  <c r="I19" i="2" s="1"/>
  <c r="J20" i="2"/>
  <c r="I20" i="2" s="1"/>
  <c r="AD20" i="1"/>
  <c r="AD23" i="1"/>
  <c r="AC24" i="1"/>
  <c r="AC23" i="1"/>
  <c r="AE24" i="1"/>
  <c r="AE23" i="1"/>
  <c r="AB20" i="1"/>
  <c r="AB23" i="1"/>
  <c r="AM38" i="1"/>
  <c r="AV22" i="2"/>
  <c r="AW22" i="2" s="1"/>
  <c r="AO37" i="1"/>
  <c r="AK37" i="1"/>
  <c r="AL37" i="1" s="1"/>
  <c r="AC20" i="1"/>
  <c r="AM39" i="1"/>
  <c r="AP40" i="1"/>
  <c r="AP41" i="1"/>
  <c r="Q19" i="2"/>
  <c r="AJ39" i="1"/>
  <c r="AV18" i="2"/>
  <c r="AW18" i="2" s="1"/>
  <c r="AJ40" i="1"/>
  <c r="U4" i="2"/>
  <c r="AP39" i="1"/>
  <c r="AD21" i="1"/>
  <c r="AD24" i="1"/>
  <c r="AM41" i="1"/>
  <c r="AF23" i="1"/>
  <c r="AF24" i="1"/>
  <c r="AM40" i="1"/>
  <c r="AP38" i="1"/>
  <c r="S19" i="2"/>
  <c r="AJ38" i="1"/>
  <c r="AB16" i="1"/>
  <c r="AB24" i="1"/>
  <c r="A29" i="2"/>
  <c r="B10" i="2" s="1"/>
  <c r="AJ36" i="1"/>
  <c r="U19" i="2"/>
  <c r="AM32" i="1"/>
  <c r="AJ33" i="1"/>
  <c r="F33" i="41"/>
  <c r="H16" i="2"/>
  <c r="G16" i="2" s="1"/>
  <c r="D16" i="2"/>
  <c r="C16" i="2" s="1"/>
  <c r="J14" i="2"/>
  <c r="I14" i="2" s="1"/>
  <c r="J15" i="2"/>
  <c r="I15" i="2" s="1"/>
  <c r="J16" i="2"/>
  <c r="I16" i="2" s="1"/>
  <c r="F16" i="2"/>
  <c r="E16" i="2" s="1"/>
  <c r="C32" i="41"/>
  <c r="T82" i="1"/>
  <c r="H58" i="1"/>
  <c r="U16" i="2"/>
  <c r="AP17" i="1"/>
  <c r="AV14" i="2"/>
  <c r="Q16" i="2"/>
  <c r="AJ17" i="1"/>
  <c r="AI41" i="1"/>
  <c r="AJ41" i="1" s="1"/>
  <c r="AJ32" i="1"/>
  <c r="AH34" i="1"/>
  <c r="AN34" i="1"/>
  <c r="AO34" i="1" s="1"/>
  <c r="AK34" i="1"/>
  <c r="AL34" i="1" s="1"/>
  <c r="AJ18" i="1"/>
  <c r="Q17" i="2"/>
  <c r="AP33" i="1"/>
  <c r="AP32" i="1"/>
  <c r="AM33" i="1"/>
  <c r="AQ27" i="2"/>
  <c r="AQ28" i="2"/>
  <c r="AH35" i="1"/>
  <c r="AK35" i="1"/>
  <c r="AL35" i="1" s="1"/>
  <c r="AN35" i="1"/>
  <c r="AO35" i="1" s="1"/>
  <c r="AP35" i="1" s="1"/>
  <c r="AM17" i="1"/>
  <c r="S16" i="2"/>
  <c r="S17" i="2"/>
  <c r="AM18" i="1"/>
  <c r="R69" i="1"/>
  <c r="J23" i="2" a="1"/>
  <c r="H17" i="2" a="1"/>
  <c r="M32" i="41" a="1"/>
  <c r="P33" i="41" a="1"/>
  <c r="F32" i="41" a="1"/>
  <c r="AB34" i="1" a="1"/>
  <c r="F17" i="2" a="1"/>
  <c r="J27" i="2" a="1"/>
  <c r="Q33" i="41" a="1"/>
  <c r="J17" i="2" a="1"/>
  <c r="J26" i="2" a="1"/>
  <c r="F35" i="41" a="1"/>
  <c r="J25" i="2" a="1"/>
  <c r="V4" i="2" a="1"/>
  <c r="J22" i="2" a="1"/>
  <c r="G33" i="41" a="1"/>
  <c r="J24" i="2" a="1"/>
  <c r="D17" i="2" a="1"/>
  <c r="J21" i="2" a="1"/>
  <c r="D33" i="41" a="1"/>
  <c r="AJ37" i="1" l="1"/>
  <c r="AM37" i="1"/>
  <c r="AP37" i="1"/>
  <c r="AF45" i="1"/>
  <c r="AK24" i="2"/>
  <c r="AP24" i="2" s="1"/>
  <c r="J17" i="2"/>
  <c r="I17" i="2" s="1"/>
  <c r="AF36" i="1"/>
  <c r="AW28" i="2"/>
  <c r="J26" i="2"/>
  <c r="I26" i="2" s="1"/>
  <c r="J27" i="2"/>
  <c r="I27" i="2" s="1"/>
  <c r="J25" i="2"/>
  <c r="I25" i="2" s="1"/>
  <c r="V4" i="2"/>
  <c r="F35" i="41"/>
  <c r="AF46" i="1"/>
  <c r="AO28" i="2"/>
  <c r="AF44" i="1"/>
  <c r="AF42" i="1"/>
  <c r="AF43" i="1"/>
  <c r="H60" i="1"/>
  <c r="N86" i="1"/>
  <c r="D33" i="41"/>
  <c r="S33" i="41" s="1"/>
  <c r="P33" i="41"/>
  <c r="AF47" i="1"/>
  <c r="G33" i="41"/>
  <c r="T33" i="41" s="1"/>
  <c r="Q33" i="41"/>
  <c r="J24" i="2"/>
  <c r="I24" i="2" s="1"/>
  <c r="J23" i="2"/>
  <c r="I23" i="2" s="1"/>
  <c r="J22" i="2"/>
  <c r="I22" i="2" s="1"/>
  <c r="J21" i="2"/>
  <c r="I21" i="2" s="1"/>
  <c r="M32" i="41"/>
  <c r="AV35" i="1"/>
  <c r="AV48" i="1" s="1"/>
  <c r="AG49" i="1" s="1"/>
  <c r="F17" i="2"/>
  <c r="E17" i="2" s="1"/>
  <c r="AF39" i="1"/>
  <c r="BB24" i="2"/>
  <c r="G48" i="1"/>
  <c r="C48" i="1" s="1"/>
  <c r="AF38" i="1"/>
  <c r="AF40" i="1"/>
  <c r="D17" i="2"/>
  <c r="C17" i="2" s="1"/>
  <c r="AM34" i="1"/>
  <c r="AF32" i="1"/>
  <c r="BA20" i="2"/>
  <c r="BA15" i="2"/>
  <c r="BA23" i="2"/>
  <c r="BB18" i="2"/>
  <c r="BA17" i="2"/>
  <c r="AM35" i="1"/>
  <c r="AP34" i="1"/>
  <c r="BA27" i="2"/>
  <c r="BB27" i="2" s="1"/>
  <c r="BC27" i="2" s="1"/>
  <c r="BA16" i="2"/>
  <c r="BA25" i="2"/>
  <c r="BB20" i="2"/>
  <c r="BB25" i="2"/>
  <c r="BB17" i="2"/>
  <c r="AB34" i="1"/>
  <c r="F4" i="41" s="1"/>
  <c r="G4" i="41" s="1"/>
  <c r="H17" i="2"/>
  <c r="G17" i="2" s="1"/>
  <c r="F32" i="41"/>
  <c r="AY27" i="2" a="1"/>
  <c r="AY27" i="2" s="1"/>
  <c r="Q58" i="1" s="1"/>
  <c r="H34" i="1"/>
  <c r="AW14" i="2"/>
  <c r="BA28" i="2"/>
  <c r="BA24" i="2"/>
  <c r="AY24" i="2" s="1" a="1"/>
  <c r="AY24" i="2" s="1"/>
  <c r="AZ24" i="2" s="1"/>
  <c r="BA19" i="2"/>
  <c r="BB23" i="2"/>
  <c r="BB16" i="2"/>
  <c r="BA22" i="2"/>
  <c r="BB19" i="2"/>
  <c r="BB15" i="2"/>
  <c r="BA21" i="2"/>
  <c r="BA14" i="2"/>
  <c r="BB26" i="2"/>
  <c r="BA18" i="2"/>
  <c r="BA26" i="2"/>
  <c r="AY26" i="2" s="1" a="1"/>
  <c r="AY26" i="2" s="1"/>
  <c r="AZ26" i="2" s="1"/>
  <c r="BB21" i="2"/>
  <c r="AF41" i="1"/>
  <c r="AI35" i="1"/>
  <c r="AJ35" i="1" s="1"/>
  <c r="AF33" i="1"/>
  <c r="AI34" i="1"/>
  <c r="AJ34" i="1" s="1"/>
  <c r="T58" i="1"/>
  <c r="S58" i="1"/>
  <c r="R82" i="1"/>
  <c r="R58" i="1"/>
  <c r="AH19" i="2" a="1"/>
  <c r="AM16" i="2" a="1"/>
  <c r="AF16" i="2" a="1"/>
  <c r="AL15" i="2" a="1"/>
  <c r="AK14" i="2" a="1"/>
  <c r="AF18" i="2" a="1"/>
  <c r="AI14" i="2" a="1"/>
  <c r="AE16" i="2" a="1"/>
  <c r="AH18" i="2" a="1"/>
  <c r="AI18" i="2" a="1"/>
  <c r="G35" i="41" a="1"/>
  <c r="Q35" i="41" a="1"/>
  <c r="D32" i="41" a="1"/>
  <c r="H18" i="2" a="1"/>
  <c r="D18" i="2" a="1"/>
  <c r="I33" i="41" a="1"/>
  <c r="C23" i="41" a="1"/>
  <c r="N32" i="41" a="1"/>
  <c r="F34" i="41" a="1"/>
  <c r="P32" i="41" a="1"/>
  <c r="H19" i="2" a="1"/>
  <c r="D19" i="2" a="1"/>
  <c r="C22" i="41" a="1"/>
  <c r="F18" i="2" a="1"/>
  <c r="F8" i="41" a="1"/>
  <c r="AF37" i="1" l="1"/>
  <c r="AH19" i="2"/>
  <c r="AF19" i="2" s="1"/>
  <c r="AP19" i="2" s="1"/>
  <c r="AM16" i="2"/>
  <c r="AM29" i="2" s="1"/>
  <c r="AS26" i="2" s="1"/>
  <c r="AT26" i="2" s="1"/>
  <c r="D18" i="2"/>
  <c r="C18" i="2" s="1"/>
  <c r="AF16" i="2"/>
  <c r="AY16" i="2" a="1"/>
  <c r="AY16" i="2" s="1"/>
  <c r="AZ16" i="2" s="1"/>
  <c r="H18" i="2"/>
  <c r="G18" i="2" s="1"/>
  <c r="AL15" i="2"/>
  <c r="AK14" i="2"/>
  <c r="AK29" i="2" s="1"/>
  <c r="AS24" i="2" s="1"/>
  <c r="AT24" i="2" s="1"/>
  <c r="AF18" i="2"/>
  <c r="AY18" i="2" a="1"/>
  <c r="AY18" i="2" s="1"/>
  <c r="AZ18" i="2" s="1"/>
  <c r="J29" i="2"/>
  <c r="J10" i="2" s="1"/>
  <c r="BC24" i="2"/>
  <c r="BC23" i="2"/>
  <c r="Q35" i="41"/>
  <c r="G35" i="41"/>
  <c r="T35" i="41" s="1"/>
  <c r="F34" i="41"/>
  <c r="BC26" i="2"/>
  <c r="T60" i="1"/>
  <c r="G56" i="1"/>
  <c r="N85" i="1"/>
  <c r="R60" i="1"/>
  <c r="S60" i="1"/>
  <c r="BC25" i="2"/>
  <c r="AP28" i="2"/>
  <c r="AO29" i="2"/>
  <c r="AS28" i="2" s="1"/>
  <c r="BB28" i="2"/>
  <c r="BC28" i="2" s="1"/>
  <c r="AY28" i="2" a="1"/>
  <c r="AY28" i="2" s="1"/>
  <c r="K29" i="2"/>
  <c r="K10" i="2" s="1"/>
  <c r="P32" i="41"/>
  <c r="D32" i="41"/>
  <c r="N32" i="41"/>
  <c r="AI14" i="2"/>
  <c r="AA14" i="2" s="1"/>
  <c r="I29" i="2"/>
  <c r="D58" i="1"/>
  <c r="R70" i="1" s="1"/>
  <c r="Q64" i="1"/>
  <c r="AE16" i="2"/>
  <c r="F18" i="2"/>
  <c r="E18" i="2" s="1"/>
  <c r="BB22" i="2"/>
  <c r="BC22" i="2" s="1"/>
  <c r="AY22" i="2" a="1"/>
  <c r="AY22" i="2" s="1"/>
  <c r="BC20" i="2"/>
  <c r="AH18" i="2"/>
  <c r="C23" i="41"/>
  <c r="BC18" i="2"/>
  <c r="C22" i="41"/>
  <c r="BC21" i="2"/>
  <c r="G46" i="1"/>
  <c r="O64" i="1"/>
  <c r="BC19" i="2"/>
  <c r="BC17" i="2"/>
  <c r="H19" i="2"/>
  <c r="G19" i="2" s="1"/>
  <c r="D19" i="2"/>
  <c r="C19" i="2" s="1"/>
  <c r="AI18" i="2"/>
  <c r="BC16" i="2"/>
  <c r="BC15" i="2"/>
  <c r="AF34" i="1"/>
  <c r="AF35" i="1"/>
  <c r="I33" i="41"/>
  <c r="F8" i="41"/>
  <c r="T95" i="1"/>
  <c r="M58" i="1"/>
  <c r="D85" i="1"/>
  <c r="L34" i="1"/>
  <c r="T34" i="1" s="1"/>
  <c r="BC14" i="2"/>
  <c r="AY14" i="2" a="1"/>
  <c r="AY14" i="2" s="1"/>
  <c r="T59" i="1"/>
  <c r="L32" i="41"/>
  <c r="R59" i="1"/>
  <c r="L33" i="41" s="1"/>
  <c r="S59" i="1"/>
  <c r="V58" i="1"/>
  <c r="D20" i="2" a="1"/>
  <c r="M22" i="41" a="1"/>
  <c r="N34" i="41" a="1"/>
  <c r="H20" i="2" a="1"/>
  <c r="F9" i="41" a="1"/>
  <c r="F21" i="2" a="1"/>
  <c r="R33" i="41" a="1"/>
  <c r="F19" i="2" a="1"/>
  <c r="C31" i="41" a="1"/>
  <c r="I32" i="41" a="1"/>
  <c r="C21" i="41" a="1"/>
  <c r="Q32" i="41" a="1"/>
  <c r="J33" i="41" a="1"/>
  <c r="G32" i="41" a="1"/>
  <c r="AC16" i="2" l="1"/>
  <c r="AC29" i="2" s="1"/>
  <c r="AS16" i="2" s="1"/>
  <c r="AT16" i="2" s="1"/>
  <c r="AH29" i="2"/>
  <c r="AS21" i="2" s="1"/>
  <c r="AT21" i="2" s="1"/>
  <c r="AF29" i="2"/>
  <c r="AS19" i="2" s="1"/>
  <c r="AT19" i="2" s="1"/>
  <c r="AL29" i="2"/>
  <c r="AS25" i="2" s="1"/>
  <c r="AT25" i="2" s="1"/>
  <c r="AB15" i="2"/>
  <c r="C31" i="41"/>
  <c r="N34" i="41"/>
  <c r="F19" i="2"/>
  <c r="E19" i="2" s="1"/>
  <c r="C56" i="1"/>
  <c r="Q69" i="1"/>
  <c r="G60" i="1"/>
  <c r="AT28" i="2"/>
  <c r="S61" i="1"/>
  <c r="V60" i="1"/>
  <c r="L34" i="41"/>
  <c r="T61" i="1"/>
  <c r="R61" i="1"/>
  <c r="L35" i="41" s="1"/>
  <c r="AZ28" i="2"/>
  <c r="Q60" i="1"/>
  <c r="J33" i="41"/>
  <c r="U33" i="41" s="1"/>
  <c r="R33" i="41"/>
  <c r="G32" i="41"/>
  <c r="Q32" i="41"/>
  <c r="S32" i="41"/>
  <c r="AA29" i="2"/>
  <c r="AS14" i="2" s="1"/>
  <c r="AP14" i="2"/>
  <c r="I58" i="1"/>
  <c r="R83" i="1" s="1"/>
  <c r="D20" i="2"/>
  <c r="C20" i="2" s="1"/>
  <c r="AZ22" i="2"/>
  <c r="Q48" i="1"/>
  <c r="F21" i="2"/>
  <c r="E21" i="2" s="1"/>
  <c r="C21" i="41"/>
  <c r="H20" i="2"/>
  <c r="G20" i="2" s="1"/>
  <c r="M22" i="41"/>
  <c r="N64" i="1"/>
  <c r="C46" i="1"/>
  <c r="AG48" i="1"/>
  <c r="B59" i="41" s="1"/>
  <c r="AI29" i="2"/>
  <c r="AS22" i="2" s="1"/>
  <c r="AE18" i="2"/>
  <c r="R34" i="1"/>
  <c r="R35" i="1" s="1"/>
  <c r="L9" i="41" s="1"/>
  <c r="I32" i="41"/>
  <c r="F9" i="41"/>
  <c r="R95" i="1"/>
  <c r="M34" i="1"/>
  <c r="AZ14" i="2"/>
  <c r="K33" i="41"/>
  <c r="S34" i="1"/>
  <c r="D84" i="1"/>
  <c r="H36" i="1"/>
  <c r="P31" i="41" a="1"/>
  <c r="C30" i="41" a="1"/>
  <c r="I35" i="41" a="1"/>
  <c r="G34" i="41" a="1"/>
  <c r="F20" i="2" a="1"/>
  <c r="D22" i="41" a="1"/>
  <c r="C35" i="41" a="1"/>
  <c r="P22" i="41" a="1"/>
  <c r="D31" i="41" a="1"/>
  <c r="O32" i="41" a="1"/>
  <c r="I8" i="41" a="1"/>
  <c r="C20" i="41" a="1"/>
  <c r="D21" i="2" a="1"/>
  <c r="H21" i="2" a="1"/>
  <c r="F10" i="41" a="1"/>
  <c r="N8" i="41" a="1"/>
  <c r="I23" i="41" a="1"/>
  <c r="Q34" i="41" a="1"/>
  <c r="AP16" i="2" l="1"/>
  <c r="K35" i="41"/>
  <c r="AP15" i="2"/>
  <c r="AB29" i="2"/>
  <c r="AS15" i="2" s="1"/>
  <c r="AT15" i="2" s="1"/>
  <c r="D21" i="2"/>
  <c r="C21" i="2" s="1"/>
  <c r="F20" i="2"/>
  <c r="E20" i="2" s="1"/>
  <c r="I35" i="41"/>
  <c r="H21" i="2"/>
  <c r="G21" i="2" s="1"/>
  <c r="C30" i="41"/>
  <c r="C35" i="41"/>
  <c r="G34" i="41"/>
  <c r="T34" i="41" s="1"/>
  <c r="Q34" i="41"/>
  <c r="P31" i="41"/>
  <c r="D31" i="41"/>
  <c r="S31" i="41" s="1"/>
  <c r="M60" i="1"/>
  <c r="N99" i="1"/>
  <c r="G54" i="1"/>
  <c r="O69" i="1"/>
  <c r="C60" i="1"/>
  <c r="N73" i="1"/>
  <c r="L56" i="1"/>
  <c r="Q85" i="1"/>
  <c r="I60" i="1"/>
  <c r="O32" i="41"/>
  <c r="T32" i="41"/>
  <c r="C34" i="1"/>
  <c r="AT14" i="2"/>
  <c r="I23" i="41"/>
  <c r="Q90" i="1"/>
  <c r="C20" i="41"/>
  <c r="P22" i="41"/>
  <c r="D22" i="41"/>
  <c r="L64" i="1"/>
  <c r="D48" i="1"/>
  <c r="O65" i="1" s="1"/>
  <c r="AP18" i="2"/>
  <c r="AE29" i="2"/>
  <c r="AS18" i="2" s="1"/>
  <c r="AT22" i="2"/>
  <c r="L48" i="1"/>
  <c r="V34" i="1"/>
  <c r="T35" i="1"/>
  <c r="L8" i="41"/>
  <c r="K9" i="41" s="1"/>
  <c r="S35" i="1"/>
  <c r="F10" i="41"/>
  <c r="I8" i="41"/>
  <c r="N8" i="41"/>
  <c r="L36" i="1"/>
  <c r="D83" i="1"/>
  <c r="D98" i="1"/>
  <c r="Q34" i="1"/>
  <c r="J32" i="41" a="1"/>
  <c r="AB35" i="1" a="1"/>
  <c r="C34" i="41" a="1"/>
  <c r="F22" i="2" a="1"/>
  <c r="F31" i="41" a="1"/>
  <c r="C29" i="41" a="1"/>
  <c r="H22" i="2" a="1"/>
  <c r="M30" i="41" a="1"/>
  <c r="G8" i="41" a="1"/>
  <c r="AB36" i="1" a="1"/>
  <c r="C8" i="41" a="1"/>
  <c r="D35" i="41" a="1"/>
  <c r="D22" i="2" a="1"/>
  <c r="P35" i="41" a="1"/>
  <c r="D21" i="41" a="1"/>
  <c r="M20" i="41" a="1"/>
  <c r="I9" i="41" a="1"/>
  <c r="R35" i="41" a="1"/>
  <c r="R32" i="41" a="1"/>
  <c r="F11" i="41" a="1"/>
  <c r="Q8" i="41" a="1"/>
  <c r="J35" i="41" a="1"/>
  <c r="P21" i="41" a="1"/>
  <c r="F23" i="41" a="1"/>
  <c r="I34" i="41" a="1"/>
  <c r="AP29" i="2" l="1"/>
  <c r="H22" i="2"/>
  <c r="G22" i="2" s="1"/>
  <c r="D22" i="2"/>
  <c r="C22" i="2" s="1"/>
  <c r="F22" i="2"/>
  <c r="E22" i="2" s="1"/>
  <c r="C34" i="41"/>
  <c r="C29" i="41"/>
  <c r="P35" i="41"/>
  <c r="D35" i="41"/>
  <c r="S35" i="41" s="1"/>
  <c r="F31" i="41"/>
  <c r="M30" i="41"/>
  <c r="I34" i="41"/>
  <c r="J35" i="41"/>
  <c r="U35" i="41" s="1"/>
  <c r="R35" i="41"/>
  <c r="N72" i="1"/>
  <c r="C54" i="1"/>
  <c r="N69" i="1"/>
  <c r="Q82" i="1"/>
  <c r="H56" i="1"/>
  <c r="N98" i="1"/>
  <c r="Q56" i="1"/>
  <c r="R32" i="41"/>
  <c r="J32" i="41"/>
  <c r="C8" i="41"/>
  <c r="N58" i="1"/>
  <c r="R96" i="1" s="1"/>
  <c r="G34" i="1"/>
  <c r="D72" i="1"/>
  <c r="P21" i="41"/>
  <c r="D21" i="41"/>
  <c r="S21" i="41" s="1"/>
  <c r="AB36" i="1"/>
  <c r="I4" i="41" s="1"/>
  <c r="J4" i="41" s="1"/>
  <c r="M20" i="41"/>
  <c r="S22" i="41"/>
  <c r="F23" i="41"/>
  <c r="AB35" i="1"/>
  <c r="C4" i="41" s="1"/>
  <c r="D4" i="41" s="1"/>
  <c r="Q77" i="1"/>
  <c r="M48" i="1"/>
  <c r="H48" i="1"/>
  <c r="AT18" i="2"/>
  <c r="F11" i="41"/>
  <c r="Q8" i="41"/>
  <c r="G8" i="41"/>
  <c r="I9" i="41"/>
  <c r="T36" i="1"/>
  <c r="D81" i="1"/>
  <c r="I34" i="1"/>
  <c r="B84" i="1"/>
  <c r="R36" i="1"/>
  <c r="D97" i="1"/>
  <c r="M36" i="1"/>
  <c r="S36" i="1"/>
  <c r="M34" i="41" a="1"/>
  <c r="I31" i="41" a="1"/>
  <c r="H24" i="2" a="1"/>
  <c r="F30" i="41" a="1"/>
  <c r="P30" i="41" a="1"/>
  <c r="P20" i="41" a="1"/>
  <c r="D20" i="41" a="1"/>
  <c r="C9" i="41" a="1"/>
  <c r="C28" i="41" a="1"/>
  <c r="I10" i="41" a="1"/>
  <c r="Q31" i="41" a="1"/>
  <c r="O8" i="41" a="1"/>
  <c r="I22" i="41" a="1"/>
  <c r="D30" i="41" a="1"/>
  <c r="O34" i="41" a="1"/>
  <c r="D27" i="2" a="1"/>
  <c r="F23" i="2" a="1"/>
  <c r="D24" i="2" a="1"/>
  <c r="G31" i="41" a="1"/>
  <c r="N10" i="41" a="1"/>
  <c r="F22" i="41" a="1"/>
  <c r="F23" i="2" l="1"/>
  <c r="E23" i="2" s="1"/>
  <c r="D24" i="2"/>
  <c r="C24" i="2" s="1"/>
  <c r="H24" i="2"/>
  <c r="G24" i="2" s="1"/>
  <c r="F30" i="41"/>
  <c r="Q31" i="41"/>
  <c r="G31" i="41"/>
  <c r="T31" i="41" s="1"/>
  <c r="C28" i="41"/>
  <c r="P30" i="41"/>
  <c r="D30" i="41"/>
  <c r="O34" i="41"/>
  <c r="I31" i="41"/>
  <c r="M34" i="41"/>
  <c r="L54" i="1"/>
  <c r="R56" i="1"/>
  <c r="O82" i="1"/>
  <c r="T56" i="1"/>
  <c r="S56" i="1"/>
  <c r="L69" i="1"/>
  <c r="L52" i="1"/>
  <c r="D56" i="1"/>
  <c r="O70" i="1" s="1"/>
  <c r="M56" i="1"/>
  <c r="Q95" i="1"/>
  <c r="D27" i="2"/>
  <c r="C27" i="2" s="1"/>
  <c r="C9" i="41"/>
  <c r="D71" i="1"/>
  <c r="C36" i="1"/>
  <c r="U32" i="41"/>
  <c r="B43" i="41" a="1"/>
  <c r="B43" i="41" s="1"/>
  <c r="P20" i="41"/>
  <c r="D20" i="41"/>
  <c r="S20" i="41" s="1"/>
  <c r="D46" i="1"/>
  <c r="L65" i="1" s="1"/>
  <c r="F22" i="41"/>
  <c r="I22" i="41"/>
  <c r="L46" i="1"/>
  <c r="R48" i="1"/>
  <c r="S48" i="1"/>
  <c r="T48" i="1"/>
  <c r="O77" i="1"/>
  <c r="O90" i="1"/>
  <c r="Q46" i="1"/>
  <c r="O8" i="41"/>
  <c r="I10" i="41"/>
  <c r="N10" i="41"/>
  <c r="T8" i="41"/>
  <c r="L10" i="41"/>
  <c r="T37" i="1"/>
  <c r="S37" i="1"/>
  <c r="R37" i="1"/>
  <c r="L11" i="41" s="1"/>
  <c r="V36" i="1"/>
  <c r="D96" i="1"/>
  <c r="Q36" i="1"/>
  <c r="C10" i="41" a="1"/>
  <c r="R31" i="41" a="1"/>
  <c r="J34" i="41" a="1"/>
  <c r="I30" i="41" a="1"/>
  <c r="P34" i="41" a="1"/>
  <c r="I21" i="41" a="1"/>
  <c r="J31" i="41" a="1"/>
  <c r="N22" i="41" a="1"/>
  <c r="D29" i="41" a="1"/>
  <c r="P29" i="41" a="1"/>
  <c r="F29" i="41" a="1"/>
  <c r="F27" i="41" a="1"/>
  <c r="D25" i="2" a="1"/>
  <c r="N30" i="41" a="1"/>
  <c r="G10" i="41" a="1"/>
  <c r="D34" i="41" a="1"/>
  <c r="F21" i="41" a="1"/>
  <c r="M28" i="41" a="1"/>
  <c r="H25" i="2" a="1"/>
  <c r="M8" i="41" a="1"/>
  <c r="R34" i="41" a="1"/>
  <c r="J8" i="41" a="1"/>
  <c r="F26" i="2" a="1"/>
  <c r="R8" i="41" a="1"/>
  <c r="Q10" i="41" a="1"/>
  <c r="I11" i="41" a="1"/>
  <c r="D25" i="2" l="1"/>
  <c r="C25" i="2" s="1"/>
  <c r="F26" i="2"/>
  <c r="E26" i="2" s="1"/>
  <c r="E29" i="2" s="1"/>
  <c r="F10" i="2" s="1"/>
  <c r="H25" i="2"/>
  <c r="G25" i="2" s="1"/>
  <c r="P29" i="41"/>
  <c r="D29" i="41"/>
  <c r="S29" i="41" s="1"/>
  <c r="I30" i="41"/>
  <c r="M28" i="41"/>
  <c r="F29" i="41"/>
  <c r="D34" i="41"/>
  <c r="S34" i="41" s="1"/>
  <c r="P34" i="41"/>
  <c r="F27" i="41"/>
  <c r="J31" i="41"/>
  <c r="U31" i="41" s="1"/>
  <c r="R31" i="41"/>
  <c r="R34" i="41"/>
  <c r="J34" i="41"/>
  <c r="U34" i="41" s="1"/>
  <c r="N30" i="41"/>
  <c r="S30" i="41"/>
  <c r="Q54" i="1"/>
  <c r="O95" i="1"/>
  <c r="L30" i="41"/>
  <c r="R57" i="1"/>
  <c r="L31" i="41" s="1"/>
  <c r="S57" i="1"/>
  <c r="T57" i="1"/>
  <c r="N82" i="1"/>
  <c r="H54" i="1"/>
  <c r="Q72" i="1"/>
  <c r="D60" i="1"/>
  <c r="H52" i="1"/>
  <c r="J84" i="1"/>
  <c r="N60" i="1"/>
  <c r="Q98" i="1"/>
  <c r="M8" i="41"/>
  <c r="C10" i="41"/>
  <c r="G36" i="1"/>
  <c r="H38" i="1" s="1"/>
  <c r="L38" i="1" s="1"/>
  <c r="E79" i="1" s="1"/>
  <c r="D70" i="1"/>
  <c r="F21" i="41"/>
  <c r="I21" i="41"/>
  <c r="N22" i="41"/>
  <c r="T49" i="1"/>
  <c r="R49" i="1"/>
  <c r="L23" i="41" s="1"/>
  <c r="V48" i="1"/>
  <c r="L22" i="41"/>
  <c r="S49" i="1"/>
  <c r="N77" i="1"/>
  <c r="H46" i="1"/>
  <c r="N90" i="1"/>
  <c r="M46" i="1"/>
  <c r="K11" i="41"/>
  <c r="Q10" i="41"/>
  <c r="G10" i="41"/>
  <c r="I11" i="41"/>
  <c r="R8" i="41"/>
  <c r="J8" i="41"/>
  <c r="I36" i="1"/>
  <c r="B81" i="1"/>
  <c r="D94" i="1"/>
  <c r="M38" i="1"/>
  <c r="N34" i="1"/>
  <c r="B97" i="1"/>
  <c r="I12" i="41" a="1"/>
  <c r="D8" i="41" a="1"/>
  <c r="F20" i="41" a="1"/>
  <c r="G30" i="41" a="1"/>
  <c r="D28" i="41" a="1"/>
  <c r="Q22" i="41" a="1"/>
  <c r="D26" i="2" a="1"/>
  <c r="G9" i="41" a="1"/>
  <c r="F28" i="41" a="1"/>
  <c r="O22" i="41" a="1"/>
  <c r="O30" i="41" a="1"/>
  <c r="F12" i="41" a="1"/>
  <c r="P8" i="41" a="1"/>
  <c r="F13" i="41" a="1"/>
  <c r="P28" i="41" a="1"/>
  <c r="C11" i="41" a="1"/>
  <c r="F26" i="41" a="1"/>
  <c r="I20" i="41" a="1"/>
  <c r="Q30" i="41" a="1"/>
  <c r="O10" i="41" a="1"/>
  <c r="I29" i="41" a="1"/>
  <c r="Q9" i="41" a="1"/>
  <c r="H27" i="2" a="1"/>
  <c r="G22" i="41" a="1"/>
  <c r="D26" i="2" l="1"/>
  <c r="C26" i="2" s="1"/>
  <c r="C29" i="2" s="1"/>
  <c r="B57" i="41" s="1"/>
  <c r="H27" i="2"/>
  <c r="G27" i="2" s="1"/>
  <c r="G29" i="2" s="1"/>
  <c r="H10" i="2" s="1"/>
  <c r="V56" i="1"/>
  <c r="K31" i="41"/>
  <c r="P28" i="41"/>
  <c r="D28" i="41"/>
  <c r="S28" i="41" s="1"/>
  <c r="I29" i="41"/>
  <c r="Q30" i="41"/>
  <c r="G30" i="41"/>
  <c r="O30" i="41"/>
  <c r="F26" i="41"/>
  <c r="F28" i="41"/>
  <c r="F12" i="41"/>
  <c r="D54" i="1"/>
  <c r="L70" i="1" s="1"/>
  <c r="M54" i="1"/>
  <c r="N95" i="1"/>
  <c r="I56" i="1"/>
  <c r="O83" i="1" s="1"/>
  <c r="T52" i="1"/>
  <c r="S52" i="1"/>
  <c r="L81" i="1"/>
  <c r="R52" i="1"/>
  <c r="L50" i="1"/>
  <c r="T54" i="1"/>
  <c r="R54" i="1"/>
  <c r="L82" i="1"/>
  <c r="S54" i="1"/>
  <c r="G52" i="1"/>
  <c r="C11" i="41"/>
  <c r="P8" i="41"/>
  <c r="D8" i="41"/>
  <c r="S8" i="41" s="1"/>
  <c r="D68" i="1"/>
  <c r="C38" i="1"/>
  <c r="D34" i="1"/>
  <c r="B71" i="1"/>
  <c r="O22" i="41"/>
  <c r="N48" i="1" s="1"/>
  <c r="O91" i="1" s="1"/>
  <c r="I20" i="41"/>
  <c r="Q22" i="41"/>
  <c r="G22" i="41"/>
  <c r="F20" i="41"/>
  <c r="L90" i="1"/>
  <c r="I48" i="1"/>
  <c r="O78" i="1" s="1"/>
  <c r="K23" i="41"/>
  <c r="R46" i="1"/>
  <c r="L77" i="1"/>
  <c r="T46" i="1"/>
  <c r="S46" i="1"/>
  <c r="S38" i="1"/>
  <c r="R38" i="1"/>
  <c r="R39" i="1" s="1"/>
  <c r="L13" i="41" s="1"/>
  <c r="I12" i="41"/>
  <c r="O10" i="41"/>
  <c r="F13" i="41"/>
  <c r="G9" i="41"/>
  <c r="Q9" i="41"/>
  <c r="U8" i="41"/>
  <c r="Q38" i="1"/>
  <c r="T38" i="1"/>
  <c r="D79" i="1"/>
  <c r="T10" i="41"/>
  <c r="C12" i="41" a="1"/>
  <c r="R22" i="41" a="1"/>
  <c r="J22" i="41" a="1"/>
  <c r="F25" i="41" a="1"/>
  <c r="R30" i="41" a="1"/>
  <c r="C27" i="41" a="1"/>
  <c r="G21" i="41" a="1"/>
  <c r="N26" i="41" a="1"/>
  <c r="J10" i="41" a="1"/>
  <c r="I28" i="41" a="1"/>
  <c r="R10" i="41" a="1"/>
  <c r="M10" i="41" a="1"/>
  <c r="I13" i="41" a="1"/>
  <c r="N20" i="41" a="1"/>
  <c r="N28" i="41" a="1"/>
  <c r="G29" i="41" a="1"/>
  <c r="J30" i="41" a="1"/>
  <c r="N12" i="41" a="1"/>
  <c r="Q29" i="41" a="1"/>
  <c r="Q21" i="41" a="1"/>
  <c r="D10" i="2" l="1"/>
  <c r="B2" i="1" a="1"/>
  <c r="B2" i="1" s="1"/>
  <c r="N28" i="41"/>
  <c r="G29" i="41"/>
  <c r="T29" i="41" s="1"/>
  <c r="Q29" i="41"/>
  <c r="I28" i="41"/>
  <c r="C27" i="41"/>
  <c r="N26" i="41"/>
  <c r="J30" i="41"/>
  <c r="R30" i="41"/>
  <c r="F25" i="41"/>
  <c r="T30" i="41"/>
  <c r="R55" i="1"/>
  <c r="L29" i="41" s="1"/>
  <c r="S55" i="1"/>
  <c r="V54" i="1"/>
  <c r="T55" i="1"/>
  <c r="L28" i="41"/>
  <c r="Q52" i="1"/>
  <c r="L95" i="1"/>
  <c r="C52" i="1"/>
  <c r="J71" i="1"/>
  <c r="N56" i="1"/>
  <c r="O96" i="1" s="1"/>
  <c r="L80" i="1"/>
  <c r="H50" i="1"/>
  <c r="T53" i="1"/>
  <c r="V52" i="1"/>
  <c r="R53" i="1"/>
  <c r="L27" i="41" s="1"/>
  <c r="L26" i="41"/>
  <c r="S53" i="1"/>
  <c r="C12" i="41"/>
  <c r="M10" i="41"/>
  <c r="G38" i="1"/>
  <c r="J22" i="41"/>
  <c r="U22" i="41" s="1"/>
  <c r="R22" i="41"/>
  <c r="N20" i="41"/>
  <c r="Q21" i="41"/>
  <c r="G21" i="41"/>
  <c r="T21" i="41" s="1"/>
  <c r="L20" i="41"/>
  <c r="R47" i="1"/>
  <c r="L21" i="41" s="1"/>
  <c r="T47" i="1"/>
  <c r="S47" i="1"/>
  <c r="T22" i="41"/>
  <c r="M40" i="1"/>
  <c r="C90" i="1" s="1"/>
  <c r="E92" i="1"/>
  <c r="L12" i="41"/>
  <c r="K13" i="41" s="1"/>
  <c r="T39" i="1"/>
  <c r="S39" i="1"/>
  <c r="V38" i="1"/>
  <c r="I13" i="41"/>
  <c r="R10" i="41"/>
  <c r="J10" i="41"/>
  <c r="N12" i="41"/>
  <c r="D92" i="1"/>
  <c r="B94" i="1"/>
  <c r="N36" i="1"/>
  <c r="T9" i="41"/>
  <c r="J21" i="41" a="1"/>
  <c r="R9" i="41" a="1"/>
  <c r="G28" i="41" a="1"/>
  <c r="C26" i="41" a="1"/>
  <c r="O20" i="41" a="1"/>
  <c r="Q28" i="41" a="1"/>
  <c r="I27" i="41" a="1"/>
  <c r="Q20" i="41" a="1"/>
  <c r="F24" i="41" a="1"/>
  <c r="D10" i="41" a="1"/>
  <c r="J9" i="41" a="1"/>
  <c r="J29" i="41" a="1"/>
  <c r="D27" i="41" a="1"/>
  <c r="Q26" i="41" a="1"/>
  <c r="P27" i="41" a="1"/>
  <c r="O28" i="41" a="1"/>
  <c r="I14" i="41" a="1"/>
  <c r="P10" i="41" a="1"/>
  <c r="G20" i="41" a="1"/>
  <c r="G12" i="41" a="1"/>
  <c r="Q12" i="41" a="1"/>
  <c r="R21" i="41" a="1"/>
  <c r="G26" i="41" a="1"/>
  <c r="C13" i="41" a="1"/>
  <c r="R29" i="41" a="1"/>
  <c r="O12" i="41" a="1"/>
  <c r="K27" i="41" l="1"/>
  <c r="Q26" i="41"/>
  <c r="G26" i="41"/>
  <c r="P27" i="41"/>
  <c r="D27" i="41"/>
  <c r="S27" i="41" s="1"/>
  <c r="O28" i="41"/>
  <c r="F24" i="41"/>
  <c r="I27" i="41"/>
  <c r="J29" i="41"/>
  <c r="U29" i="41" s="1"/>
  <c r="R29" i="41"/>
  <c r="C26" i="41"/>
  <c r="G28" i="41"/>
  <c r="Q28" i="41"/>
  <c r="J81" i="1"/>
  <c r="I52" i="1"/>
  <c r="L79" i="1"/>
  <c r="S50" i="1"/>
  <c r="T50" i="1"/>
  <c r="R50" i="1"/>
  <c r="K29" i="41"/>
  <c r="J97" i="1"/>
  <c r="M52" i="1"/>
  <c r="U30" i="41"/>
  <c r="C40" i="1"/>
  <c r="C64" i="1" s="1"/>
  <c r="E66" i="1"/>
  <c r="G50" i="1"/>
  <c r="L68" i="1"/>
  <c r="I54" i="1"/>
  <c r="L83" i="1" s="1"/>
  <c r="C13" i="41"/>
  <c r="D10" i="41"/>
  <c r="P10" i="41"/>
  <c r="D66" i="1"/>
  <c r="H40" i="1"/>
  <c r="F79" i="1" s="1"/>
  <c r="D36" i="1"/>
  <c r="B68" i="1"/>
  <c r="V46" i="1"/>
  <c r="R21" i="41"/>
  <c r="J21" i="41"/>
  <c r="U21" i="41" s="1"/>
  <c r="O20" i="41"/>
  <c r="N46" i="1" s="1"/>
  <c r="L91" i="1" s="1"/>
  <c r="K21" i="41"/>
  <c r="G20" i="41"/>
  <c r="T20" i="41" s="1"/>
  <c r="Q20" i="41"/>
  <c r="I46" i="1"/>
  <c r="L78" i="1" s="1"/>
  <c r="I14" i="41"/>
  <c r="F92" i="1"/>
  <c r="O12" i="41"/>
  <c r="J9" i="41"/>
  <c r="R9" i="41"/>
  <c r="G12" i="41"/>
  <c r="Q12" i="41"/>
  <c r="U10" i="41"/>
  <c r="B79" i="1"/>
  <c r="I38" i="1"/>
  <c r="D80" i="1" s="1"/>
  <c r="R20" i="41" a="1"/>
  <c r="J12" i="41" a="1"/>
  <c r="R12" i="41" a="1"/>
  <c r="M26" i="41" a="1"/>
  <c r="J28" i="41" a="1"/>
  <c r="C25" i="41" a="1"/>
  <c r="Q25" i="41" a="1"/>
  <c r="F14" i="41" a="1"/>
  <c r="P9" i="41" a="1"/>
  <c r="Q27" i="41" a="1"/>
  <c r="G27" i="41" a="1"/>
  <c r="J20" i="41" a="1"/>
  <c r="R28" i="41" a="1"/>
  <c r="C14" i="41" a="1"/>
  <c r="G11" i="41" a="1"/>
  <c r="M12" i="41" a="1"/>
  <c r="G25" i="41" a="1"/>
  <c r="N24" i="41" a="1"/>
  <c r="I26" i="41" a="1"/>
  <c r="Q11" i="41" a="1"/>
  <c r="D9" i="41" a="1"/>
  <c r="C14" i="41" l="1"/>
  <c r="I26" i="41"/>
  <c r="J28" i="41"/>
  <c r="R28" i="41"/>
  <c r="G27" i="41"/>
  <c r="T27" i="41" s="1"/>
  <c r="Q27" i="41"/>
  <c r="M26" i="41"/>
  <c r="G25" i="41"/>
  <c r="T25" i="41" s="1"/>
  <c r="Q25" i="41"/>
  <c r="N24" i="41"/>
  <c r="C25" i="41"/>
  <c r="F66" i="1"/>
  <c r="G40" i="1"/>
  <c r="E64" i="1" s="1"/>
  <c r="Q50" i="1"/>
  <c r="L94" i="1"/>
  <c r="N54" i="1"/>
  <c r="L96" i="1" s="1"/>
  <c r="T28" i="41"/>
  <c r="R51" i="1"/>
  <c r="L25" i="41" s="1"/>
  <c r="V50" i="1"/>
  <c r="T51" i="1"/>
  <c r="L24" i="41"/>
  <c r="S51" i="1"/>
  <c r="T26" i="41"/>
  <c r="Q40" i="1"/>
  <c r="M42" i="1" s="1"/>
  <c r="L67" i="1"/>
  <c r="C50" i="1"/>
  <c r="D9" i="41"/>
  <c r="S9" i="41" s="1"/>
  <c r="P9" i="41"/>
  <c r="F14" i="41"/>
  <c r="M12" i="41"/>
  <c r="S10" i="41"/>
  <c r="L40" i="1"/>
  <c r="R40" i="1" s="1"/>
  <c r="C77" i="1"/>
  <c r="R20" i="41"/>
  <c r="J20" i="41"/>
  <c r="U20" i="41" s="1"/>
  <c r="Q11" i="41"/>
  <c r="G11" i="41"/>
  <c r="R12" i="41"/>
  <c r="J12" i="41"/>
  <c r="U9" i="41"/>
  <c r="T12" i="41"/>
  <c r="B92" i="1"/>
  <c r="N38" i="1"/>
  <c r="D93" i="1" s="1"/>
  <c r="C24" i="41" a="1"/>
  <c r="I16" i="41" a="1"/>
  <c r="J11" i="41" a="1"/>
  <c r="I15" i="41" a="1"/>
  <c r="R27" i="41" a="1"/>
  <c r="G24" i="41" a="1"/>
  <c r="J27" i="41" a="1"/>
  <c r="D26" i="41" a="1"/>
  <c r="R11" i="41" a="1"/>
  <c r="Q24" i="41" a="1"/>
  <c r="P12" i="41" a="1"/>
  <c r="C15" i="41" a="1"/>
  <c r="F15" i="41" a="1"/>
  <c r="I25" i="41" a="1"/>
  <c r="D12" i="41" a="1"/>
  <c r="P26" i="41" a="1"/>
  <c r="O26" i="41" a="1"/>
  <c r="E90" i="1" l="1"/>
  <c r="P26" i="41"/>
  <c r="D26" i="41"/>
  <c r="R27" i="41"/>
  <c r="J27" i="41"/>
  <c r="U27" i="41" s="1"/>
  <c r="C15" i="41"/>
  <c r="C24" i="41"/>
  <c r="G24" i="41"/>
  <c r="Q24" i="41"/>
  <c r="O26" i="41"/>
  <c r="I15" i="41"/>
  <c r="I25" i="41"/>
  <c r="D52" i="1"/>
  <c r="J68" i="1"/>
  <c r="T40" i="1"/>
  <c r="G79" i="1"/>
  <c r="U28" i="41"/>
  <c r="C42" i="1"/>
  <c r="G66" i="1"/>
  <c r="L66" i="1"/>
  <c r="K25" i="41"/>
  <c r="J79" i="1"/>
  <c r="I50" i="1"/>
  <c r="G92" i="1"/>
  <c r="L93" i="1"/>
  <c r="M50" i="1"/>
  <c r="D12" i="41"/>
  <c r="P12" i="41"/>
  <c r="F15" i="41"/>
  <c r="D38" i="1"/>
  <c r="D67" i="1" s="1"/>
  <c r="B66" i="1"/>
  <c r="T41" i="1"/>
  <c r="R41" i="1"/>
  <c r="L15" i="41" s="1"/>
  <c r="V40" i="1"/>
  <c r="S41" i="1"/>
  <c r="L14" i="41"/>
  <c r="E77" i="1"/>
  <c r="H42" i="1"/>
  <c r="Q42" i="1" s="1"/>
  <c r="S40" i="1"/>
  <c r="I16" i="41"/>
  <c r="F90" i="1"/>
  <c r="J11" i="41"/>
  <c r="R11" i="41"/>
  <c r="T11" i="41"/>
  <c r="U12" i="41"/>
  <c r="I17" i="41" a="1"/>
  <c r="J26" i="41" a="1"/>
  <c r="O14" i="41" a="1"/>
  <c r="M24" i="41" a="1"/>
  <c r="C16" i="41" a="1"/>
  <c r="D25" i="41" a="1"/>
  <c r="Q23" i="41" a="1"/>
  <c r="R26" i="41" a="1"/>
  <c r="N14" i="41" a="1"/>
  <c r="D11" i="41" a="1"/>
  <c r="M14" i="41" a="1"/>
  <c r="F16" i="41" a="1"/>
  <c r="P25" i="41" a="1"/>
  <c r="G23" i="41" a="1"/>
  <c r="I24" i="41" a="1"/>
  <c r="P11" i="41" a="1"/>
  <c r="Q23" i="41" l="1"/>
  <c r="G23" i="41"/>
  <c r="T23" i="41" s="1"/>
  <c r="M14" i="41"/>
  <c r="P25" i="41"/>
  <c r="D25" i="41"/>
  <c r="S25" i="41" s="1"/>
  <c r="M24" i="41"/>
  <c r="O14" i="41"/>
  <c r="I24" i="41"/>
  <c r="C16" i="41"/>
  <c r="R26" i="41"/>
  <c r="J26" i="41"/>
  <c r="T24" i="41"/>
  <c r="S26" i="41"/>
  <c r="K15" i="41"/>
  <c r="L92" i="1"/>
  <c r="F64" i="1"/>
  <c r="G42" i="1"/>
  <c r="J94" i="1"/>
  <c r="N52" i="1"/>
  <c r="N14" i="41"/>
  <c r="F16" i="41"/>
  <c r="P11" i="41"/>
  <c r="D11" i="41"/>
  <c r="S11" i="41" s="1"/>
  <c r="F77" i="1"/>
  <c r="L42" i="1"/>
  <c r="T42" i="1" s="1"/>
  <c r="S12" i="41"/>
  <c r="I17" i="41"/>
  <c r="H90" i="1"/>
  <c r="M44" i="1"/>
  <c r="I90" i="1" s="1"/>
  <c r="U11" i="41"/>
  <c r="O24" i="41" a="1"/>
  <c r="F17" i="41" a="1"/>
  <c r="J25" i="41" a="1"/>
  <c r="Q14" i="41" a="1"/>
  <c r="G14" i="41" a="1"/>
  <c r="R25" i="41" a="1"/>
  <c r="C17" i="41" a="1"/>
  <c r="P24" i="41" a="1"/>
  <c r="I18" i="41" a="1"/>
  <c r="D24" i="41" a="1"/>
  <c r="P14" i="41" a="1"/>
  <c r="R14" i="41" a="1"/>
  <c r="D14" i="41" a="1"/>
  <c r="J14" i="41" a="1"/>
  <c r="P24" i="41" l="1"/>
  <c r="D24" i="41"/>
  <c r="O24" i="41"/>
  <c r="R25" i="41"/>
  <c r="J25" i="41"/>
  <c r="U25" i="41" s="1"/>
  <c r="D14" i="41"/>
  <c r="P14" i="41"/>
  <c r="R14" i="41"/>
  <c r="J14" i="41"/>
  <c r="U14" i="41" s="1"/>
  <c r="C17" i="41"/>
  <c r="D50" i="1"/>
  <c r="J66" i="1"/>
  <c r="U26" i="41"/>
  <c r="D40" i="1"/>
  <c r="N40" i="1"/>
  <c r="C44" i="1"/>
  <c r="H64" i="1"/>
  <c r="R42" i="1"/>
  <c r="Q14" i="41"/>
  <c r="G14" i="41"/>
  <c r="F17" i="41"/>
  <c r="I40" i="1"/>
  <c r="S42" i="1"/>
  <c r="H77" i="1"/>
  <c r="H44" i="1"/>
  <c r="Q44" i="1" s="1"/>
  <c r="I18" i="41"/>
  <c r="C18" i="41" a="1"/>
  <c r="G13" i="41" a="1"/>
  <c r="I19" i="41" a="1"/>
  <c r="P13" i="41" a="1"/>
  <c r="J24" i="41" a="1"/>
  <c r="Q13" i="41" a="1"/>
  <c r="N16" i="41" a="1"/>
  <c r="D13" i="41" a="1"/>
  <c r="P23" i="41" a="1"/>
  <c r="R24" i="41" a="1"/>
  <c r="R13" i="41" a="1"/>
  <c r="J13" i="41" a="1"/>
  <c r="F18" i="41" a="1"/>
  <c r="D23" i="41" a="1"/>
  <c r="M16" i="41" a="1"/>
  <c r="F67" i="1" l="1"/>
  <c r="C65" i="1"/>
  <c r="F93" i="1"/>
  <c r="C91" i="1"/>
  <c r="C18" i="41"/>
  <c r="J24" i="41"/>
  <c r="R24" i="41"/>
  <c r="P13" i="41"/>
  <c r="D13" i="41"/>
  <c r="S13" i="41" s="1"/>
  <c r="M16" i="41"/>
  <c r="P23" i="41"/>
  <c r="D23" i="41"/>
  <c r="S23" i="41" s="1"/>
  <c r="R13" i="41"/>
  <c r="J13" i="41"/>
  <c r="U13" i="41" s="1"/>
  <c r="I64" i="1"/>
  <c r="G44" i="1"/>
  <c r="J92" i="1"/>
  <c r="N50" i="1"/>
  <c r="C78" i="1"/>
  <c r="F80" i="1"/>
  <c r="S14" i="41"/>
  <c r="S24" i="41"/>
  <c r="L16" i="41"/>
  <c r="S43" i="1"/>
  <c r="R43" i="1"/>
  <c r="L17" i="41" s="1"/>
  <c r="T43" i="1"/>
  <c r="N16" i="41"/>
  <c r="F18" i="41"/>
  <c r="Q13" i="41"/>
  <c r="G13" i="41"/>
  <c r="T13" i="41" s="1"/>
  <c r="I77" i="1"/>
  <c r="L44" i="1"/>
  <c r="T44" i="1" s="1"/>
  <c r="T14" i="41"/>
  <c r="I19" i="41"/>
  <c r="K90" i="1"/>
  <c r="Q16" i="41" a="1"/>
  <c r="F19" i="41" a="1"/>
  <c r="R19" i="41" a="1"/>
  <c r="C19" i="41" a="1"/>
  <c r="J19" i="41" a="1"/>
  <c r="P16" i="41" a="1"/>
  <c r="D16" i="41" a="1"/>
  <c r="R23" i="41" a="1"/>
  <c r="J23" i="41" a="1"/>
  <c r="G16" i="41" a="1"/>
  <c r="O16" i="41" a="1"/>
  <c r="V42" i="1" l="1"/>
  <c r="O16" i="41"/>
  <c r="D16" i="41"/>
  <c r="P16" i="41"/>
  <c r="C19" i="41"/>
  <c r="R23" i="41"/>
  <c r="J23" i="41"/>
  <c r="U23" i="41" s="1"/>
  <c r="D42" i="1"/>
  <c r="F65" i="1" s="1"/>
  <c r="K64" i="1"/>
  <c r="U24" i="41"/>
  <c r="K17" i="41"/>
  <c r="F19" i="41"/>
  <c r="Q16" i="41"/>
  <c r="G16" i="41"/>
  <c r="R44" i="1"/>
  <c r="K77" i="1"/>
  <c r="S44" i="1"/>
  <c r="I42" i="1"/>
  <c r="F78" i="1" s="1"/>
  <c r="J19" i="41"/>
  <c r="U19" i="41" s="1"/>
  <c r="R19" i="41"/>
  <c r="D19" i="41" a="1"/>
  <c r="Q19" i="41" a="1"/>
  <c r="D15" i="41" a="1"/>
  <c r="Q15" i="41" a="1"/>
  <c r="P15" i="41" a="1"/>
  <c r="G15" i="41" a="1"/>
  <c r="M18" i="41" a="1"/>
  <c r="G19" i="41" a="1"/>
  <c r="N18" i="41" a="1"/>
  <c r="P19" i="41" a="1"/>
  <c r="J16" i="41" a="1"/>
  <c r="R16" i="41" a="1"/>
  <c r="R16" i="41" l="1"/>
  <c r="J16" i="41"/>
  <c r="N42" i="1"/>
  <c r="F91" i="1" s="1"/>
  <c r="D19" i="41"/>
  <c r="S19" i="41" s="1"/>
  <c r="P19" i="41"/>
  <c r="M18" i="41"/>
  <c r="P15" i="41"/>
  <c r="D15" i="41"/>
  <c r="S15" i="41" s="1"/>
  <c r="S16" i="41"/>
  <c r="G15" i="41"/>
  <c r="T15" i="41" s="1"/>
  <c r="Q15" i="41"/>
  <c r="Q19" i="41"/>
  <c r="G19" i="41"/>
  <c r="T19" i="41" s="1"/>
  <c r="N18" i="41"/>
  <c r="S45" i="1"/>
  <c r="V44" i="1"/>
  <c r="F98" i="1" s="1"/>
  <c r="R45" i="1"/>
  <c r="L19" i="41" s="1"/>
  <c r="L18" i="41"/>
  <c r="T45" i="1"/>
  <c r="T16" i="41"/>
  <c r="P18" i="41" a="1"/>
  <c r="Q18" i="41" a="1"/>
  <c r="R15" i="41" a="1"/>
  <c r="G18" i="41" a="1"/>
  <c r="D18" i="41" a="1"/>
  <c r="O18" i="41" a="1"/>
  <c r="J15" i="41" a="1"/>
  <c r="J15" i="41" l="1"/>
  <c r="U15" i="41" s="1"/>
  <c r="R15" i="41"/>
  <c r="O18" i="41"/>
  <c r="U16" i="41"/>
  <c r="K19" i="41"/>
  <c r="K37" i="41" s="1"/>
  <c r="B54" i="41" s="1"/>
  <c r="D18" i="41"/>
  <c r="P18" i="41"/>
  <c r="D44" i="1"/>
  <c r="G18" i="41"/>
  <c r="Q18" i="41"/>
  <c r="I44" i="1"/>
  <c r="I78" i="1" s="1"/>
  <c r="D17" i="41" a="1"/>
  <c r="Q17" i="41" a="1"/>
  <c r="J18" i="41" a="1"/>
  <c r="P17" i="41" a="1"/>
  <c r="R18" i="41" a="1"/>
  <c r="G17" i="41" a="1"/>
  <c r="I65" i="1" l="1"/>
  <c r="R18" i="41"/>
  <c r="J18" i="41"/>
  <c r="N44" i="1"/>
  <c r="I91" i="1" s="1"/>
  <c r="D17" i="41"/>
  <c r="P17" i="41"/>
  <c r="P37" i="41" s="1"/>
  <c r="S18" i="41"/>
  <c r="G17" i="41"/>
  <c r="Q17" i="41"/>
  <c r="Q37" i="41" s="1"/>
  <c r="T18" i="41"/>
  <c r="R17" i="41" a="1"/>
  <c r="J17" i="41" a="1"/>
  <c r="B9" i="1" l="1"/>
  <c r="R17" i="41"/>
  <c r="R37" i="41" s="1"/>
  <c r="B58" i="41" s="1"/>
  <c r="J17" i="41"/>
  <c r="U18" i="41"/>
  <c r="S17" i="41"/>
  <c r="B45" i="41"/>
  <c r="D37" i="41"/>
  <c r="B46" i="41" s="1"/>
  <c r="T17" i="41"/>
  <c r="B48" i="41"/>
  <c r="G37" i="41"/>
  <c r="B49" i="41" s="1"/>
  <c r="U17" i="41" l="1"/>
  <c r="J37" i="41"/>
  <c r="B52" i="41" s="1"/>
  <c r="B51" i="41"/>
  <c r="B39" i="4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Alazne Huerta Gómez de Merodio</author>
  </authors>
  <commentList>
    <comment ref="C1" authorId="0" shapeId="0" xr:uid="{00000000-0006-0000-0000-000001000000}">
      <text>
        <r>
          <rPr>
            <b/>
            <sz val="9"/>
            <color indexed="81"/>
            <rFont val="Tahoma"/>
            <family val="2"/>
          </rPr>
          <t>INDEX</t>
        </r>
      </text>
    </comment>
    <comment ref="D1" authorId="0" shapeId="0" xr:uid="{00000000-0006-0000-0000-000002000000}">
      <text>
        <r>
          <rPr>
            <b/>
            <sz val="9"/>
            <color indexed="81"/>
            <rFont val="Tahoma"/>
            <family val="2"/>
          </rPr>
          <t>INDEX</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Alazne Huerta Gómez de Merodio</author>
  </authors>
  <commentList>
    <comment ref="V1" authorId="0" shapeId="0" xr:uid="{00000000-0006-0000-0100-000001000000}">
      <text>
        <r>
          <rPr>
            <b/>
            <sz val="9"/>
            <color indexed="81"/>
            <rFont val="Tahoma"/>
            <family val="2"/>
          </rPr>
          <t>Nombre Figura</t>
        </r>
      </text>
    </comment>
    <comment ref="W1" authorId="0" shapeId="0" xr:uid="{00000000-0006-0000-0100-000002000000}">
      <text>
        <r>
          <rPr>
            <b/>
            <sz val="9"/>
            <color indexed="81"/>
            <rFont val="Tahoma"/>
            <family val="2"/>
          </rPr>
          <t>Nombre Archivo</t>
        </r>
      </text>
    </comment>
    <comment ref="X1" authorId="0" shapeId="0" xr:uid="{00000000-0006-0000-0100-000003000000}">
      <text>
        <r>
          <rPr>
            <b/>
            <sz val="9"/>
            <color indexed="81"/>
            <rFont val="Tahoma"/>
            <family val="2"/>
          </rPr>
          <t>Subcarpeta</t>
        </r>
      </text>
    </comment>
    <comment ref="V5" authorId="0" shapeId="0" xr:uid="{00000000-0006-0000-0100-000004000000}">
      <text>
        <r>
          <rPr>
            <sz val="9"/>
            <color indexed="81"/>
            <rFont val="Tahoma"/>
            <family val="2"/>
          </rPr>
          <t xml:space="preserve">Para Exportar a FTP escribir
</t>
        </r>
        <r>
          <rPr>
            <b/>
            <sz val="9"/>
            <color indexed="81"/>
            <rFont val="Tahoma"/>
            <family val="2"/>
          </rPr>
          <t>=Dato_FTP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Alazne Huerta Gómez de Merodio</author>
  </authors>
  <commentList>
    <comment ref="C37" authorId="0" shapeId="0" xr:uid="{00000000-0006-0000-0500-000001000000}">
      <text>
        <r>
          <rPr>
            <sz val="9"/>
            <color indexed="81"/>
            <rFont val="Tahoma"/>
            <family val="2"/>
          </rPr>
          <t>Salto Linea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Alazne Huerta Gómez de Merodio</author>
  </authors>
  <commentList>
    <comment ref="A41" authorId="0" shapeId="0" xr:uid="{D45FC6A0-1270-4F00-89F6-93002D8E2375}">
      <text>
        <r>
          <rPr>
            <sz val="9"/>
            <color indexed="81"/>
            <rFont val="Tahoma"/>
            <family val="2"/>
          </rPr>
          <t>ESTAS TIENEN CURVA</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6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futureMetadata>
  <cellMetadata count="1">
    <bk>
      <rc t="1" v="0"/>
    </bk>
  </cellMetadata>
  <valueMetadata count="26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valueMetadata>
</metadata>
</file>

<file path=xl/sharedStrings.xml><?xml version="1.0" encoding="utf-8"?>
<sst xmlns="http://schemas.openxmlformats.org/spreadsheetml/2006/main" count="1722" uniqueCount="811">
  <si>
    <t>NOMBRE</t>
  </si>
  <si>
    <t>h</t>
  </si>
  <si>
    <t>Enlace</t>
  </si>
  <si>
    <t>DATOS PARA LAS FIGURAS</t>
  </si>
  <si>
    <t xml:space="preserve"> m²</t>
  </si>
  <si>
    <t xml:space="preserve"> m³</t>
  </si>
  <si>
    <t>m⁴</t>
  </si>
  <si>
    <t>FORMATOS / SÍMBOLOS ESPECIALES</t>
  </si>
  <si>
    <t>1. PROBLEMA</t>
  </si>
  <si>
    <t>Ancho</t>
  </si>
  <si>
    <t>Alto</t>
  </si>
  <si>
    <t>URL FTP</t>
  </si>
  <si>
    <t>A</t>
  </si>
  <si>
    <t>V</t>
  </si>
  <si>
    <t>1.1.</t>
  </si>
  <si>
    <t>1.3.</t>
  </si>
  <si>
    <t>1.2.</t>
  </si>
  <si>
    <t>1.4.</t>
  </si>
  <si>
    <t>1.5.</t>
  </si>
  <si>
    <t>1.6.</t>
  </si>
  <si>
    <t>2.1.</t>
  </si>
  <si>
    <t>2.2.</t>
  </si>
  <si>
    <t>2.3.</t>
  </si>
  <si>
    <t>3.1.</t>
  </si>
  <si>
    <t>3.2.</t>
  </si>
  <si>
    <t>3.3.</t>
  </si>
  <si>
    <t>3.4.</t>
  </si>
  <si>
    <t>&lt;br&gt;</t>
  </si>
  <si>
    <t>&lt;p&gt;</t>
  </si>
  <si>
    <t>Sí</t>
  </si>
  <si>
    <t>No</t>
  </si>
  <si>
    <t>SALTOS</t>
  </si>
  <si>
    <t>DATOS PARA MENÚS DESPLEGABLES</t>
  </si>
  <si>
    <t>Acero</t>
  </si>
  <si>
    <t>B</t>
  </si>
  <si>
    <t>ANGULOS</t>
  </si>
  <si>
    <t>C</t>
  </si>
  <si>
    <t>D</t>
  </si>
  <si>
    <t>E</t>
  </si>
  <si>
    <t>Longitud</t>
  </si>
  <si>
    <t>H</t>
  </si>
  <si>
    <t>AB</t>
  </si>
  <si>
    <t>DE</t>
  </si>
  <si>
    <t>200</t>
  </si>
  <si>
    <t>L_AB</t>
  </si>
  <si>
    <t>L_BC</t>
  </si>
  <si>
    <t>L_CE_v</t>
  </si>
  <si>
    <t>L_EF</t>
  </si>
  <si>
    <t>L_FG</t>
  </si>
  <si>
    <t>L_GH</t>
  </si>
  <si>
    <t>L_HI</t>
  </si>
  <si>
    <t>L_GJ</t>
  </si>
  <si>
    <t>L_JK</t>
  </si>
  <si>
    <t>L_KL</t>
  </si>
  <si>
    <t>L_LM</t>
  </si>
  <si>
    <t>L_MN</t>
  </si>
  <si>
    <t>L_MO</t>
  </si>
  <si>
    <r>
      <rPr>
        <b/>
        <sz val="9"/>
        <color theme="1"/>
        <rFont val="Symbol"/>
        <family val="1"/>
        <charset val="2"/>
      </rPr>
      <t>a</t>
    </r>
    <r>
      <rPr>
        <b/>
        <sz val="9"/>
        <color theme="1"/>
        <rFont val="Calibri"/>
        <family val="2"/>
        <scheme val="minor"/>
      </rPr>
      <t xml:space="preserve"> </t>
    </r>
    <r>
      <rPr>
        <b/>
        <vertAlign val="subscript"/>
        <sz val="9"/>
        <color theme="1"/>
        <rFont val="Calibri"/>
        <family val="2"/>
        <scheme val="minor"/>
      </rPr>
      <t>C</t>
    </r>
  </si>
  <si>
    <t>Fv_A</t>
  </si>
  <si>
    <t>Fv_B</t>
  </si>
  <si>
    <t>Fv_C</t>
  </si>
  <si>
    <t>Fv_D</t>
  </si>
  <si>
    <t>Fv_E</t>
  </si>
  <si>
    <t>Fv_F</t>
  </si>
  <si>
    <t>Fv_G</t>
  </si>
  <si>
    <t>Fv_H</t>
  </si>
  <si>
    <t>Fv_I</t>
  </si>
  <si>
    <t>Fv_J</t>
  </si>
  <si>
    <t>Fv_K</t>
  </si>
  <si>
    <t>Fv_L</t>
  </si>
  <si>
    <t>Fv_M</t>
  </si>
  <si>
    <t>Fv_N</t>
  </si>
  <si>
    <t>Fv_O</t>
  </si>
  <si>
    <t>Fh_A</t>
  </si>
  <si>
    <t>Fh_B</t>
  </si>
  <si>
    <t>Fh_C</t>
  </si>
  <si>
    <t>Fh_D</t>
  </si>
  <si>
    <t>Fh_E</t>
  </si>
  <si>
    <t>Fh_F</t>
  </si>
  <si>
    <t>Fh_G</t>
  </si>
  <si>
    <t>Fh_H</t>
  </si>
  <si>
    <t>Fh_I</t>
  </si>
  <si>
    <t>Fh_J</t>
  </si>
  <si>
    <t>Fh_K</t>
  </si>
  <si>
    <t>Fh_L</t>
  </si>
  <si>
    <t>Fh_M</t>
  </si>
  <si>
    <t>Fh_N</t>
  </si>
  <si>
    <t>Fh_O</t>
  </si>
  <si>
    <t>Mz_A</t>
  </si>
  <si>
    <t>Mz_B</t>
  </si>
  <si>
    <t>Mz_C</t>
  </si>
  <si>
    <t>Mz_D</t>
  </si>
  <si>
    <t>Mz_E</t>
  </si>
  <si>
    <t>Mz_F</t>
  </si>
  <si>
    <t>Mz_G</t>
  </si>
  <si>
    <t>Mz_H</t>
  </si>
  <si>
    <t>Mz_I</t>
  </si>
  <si>
    <t>Mz_J</t>
  </si>
  <si>
    <t>Mz_K</t>
  </si>
  <si>
    <t>Mz_L</t>
  </si>
  <si>
    <t>Mz_M</t>
  </si>
  <si>
    <t>Mz_N</t>
  </si>
  <si>
    <t>Mz_O</t>
  </si>
  <si>
    <t>q_AB</t>
  </si>
  <si>
    <t>q_BC</t>
  </si>
  <si>
    <t>q_CE_h</t>
  </si>
  <si>
    <t>q_CE_v</t>
  </si>
  <si>
    <t>q_CE</t>
  </si>
  <si>
    <t>q_EF</t>
  </si>
  <si>
    <t>q_FG</t>
  </si>
  <si>
    <t>q_GH</t>
  </si>
  <si>
    <t>q_HI</t>
  </si>
  <si>
    <t>q_GJ</t>
  </si>
  <si>
    <t>q_JK</t>
  </si>
  <si>
    <t>q_KL</t>
  </si>
  <si>
    <t>q_LM</t>
  </si>
  <si>
    <t>q_MN</t>
  </si>
  <si>
    <t>q_MO</t>
  </si>
  <si>
    <t>O</t>
  </si>
  <si>
    <t>IMPRIMIR</t>
  </si>
  <si>
    <t>DATOS ENUNCIADO</t>
  </si>
  <si>
    <t>DIMENSIONES</t>
  </si>
  <si>
    <t>GARGAS</t>
  </si>
  <si>
    <t>REACCIONES</t>
  </si>
  <si>
    <t>F. Vertical</t>
  </si>
  <si>
    <t>F. Horizontal</t>
  </si>
  <si>
    <t>Momento</t>
  </si>
  <si>
    <t>Carga Unif.</t>
  </si>
  <si>
    <t>BC</t>
  </si>
  <si>
    <t>v</t>
  </si>
  <si>
    <t>EF</t>
  </si>
  <si>
    <t>FG</t>
  </si>
  <si>
    <t>GH</t>
  </si>
  <si>
    <t>HI</t>
  </si>
  <si>
    <t>GJ</t>
  </si>
  <si>
    <t>JK</t>
  </si>
  <si>
    <t>KL</t>
  </si>
  <si>
    <t>LM</t>
  </si>
  <si>
    <t>MN</t>
  </si>
  <si>
    <t>MO</t>
  </si>
  <si>
    <r>
      <rPr>
        <sz val="9"/>
        <color theme="1"/>
        <rFont val="Symbol"/>
        <family val="1"/>
        <charset val="2"/>
      </rPr>
      <t>a</t>
    </r>
    <r>
      <rPr>
        <sz val="9"/>
        <color theme="1"/>
        <rFont val="Calibri"/>
        <family val="2"/>
        <scheme val="minor"/>
      </rPr>
      <t xml:space="preserve"> </t>
    </r>
    <r>
      <rPr>
        <vertAlign val="subscript"/>
        <sz val="9"/>
        <color theme="1"/>
        <rFont val="Calibri"/>
        <family val="2"/>
        <scheme val="minor"/>
      </rPr>
      <t>C</t>
    </r>
  </si>
  <si>
    <t>ORDEN</t>
  </si>
  <si>
    <t>Barra</t>
  </si>
  <si>
    <t>ESFUERZOS</t>
  </si>
  <si>
    <t>M max</t>
  </si>
  <si>
    <t>1.01</t>
  </si>
  <si>
    <t>AB i</t>
  </si>
  <si>
    <t>1.02</t>
  </si>
  <si>
    <t>AB j</t>
  </si>
  <si>
    <t>1.03</t>
  </si>
  <si>
    <t>BC i</t>
  </si>
  <si>
    <t>1.04</t>
  </si>
  <si>
    <t>BC j</t>
  </si>
  <si>
    <t>1.05</t>
  </si>
  <si>
    <t>CD i</t>
  </si>
  <si>
    <t>1.06</t>
  </si>
  <si>
    <t>CD j</t>
  </si>
  <si>
    <t>1.07</t>
  </si>
  <si>
    <t>DE i</t>
  </si>
  <si>
    <t>1.08</t>
  </si>
  <si>
    <t>DE j</t>
  </si>
  <si>
    <t>1.09</t>
  </si>
  <si>
    <t>EF i</t>
  </si>
  <si>
    <t>1.10</t>
  </si>
  <si>
    <t>EF j</t>
  </si>
  <si>
    <t>1.11</t>
  </si>
  <si>
    <t>FG i</t>
  </si>
  <si>
    <t>1.12</t>
  </si>
  <si>
    <t>FG j</t>
  </si>
  <si>
    <t>GH i</t>
  </si>
  <si>
    <t>GH j</t>
  </si>
  <si>
    <t>HI i</t>
  </si>
  <si>
    <t>HI j</t>
  </si>
  <si>
    <t>2.04</t>
  </si>
  <si>
    <t>GJ i</t>
  </si>
  <si>
    <t>2.03</t>
  </si>
  <si>
    <t>GJ j</t>
  </si>
  <si>
    <t>2.02</t>
  </si>
  <si>
    <t>JK i</t>
  </si>
  <si>
    <t>2.01</t>
  </si>
  <si>
    <t>JK j</t>
  </si>
  <si>
    <t>KL i</t>
  </si>
  <si>
    <t>KL j</t>
  </si>
  <si>
    <t>LM i</t>
  </si>
  <si>
    <t>LM j</t>
  </si>
  <si>
    <t>MN i</t>
  </si>
  <si>
    <t>MN j</t>
  </si>
  <si>
    <t>MO i</t>
  </si>
  <si>
    <t>MO j</t>
  </si>
  <si>
    <t>R1 Vertical</t>
  </si>
  <si>
    <t>kN</t>
  </si>
  <si>
    <t>R1 Horizontal</t>
  </si>
  <si>
    <t>¡Muy bien!</t>
  </si>
  <si>
    <t>N</t>
  </si>
  <si>
    <t>Axiles</t>
  </si>
  <si>
    <t>Cortantes</t>
  </si>
  <si>
    <t>M</t>
  </si>
  <si>
    <t>Momentos</t>
  </si>
  <si>
    <t>kNm</t>
  </si>
  <si>
    <t>Nudo</t>
  </si>
  <si>
    <t>N axil</t>
  </si>
  <si>
    <t>Codigo axil</t>
  </si>
  <si>
    <t>V cortante</t>
  </si>
  <si>
    <t>Codigo Cortante</t>
  </si>
  <si>
    <t>M Momento</t>
  </si>
  <si>
    <t>Codigo Momentos</t>
  </si>
  <si>
    <t>Barra max</t>
  </si>
  <si>
    <t>DIAGR N</t>
  </si>
  <si>
    <t>DIAGR V</t>
  </si>
  <si>
    <t>DIAGR M</t>
  </si>
  <si>
    <t>nº</t>
  </si>
  <si>
    <t>Nombre Imagen</t>
  </si>
  <si>
    <t>Códigos OM diagramas para FastTest PlugIn</t>
  </si>
  <si>
    <t>N CERO CERO</t>
  </si>
  <si>
    <t>https://drive.google.com/file/d/1AhMUlPil7mc4DONpJ2DQApVa0VKPllzP/view?usp=share_link</t>
  </si>
  <si>
    <t>N POS POS</t>
  </si>
  <si>
    <t>https://drive.google.com/file/d/1Xf8B1aWrmppp7y7ohJWI_iHmm1HYlsoT/view?usp=share_link</t>
  </si>
  <si>
    <t>N NEG NEG</t>
  </si>
  <si>
    <t>https://drive.google.com/file/d/12c4hYisGiNOctIoLGZ7L8Y_hS4DvDjbh/view?usp=share_link</t>
  </si>
  <si>
    <t>N NEG CERO</t>
  </si>
  <si>
    <t>https://drive.google.com/file/d/1FSJCQIyYsfs6Ve5YdY9SXGJq8pD0SOKW/view?usp=share_link</t>
  </si>
  <si>
    <t>N POS CERO</t>
  </si>
  <si>
    <t>https://drive.google.com/file/d/1OLtIsMEjfxZPsw153yMztJBAWdqFIEJ5/view?usp=share_link</t>
  </si>
  <si>
    <t>N CERO NEG</t>
  </si>
  <si>
    <t>https://drive.google.com/file/d/1iETuSAV_gEjDzGLVIQWNTShCgAtncmu0/view?usp=share_link</t>
  </si>
  <si>
    <t>N CERO POS</t>
  </si>
  <si>
    <t>https://drive.google.com/file/d/1LhggWlluDjBycIdqgd4UQ0W4gHHxcmof/view?usp=share_link</t>
  </si>
  <si>
    <t>N POS NEG MAX_MIN</t>
  </si>
  <si>
    <t>https://drive.google.com/file/d/14QXEghaddk5Yz7H-ZzeT5bM2D2b_LVGS/view?usp=share_link</t>
  </si>
  <si>
    <t>N NEG POS MIN_MAX</t>
  </si>
  <si>
    <t>https://drive.google.com/file/d/1n_NBg7DyT20TL8Yebb9XNVruK1nF5EQm/view?usp=share_link</t>
  </si>
  <si>
    <t>N POS POS MIN_MAX</t>
  </si>
  <si>
    <t>https://drive.google.com/file/d/1T9tlqv74Nt1ZLmh5E83DY75KwBTlToGX/view?usp=share_link</t>
  </si>
  <si>
    <t>N POS POS MAX_MIN</t>
  </si>
  <si>
    <t>https://drive.google.com/file/d/10p63cLxHHu9QAuUTYDuO-C1tCI745FgD/view?usp=share_link</t>
  </si>
  <si>
    <t>N NEG NEG MIN_MAX</t>
  </si>
  <si>
    <t>https://drive.google.com/file/d/182BUxZaRj4YQ_Wu28ra7uiSPZyNxXxmi/view?usp=share_link</t>
  </si>
  <si>
    <t>N NEG NEG MAX_MIN</t>
  </si>
  <si>
    <t>https://drive.google.com/file/d/18UIn7GDqrSweHtal10IpwaVdpsZJpPN2/view?usp=share_link</t>
  </si>
  <si>
    <t>V CERO CERO</t>
  </si>
  <si>
    <t>V POS POS</t>
  </si>
  <si>
    <t>https://drive.google.com/file/d/1Rri_ENen_k8fTpi7o9QDcWABxaYI_AI5/view?usp=share_link</t>
  </si>
  <si>
    <t>V NEG NEG</t>
  </si>
  <si>
    <t>https://drive.google.com/file/d/13BUua7ZoyOks2mY8vdGA1WktEloUsO8T/view?usp=share_link</t>
  </si>
  <si>
    <t>V POS CERO</t>
  </si>
  <si>
    <t>https://drive.google.com/file/d/1FhQTG6Rl4YdlGOyFzstOC7kF8ds9r8TX/view?usp=share_link</t>
  </si>
  <si>
    <t>V NEG CERO</t>
  </si>
  <si>
    <t>https://drive.google.com/file/d/1rSpHZRtk5qLvqnzqpEoVxyHqj8KrAEs8/view?usp=share_link</t>
  </si>
  <si>
    <t>V CERO POS</t>
  </si>
  <si>
    <t>https://drive.google.com/file/d/1K9oaocMAr5m_zaIcGZnifOJCv623iVJE/view?usp=share_link</t>
  </si>
  <si>
    <t>V CERO NEG</t>
  </si>
  <si>
    <t>https://drive.google.com/file/d/1b1CADzCfhFavUBx4iH2k9Dn0C5cL_8Py/view?usp=share_link</t>
  </si>
  <si>
    <t>V POS POS MAX_MIN</t>
  </si>
  <si>
    <t>https://drive.google.com/file/d/1c3mZE6mqxb3VPLWzQdshtpxUYgGQUnxJ/view?usp=share_link</t>
  </si>
  <si>
    <t>V NEG NEG MAX_MIN</t>
  </si>
  <si>
    <t>https://drive.google.com/file/d/18MTEPvRqeSKn85Y86JW8qSkuuZvA_YzK/view?usp=share_link</t>
  </si>
  <si>
    <t>V POS POS MIN_MAX</t>
  </si>
  <si>
    <t>https://drive.google.com/file/d/1Pd4mK4oWTRJphhymdzwoksLZdGthjRHo/view?usp=share_link</t>
  </si>
  <si>
    <t>V NEG NEG MIN_MAX</t>
  </si>
  <si>
    <t>https://drive.google.com/file/d/1pEJoK7amEBtnWyLgBo5pbOfGs_BRhXFU/view?usp=share_link</t>
  </si>
  <si>
    <t>V POS NEG MAX_MIN</t>
  </si>
  <si>
    <t>https://drive.google.com/file/d/1n2Jc0enV7auiDtEYr-z5sLlkwf8KWOG3/view?usp=share_link</t>
  </si>
  <si>
    <t>V NEG POS MIN_MAX</t>
  </si>
  <si>
    <t>https://drive.google.com/file/d/1Ku7J6Wlmrfou2K_FLuJmTuIOGJzAJ95z/view?usp=share_link</t>
  </si>
  <si>
    <t>M CERO CERO</t>
  </si>
  <si>
    <t>M POS POS</t>
  </si>
  <si>
    <t>https://drive.google.com/file/d/16e5yi-DMX8iD7O7qgJhVZa-89Gaw3ZGN/view?usp=share_link</t>
  </si>
  <si>
    <t>M NEG NEG</t>
  </si>
  <si>
    <t>https://drive.google.com/file/d/1-g-7Og6auZ0jnOicgeBVslNwzVchbiGc/view?usp=share_link</t>
  </si>
  <si>
    <t>M POS CERO</t>
  </si>
  <si>
    <t>https://drive.google.com/file/d/1yJWIT6HbYuBkbZNNv4nOQqZqGVlWRCN_/view?usp=share_link</t>
  </si>
  <si>
    <t>M NEG CERO</t>
  </si>
  <si>
    <t>https://drive.google.com/file/d/1mZcBQ1b0QT9HArpnlwk0vwxydcIW75j5/view?usp=share_link</t>
  </si>
  <si>
    <t>M CERO POS</t>
  </si>
  <si>
    <t>https://drive.google.com/file/d/1OyujQPfILpFx5uoQs0r_gZwVbh9DYF0U/view?usp=share_link</t>
  </si>
  <si>
    <t>M CERO NEG</t>
  </si>
  <si>
    <t>https://drive.google.com/file/d/1Vk96fiZMeorDKPYHChcqTeQQcoIdOK7d/view?usp=share_link</t>
  </si>
  <si>
    <t>M POS POS MAX_MIN</t>
  </si>
  <si>
    <t>https://drive.google.com/file/d/17aVYMNKzDe7OobkqfoY9gqUxusA5onvR/view?usp=share_link</t>
  </si>
  <si>
    <t>M NEG NEG MIN_MAX</t>
  </si>
  <si>
    <t>https://drive.google.com/file/d/1NABzw9gQWzxbaLD1OqElkOQ7R8MMUMFu/view?usp=share_link</t>
  </si>
  <si>
    <t>M POS POS MIN_MAX</t>
  </si>
  <si>
    <t>https://drive.google.com/file/d/1Rky2v8N-LLuielRyrWoWbuCGtowfSgXj/view?usp=share_link</t>
  </si>
  <si>
    <t>M NEG NEG MAX_MIN</t>
  </si>
  <si>
    <t>https://drive.google.com/file/d/1Q-7GGQDpG6kvXRQsErWWQnIspx34Yy30/view?usp=share_link</t>
  </si>
  <si>
    <t>M POS NEG MAX_MIN</t>
  </si>
  <si>
    <t>https://drive.google.com/file/d/1mhZbDgG3R-UlHGFa_GL4CgHIxpcYMfpv/view?usp=share_link</t>
  </si>
  <si>
    <t>M NEG POS MIN_MAX</t>
  </si>
  <si>
    <t>https://drive.google.com/file/d/18RgRgEzoJdDswK1Lz4hg4ztsFDyigc_L/view?usp=share_link</t>
  </si>
  <si>
    <t>M CERO NEG POS_MAX</t>
  </si>
  <si>
    <t>https://drive.google.com/file/d/1mvknq70dSRP7-aSKxExFF5HdhyORyYmZ/view?usp=share_link</t>
  </si>
  <si>
    <t>M CERO POS NEG_MIN</t>
  </si>
  <si>
    <t>https://drive.google.com/file/d/1NYqrVbSShZdKu4b53tCkSPOtVjQ9OyKD/view?usp=share_link</t>
  </si>
  <si>
    <t>M POS CERO NEG_MIN</t>
  </si>
  <si>
    <t>https://drive.google.com/file/d/1Qfbdlm7u9opi44DD4eeD_lfr-YFTRXhO/view?usp=share_link</t>
  </si>
  <si>
    <t>M NEG CERO POS_MAX</t>
  </si>
  <si>
    <t>https://drive.google.com/file/d/1vC5sunnR5biKLhOFbX4fxdtTYqtD3Y92/view?usp=share_link</t>
  </si>
  <si>
    <t>M CERO NEG M_0</t>
  </si>
  <si>
    <t>https://drive.google.com/file/d/1cu1bX42YO93M2xRj2U531PIptQGMV7iB/view?usp=share_link</t>
  </si>
  <si>
    <t>M CERO POS M_0</t>
  </si>
  <si>
    <t>https://drive.google.com/file/d/1uQVkGnpVFrONVyI2XRRA9hQgtBBuRvdG/view?usp=share_link</t>
  </si>
  <si>
    <t>M POS CERO M_L</t>
  </si>
  <si>
    <t>https://drive.google.com/file/d/1wiKEzmIm8PRsGV5nksBIw65mx6amK0Z5/view?usp=share_link</t>
  </si>
  <si>
    <t>M NEG CERO M_L</t>
  </si>
  <si>
    <t>https://drive.google.com/file/d/1MbT84CRm_SGL2N8AKfk0K5myC0Jsxx8m/view?usp=share_link</t>
  </si>
  <si>
    <t>M CERO POS M_L</t>
  </si>
  <si>
    <t>https://drive.google.com/file/d/1q6I8BZruS2Daqgg_5AusOE5zU7Aw00hA/view?usp=share_link</t>
  </si>
  <si>
    <t>M CERO NEG M_L</t>
  </si>
  <si>
    <t>https://drive.google.com/file/d/1s0B9OJ-42Kgmxgvf-gBFDCC9R4wafQ8a/view?usp=share_link</t>
  </si>
  <si>
    <t>M POS CERO M_0</t>
  </si>
  <si>
    <t>https://drive.google.com/file/d/1aYrC81EvepTOZrUrsG1pUfI1jkMTrcOQ/view?usp=share_link</t>
  </si>
  <si>
    <t>M NEG CERO M_0</t>
  </si>
  <si>
    <t>https://drive.google.com/file/d/11m9MqSNOeZPppdNap7t9Rq4eYDOMSMF9/view?usp=share_link</t>
  </si>
  <si>
    <t>M CERO CERO POS_MAX</t>
  </si>
  <si>
    <t>https://drive.google.com/file/d/1Q47r1evl2ypr6K6rZURWLwZ2E6LMKkuM/view?usp=share_link</t>
  </si>
  <si>
    <t>M CERO CERO NEG_MIN</t>
  </si>
  <si>
    <t>https://drive.google.com/file/d/1JvFJnLh2KkZ6ku7yQX09sQnqh4---xWa/view?usp=share_link</t>
  </si>
  <si>
    <t>M POS POS MIN_MAX M_0</t>
  </si>
  <si>
    <t>https://drive.google.com/file/d/1I7Y9z_jRbSqB6KOWkLE13yKHzcKRp1QL/view?usp=share_link</t>
  </si>
  <si>
    <t>M NEG NEG MAX_MIN M_0</t>
  </si>
  <si>
    <t>https://drive.google.com/file/d/19qGDltCrAyHKxbxeVLB8ig2qdF3eLM2W/view?usp=share_link</t>
  </si>
  <si>
    <t>M POS POS MAX_MIN M_L</t>
  </si>
  <si>
    <t>https://drive.google.com/file/d/11h2GMHQV23NVlSQ07II2E7thSywnkJ_P/view?usp=share_link</t>
  </si>
  <si>
    <t>M NEG NEG MIN_MAX M_L</t>
  </si>
  <si>
    <t>https://drive.google.com/file/d/1EmmbMYnG6-2YgT4imYQcfe3VXR_iois3/view?usp=share_link</t>
  </si>
  <si>
    <t>M POS POS MIN_MAX M_L</t>
  </si>
  <si>
    <t>https://drive.google.com/file/d/1DAFiE9hW4CMbdM0ST06rd8gtneZ9YlxG/view?usp=share_link</t>
  </si>
  <si>
    <t>M NEG NEG MAX_MIN M_L</t>
  </si>
  <si>
    <t>https://drive.google.com/file/d/1KVqi81huDnR0x8xT8V4jQMeEUPplJPs-/view?usp=share_link</t>
  </si>
  <si>
    <t>M NEG NEG MIN_MAX M_0</t>
  </si>
  <si>
    <t>https://drive.google.com/file/d/1V5b_Kzb2cF8fJGRusbMb9kOaRTgQFTIj/view?usp=share_link</t>
  </si>
  <si>
    <t>M POS POS MAX_MIN M_0</t>
  </si>
  <si>
    <t>https://drive.google.com/file/d/1IKOQ938BGC7jx8Z_pgGMxErkgg8ubFmT/view?usp=share_link</t>
  </si>
  <si>
    <t>M POS POS MIN_MAX POS_MIN</t>
  </si>
  <si>
    <t>https://drive.google.com/file/d/1cBTgf0LuIPgDGQIR_kSeYeKHlg4kSna7/view?usp=share_link</t>
  </si>
  <si>
    <t>M NEG NEG MAX_MIN NEG_MAX</t>
  </si>
  <si>
    <t>https://drive.google.com/file/d/19hoBhHNQCKe8pBrgkDJGpBCs5Mhk_bP_/view?usp=share_link</t>
  </si>
  <si>
    <t>M POS POS MAX_MIN POS_MIN</t>
  </si>
  <si>
    <t>https://drive.google.com/file/d/1kC5r6Hf34csVNYaRpkmjBEsFasJ8XIeU/view?usp=share_link</t>
  </si>
  <si>
    <t>M NEG NEG MIN_MAX NEG_MAX</t>
  </si>
  <si>
    <t>https://drive.google.com/file/d/1E3i-1BC5QY1RIWckxw2TevDNydHXpBhG/view?usp=share_link</t>
  </si>
  <si>
    <t>M POS POS MIN_MAX POS_MAX</t>
  </si>
  <si>
    <t>https://drive.google.com/file/d/1IdEvw1iefcqKeYG2MQNefvMz47hmDNmY/view?usp=share_link</t>
  </si>
  <si>
    <t>M NEG NEG MAX_MIN NEG_MIN</t>
  </si>
  <si>
    <t>https://drive.google.com/file/d/181lfaPIjnjdLxGH2IwfkU29qKy2iiSlD/view?usp=share_link</t>
  </si>
  <si>
    <t>M POS POS MAX_MIN POS_MAX</t>
  </si>
  <si>
    <t>https://drive.google.com/file/d/1iiw4tKV5n_u8cNNt2Fk1LS1ZLqE9cdEG/view?usp=share_link</t>
  </si>
  <si>
    <t>M NEG NEG MIN_MAX NEG_MIN</t>
  </si>
  <si>
    <t>https://drive.google.com/file/d/1rANAsEOdd-f_aMIKFtGo86JYuKz8XB_I/view?usp=share_link</t>
  </si>
  <si>
    <t>M CERO POS POS_MAX</t>
  </si>
  <si>
    <t>https://drive.google.com/file/d/1LU-YM5Z00Uo_TJhzYuXeSjGI6bjtaw9X/view?usp=drive_link</t>
  </si>
  <si>
    <t>M CERO NEG NEG_MIN</t>
  </si>
  <si>
    <t>https://drive.google.com/file/d/1rwpx-IzB8zg90k9L8Ms4CH5VrJKtBxBY/view?usp=drive_link</t>
  </si>
  <si>
    <t>M POS CERO POS_MAX</t>
  </si>
  <si>
    <t>https://drive.google.com/file/d/1Bn0VT-E54I4VLYWc3wkZr7y83JGFor0V/view?usp=drive_link</t>
  </si>
  <si>
    <t>M NEG CERO NEG_MIN</t>
  </si>
  <si>
    <t>https://drive.google.com/file/d/1R5fwN3uztKY-ObFyEYJ-7Y_i0-nYjsa9/view?usp=drive_link</t>
  </si>
  <si>
    <t>M POS NEG MAX_MIN POS_MAX</t>
  </si>
  <si>
    <t>https://drive.google.com/file/d/1uUB2TLRcyxhcf91zwULY8qPPb3LTfJfB/view?usp=drive_link</t>
  </si>
  <si>
    <t>M POS NEG MAX_MIN NEG_MIN</t>
  </si>
  <si>
    <t>https://drive.google.com/file/d/1O23np9qHRLqm8VU62khmnjlvSXswpOft/view?usp=drive_link</t>
  </si>
  <si>
    <t>M NEG POS MIN_MAX NEG_MIN</t>
  </si>
  <si>
    <t>https://drive.google.com/file/d/1DiPkqB8XZVthQDfRgkuz0_S2mgVWb95d/view?usp=drive_link</t>
  </si>
  <si>
    <t>M NEG POS MIN_MAX POS_MAX</t>
  </si>
  <si>
    <t>https://drive.google.com/file/d/166huDCB1rZzcgFiHHClHvutyNYe04zwZ/view?usp=drive_link</t>
  </si>
  <si>
    <t>M POS NEG MAX_MIN M_L</t>
  </si>
  <si>
    <t>https://drive.google.com/file/d/1C3qy3kU1iDDHvVq3R9U5-4bRKFlz4QkR/view?usp=drive_link</t>
  </si>
  <si>
    <t>M POS NEG MAX_MIN M_0</t>
  </si>
  <si>
    <t>https://drive.google.com/file/d/1ZPKBoaESFI7rGclg-1R2tBFuxp4A4kS-/view?usp=drive_link</t>
  </si>
  <si>
    <t>M NEG POS MIN_MAX M_L</t>
  </si>
  <si>
    <t>https://drive.google.com/file/d/13Y7OUkPQyPAI82Y61rcswRp1aUFLRGpt/view?usp=drive_link</t>
  </si>
  <si>
    <t>M NEG POS MIN_MAX M_0</t>
  </si>
  <si>
    <t>https://drive.google.com/file/d/1--6IrktncFjVbfyjIr3_m5SVz6OSH34n/view?usp=drive_link</t>
  </si>
  <si>
    <t>M POS POS MIN_MAX NEG_MIN</t>
  </si>
  <si>
    <t>https://drive.google.com/file/d/1Py-Ra-6JybnTFjsDD4piFD-zh46V7eBd/view?usp=drive_link</t>
  </si>
  <si>
    <t>M POS POS MAX_MIN NEG_MIN</t>
  </si>
  <si>
    <t>https://drive.google.com/file/d/1tx4jRFEhTWb16awAt1XoC2JGNQZZ2WJS/view?usp=drive_link</t>
  </si>
  <si>
    <t>M NEG NEG MIN_MAX POS_MAX</t>
  </si>
  <si>
    <t>https://drive.google.com/file/d/1BN9VtfmrcB4V4ceSKF9EE5_wozwxpRPI/view?usp=drive_link</t>
  </si>
  <si>
    <t>https://drive.google.com/file/d/13mlrsZ0aUlCNM4aR4O7-Rb8sXK9nMXlW/view?usp=drive_link</t>
  </si>
  <si>
    <t xml:space="preserve">FIGURAS CARGAS UNIFORMES EN LAS BARRAS </t>
  </si>
  <si>
    <t>q_H_Barra</t>
  </si>
  <si>
    <t>q_H_Cota</t>
  </si>
  <si>
    <t>q_V_Barra</t>
  </si>
  <si>
    <t>q_V_Cota</t>
  </si>
  <si>
    <t>FIGURAS TIPOS DE PÓRTICOS y VIGAS</t>
  </si>
  <si>
    <t>TIPO PC-1</t>
  </si>
  <si>
    <t>https://drive.google.com/file/d/1uT2gdZzepTKwrjSmjva9_uoZOP_HnRnX/view?usp=share_link</t>
  </si>
  <si>
    <t>TIPO PC-2</t>
  </si>
  <si>
    <t>https://drive.google.com/file/d/1CksGC9gsPR6rWP3sUbLeHzfWTO9O2daM/view?usp=drive_link</t>
  </si>
  <si>
    <t>TIPO PC-3</t>
  </si>
  <si>
    <t>https://drive.google.com/file/d/1nFRFlnOV9ke4ZYUbAgiQDnAZwMndr7Zy/view?usp=drive_link</t>
  </si>
  <si>
    <t>Fv_D'</t>
  </si>
  <si>
    <t>Fh_D'</t>
  </si>
  <si>
    <t>Mz_D'</t>
  </si>
  <si>
    <t>Apoyos</t>
  </si>
  <si>
    <t>Emp.</t>
  </si>
  <si>
    <t>A Fijo</t>
  </si>
  <si>
    <t>A Móvil</t>
  </si>
  <si>
    <t>Suelo</t>
  </si>
  <si>
    <t>Triang</t>
  </si>
  <si>
    <t>Cota</t>
  </si>
  <si>
    <t>Vert</t>
  </si>
  <si>
    <t>Pos M max</t>
  </si>
  <si>
    <t>IMAGEN</t>
  </si>
  <si>
    <t>alfa_C</t>
  </si>
  <si>
    <t>Nudo Fijo</t>
  </si>
  <si>
    <t>Nudo Móvil</t>
  </si>
  <si>
    <t>Tipo</t>
  </si>
  <si>
    <t>G</t>
  </si>
  <si>
    <t>Ap_1</t>
  </si>
  <si>
    <t>Ap_2</t>
  </si>
  <si>
    <t>I</t>
  </si>
  <si>
    <t>K</t>
  </si>
  <si>
    <t>L_CD</t>
  </si>
  <si>
    <t>L_DE</t>
  </si>
  <si>
    <t>F</t>
  </si>
  <si>
    <t>J</t>
  </si>
  <si>
    <t>L</t>
  </si>
  <si>
    <t>TOTAL</t>
  </si>
  <si>
    <t>Reacciones</t>
  </si>
  <si>
    <t>Reacciones Verticales</t>
  </si>
  <si>
    <t>∑M A</t>
  </si>
  <si>
    <t>∑M B</t>
  </si>
  <si>
    <t>∑M C</t>
  </si>
  <si>
    <t>∑M D</t>
  </si>
  <si>
    <t>∑M E</t>
  </si>
  <si>
    <t>∑M F</t>
  </si>
  <si>
    <t>∑M G</t>
  </si>
  <si>
    <t>∑M H</t>
  </si>
  <si>
    <t>∑M I</t>
  </si>
  <si>
    <t>∑M J</t>
  </si>
  <si>
    <t>∑M K</t>
  </si>
  <si>
    <t>∑M L</t>
  </si>
  <si>
    <t>∑M M</t>
  </si>
  <si>
    <t>∑M N</t>
  </si>
  <si>
    <t>∑M O</t>
  </si>
  <si>
    <t>N_Pb</t>
  </si>
  <si>
    <t>PORTICO 2</t>
  </si>
  <si>
    <t>Ver Datos</t>
  </si>
  <si>
    <t>Ver Resultados</t>
  </si>
  <si>
    <t>Salto Línea</t>
  </si>
  <si>
    <t>Datos Fijos</t>
  </si>
  <si>
    <t>Nº Ini Prg. FTP</t>
  </si>
  <si>
    <t>L_CD1</t>
  </si>
  <si>
    <t>L_D1E</t>
  </si>
  <si>
    <t>q_DE</t>
  </si>
  <si>
    <t>q_CD</t>
  </si>
  <si>
    <t>R2M Vertical</t>
  </si>
  <si>
    <t>CD</t>
  </si>
  <si>
    <t>Tipo_Ap</t>
  </si>
  <si>
    <t>Ap variables</t>
  </si>
  <si>
    <t>M NEG NEG MAX_MIN POS_MAX</t>
  </si>
  <si>
    <t>https://i.ibb.co/5Y2G5Pk/CERO.png</t>
  </si>
  <si>
    <t>https://i.ibb.co/1XVwKXM/M-POS-POS-MAX-MIN-M-0.png</t>
  </si>
  <si>
    <t>https://i.ibb.co/9bj93SV/M-POS-POS-MAX-MIN-M-L.png</t>
  </si>
  <si>
    <t>https://i.ibb.co/4NkhP0y/M-POS-POS-MAX-MIN-NEG-MIN.png</t>
  </si>
  <si>
    <t>https://i.ibb.co/S6sgzc1/M-POS-POS-MAX-MIN-POS-MAX.png</t>
  </si>
  <si>
    <t>https://i.ibb.co/B2zy4bW/M-POS-POS-MAX-MIN-POS-MIN.png</t>
  </si>
  <si>
    <t>https://i.ibb.co/PMSPNjs/M-POS-POS-MAX-MIN.png</t>
  </si>
  <si>
    <t>https://i.ibb.co/M9QzyTV/M-POS-POS-MIN-MAX-M-0.png</t>
  </si>
  <si>
    <t>https://i.ibb.co/ThH4Wk4/M-POS-POS-MIN-MAX-M-L.png</t>
  </si>
  <si>
    <t>https://i.ibb.co/0QGzvL2/M-POS-POS-MIN-MAX-NEG-MIN.png</t>
  </si>
  <si>
    <t>https://i.ibb.co/rx07Rv9/M-POS-POS-MIN-MAX-POS-MAX.png</t>
  </si>
  <si>
    <t>https://i.ibb.co/rG4KyGQ/M-POS-POS-MIN-MAX-POS-MIN.png</t>
  </si>
  <si>
    <t>https://i.ibb.co/DLj20QY/M-POS-POS-MIN-MAX.png</t>
  </si>
  <si>
    <t>https://i.ibb.co/cQKt0J8/M-POS-POS.png</t>
  </si>
  <si>
    <t>https://i.ibb.co/KrJD0cV/M-CERO-POS-M-0.png</t>
  </si>
  <si>
    <t>https://i.ibb.co/WpQFR6F/M-CERO-POS.png</t>
  </si>
  <si>
    <t>https://i.ibb.co/jwzSRCr/M-NEG-CERO.png</t>
  </si>
  <si>
    <t>https://i.ibb.co/s9kvjXz/M-POS-CERO-M-L.png</t>
  </si>
  <si>
    <t>https://i.ibb.co/gTftBD4/M-POS-CERO.png</t>
  </si>
  <si>
    <t>https://i.ibb.co/ZhZddD5/M-CERO-CERO-NEG.png</t>
  </si>
  <si>
    <t>https://i.ibb.co/qYnwX9q/M-CERO-CERO-POS.png</t>
  </si>
  <si>
    <t>https://i.ibb.co/qxk8Zrz/M-CERO-NEG-M-0.png</t>
  </si>
  <si>
    <t>https://i.ibb.co/JxHtSGz/M-CERO-NEG-M-L.png</t>
  </si>
  <si>
    <t>https://i.ibb.co/2KFJbHr/M-CERO-NEG-NEG-MIN.png</t>
  </si>
  <si>
    <t>https://i.ibb.co/Y3wPJBF/M-CERO-NEG-POS.png</t>
  </si>
  <si>
    <t>https://i.ibb.co/jH3V9Ff/M-CERO-NEG.png</t>
  </si>
  <si>
    <t>https://i.ibb.co/BPyF4yj/M-CERO-POS-M-L.png</t>
  </si>
  <si>
    <t>https://i.ibb.co/NpTMXCt/M-CERO-POS-NEG-MIN.png</t>
  </si>
  <si>
    <t>https://i.ibb.co/BzSV07m/M-CERO-POS-POS-MAX.png</t>
  </si>
  <si>
    <t>https://i.ibb.co/rp93Y4q/M-NEG-CERO-M-0.png</t>
  </si>
  <si>
    <t>https://i.ibb.co/Lv4tzpS/M-NEG-CERO-M-L.png</t>
  </si>
  <si>
    <t>https://i.ibb.co/jDnxBp7/M-NEG-CERO-NEG-MIN.png</t>
  </si>
  <si>
    <t>https://i.ibb.co/QfzLyjK/M-NEG-CERO-POS-MAX.png</t>
  </si>
  <si>
    <t>https://i.ibb.co/wCDz7QT/M-NEG-NEG-MAX-MIN-M-0.png</t>
  </si>
  <si>
    <t>https://i.ibb.co/LJFDzcB/M-NEG-NEG-MAX-MIN-M-L.png</t>
  </si>
  <si>
    <t>https://i.ibb.co/b5f0Jw7/M-NEG-NEG-MAX-MIN-NEG-MAX.png</t>
  </si>
  <si>
    <t>https://i.ibb.co/89N873T/M-NEG-NEG-MAX-MIN-NEG-MIN.png</t>
  </si>
  <si>
    <t>https://i.ibb.co/VCHCJ1c/M-NEG-NEG-MAX-MIN-POS-MAX.png</t>
  </si>
  <si>
    <t>https://i.ibb.co/7tVThTj/M-NEG-NEG-MAX-MIN.png</t>
  </si>
  <si>
    <t>https://i.ibb.co/KDyC7gf/M-NEG-NEG-MIN-MAX-M-0.png</t>
  </si>
  <si>
    <t>https://i.ibb.co/zZMWkKG/M-NEG-NEG-MIN-MAX-M-L.png</t>
  </si>
  <si>
    <t>https://i.ibb.co/7GRDvvN/M-NEG-NEG-MIN-MAX-NEG-MAX.png</t>
  </si>
  <si>
    <t>https://i.ibb.co/s6xW7DK/M-NEG-NEG-MIN-MAX-NEG-MIN.png</t>
  </si>
  <si>
    <t>https://i.ibb.co/qr0ghpC/M-NEG-NEG-MIN-MAX-POS-MAX.png</t>
  </si>
  <si>
    <t>https://i.ibb.co/cJB47qM/M-NEG-NEG-MIN-MAX.png</t>
  </si>
  <si>
    <t>https://i.ibb.co/r775CPs/M-NEG-NEG.png</t>
  </si>
  <si>
    <t>https://i.ibb.co/DkmpBRG/M-NEG-POS-MIN-MAX-M-0.png</t>
  </si>
  <si>
    <t>https://i.ibb.co/jr6LKgt/M-NEG-POS-MIN-MAX-M-L.png</t>
  </si>
  <si>
    <t>https://i.ibb.co/cbnd1y1/M-NEG-POS-MIN-MAX-NEG-MIN.png</t>
  </si>
  <si>
    <t>https://i.ibb.co/q0LQDKG/M-NEG-POS-MIN-MAX-POS-MAX.png</t>
  </si>
  <si>
    <t>https://i.ibb.co/QjwZk90/M-NEG-POS.png</t>
  </si>
  <si>
    <t>https://i.ibb.co/rZSxsYc/M-POS-CERO-M-0.png</t>
  </si>
  <si>
    <t>https://i.ibb.co/T4q9jpn/M-POS-CERO-NEG.png</t>
  </si>
  <si>
    <t>https://i.ibb.co/M6T44RP/M-POS-CERO-POS-MAX.png</t>
  </si>
  <si>
    <t>https://i.ibb.co/FgNrFDm/M-POS-NEG-MAX-MIN-M-0.png</t>
  </si>
  <si>
    <t>https://i.ibb.co/Z1xvjf3/M-POS-NEG-MAX-MIN-M-L.png</t>
  </si>
  <si>
    <t>https://i.ibb.co/HNnHrQB/M-POS-NEG-MAX-MIN-NEG-MIN.png</t>
  </si>
  <si>
    <t>https://i.ibb.co/dMh9RxL/M-POS-NEG-MAX-MIN-POS-MAX.png</t>
  </si>
  <si>
    <t>https://i.ibb.co/QHX3dLd/M-POS-NEG.png</t>
  </si>
  <si>
    <t>https://i.ibb.co/b64jM8s/N-NEG-NEG.png</t>
  </si>
  <si>
    <t>https://i.ibb.co/yPGzDRH/N-NEG-POS.png</t>
  </si>
  <si>
    <t>https://i.ibb.co/YpHb18Z/N-POS-CERO.png</t>
  </si>
  <si>
    <t>https://i.ibb.co/XsRwKrB/N-POS-NEG.png</t>
  </si>
  <si>
    <t>https://i.ibb.co/zPVRJmJ/N-POS-POS-MAX-MIN.png</t>
  </si>
  <si>
    <t>https://i.ibb.co/L9PQ0Df/N-POS-POS-MIN-MAX.png</t>
  </si>
  <si>
    <t>https://i.ibb.co/QvckjPj/N-POS-POS.png</t>
  </si>
  <si>
    <t>https://i.ibb.co/whnvvV9/N-CERO-NEG.png</t>
  </si>
  <si>
    <t>https://i.ibb.co/sHX2y3G/N-CERO-POS.png</t>
  </si>
  <si>
    <t>https://i.ibb.co/BVz7HMc/N-NEG-CERO.png</t>
  </si>
  <si>
    <t>https://i.ibb.co/f8Ksgn8/N-NEG-NEG-MAX-MIN.png</t>
  </si>
  <si>
    <t>https://i.ibb.co/kQWS7Qn/N-NEG-NEG-MIN-MAX.png</t>
  </si>
  <si>
    <t>https://i.ibb.co/pjCfrz4/V-POS-NEG.png</t>
  </si>
  <si>
    <t>https://i.ibb.co/wLZgMcD/V-POS.png</t>
  </si>
  <si>
    <t>https://i.ibb.co/wBwPwJ5/V-CERO-NEG.png</t>
  </si>
  <si>
    <t>https://i.ibb.co/zS7pRGc/V-CERO-POS.png</t>
  </si>
  <si>
    <t>https://i.ibb.co/WKkfhY6/V-NEG-CERO.png</t>
  </si>
  <si>
    <t>https://i.ibb.co/NrdgBMx/V-NEG-MAX-MIN.png</t>
  </si>
  <si>
    <t>https://i.ibb.co/TKSMTpQ/V-NEG-MIN-MAX.png</t>
  </si>
  <si>
    <t>https://i.ibb.co/09Pn501/V-NEG-POS.png</t>
  </si>
  <si>
    <t>https://i.ibb.co/VgcwKbw/V-NEG.png</t>
  </si>
  <si>
    <t>https://i.ibb.co/wNSxZNY/V-POS-CERO.png</t>
  </si>
  <si>
    <t>https://i.ibb.co/grTPMXJ/V-POS-MAX-MIN.png</t>
  </si>
  <si>
    <t>https://i.ibb.co/3RHbcLC/V-POS-MIN-MAX.png</t>
  </si>
  <si>
    <t>https://i.ibb.co/Scd2DHk/q-H-Cota.png</t>
  </si>
  <si>
    <t>https://i.ibb.co/SwrvKnt/q-V-Barra.png</t>
  </si>
  <si>
    <t>https://i.ibb.co/h9yZxCy/q-V-Cota.png</t>
  </si>
  <si>
    <t>https://i.ibb.co/SKCx3nH/q-H-Barra.png</t>
  </si>
  <si>
    <t>L_Cev</t>
  </si>
  <si>
    <t>Restultante q CE V=</t>
  </si>
  <si>
    <t>Restultante q CE H=</t>
  </si>
  <si>
    <t>CE</t>
  </si>
  <si>
    <t>q_</t>
  </si>
  <si>
    <t>L_</t>
  </si>
  <si>
    <t>Fv_</t>
  </si>
  <si>
    <t>Fh_</t>
  </si>
  <si>
    <t>Mz_</t>
  </si>
  <si>
    <t>SÍ/NO</t>
  </si>
  <si>
    <t>https://i.ibb.co/6BxwXgN/q-P-Barra.png</t>
  </si>
  <si>
    <t>&lt;img src="</t>
  </si>
  <si>
    <t>TODO</t>
  </si>
  <si>
    <t>X</t>
  </si>
  <si>
    <t>q_H_V_Cota</t>
  </si>
  <si>
    <t>https://i.ibb.co/QDbrwxC/q-H-V-Cota.png</t>
  </si>
  <si>
    <t>q_P_Barra</t>
  </si>
  <si>
    <t>Articulación</t>
  </si>
  <si>
    <t>Art</t>
  </si>
  <si>
    <t>Distancia</t>
  </si>
  <si>
    <t>Ap Fijo</t>
  </si>
  <si>
    <t>Fv Ap 2</t>
  </si>
  <si>
    <t>Izda Artic.</t>
  </si>
  <si>
    <t>Fuerzas Verticales:</t>
  </si>
  <si>
    <t>VERTICALES</t>
  </si>
  <si>
    <t>HORIZONTALES</t>
  </si>
  <si>
    <t>MOMENTOS</t>
  </si>
  <si>
    <t>UNIFORMES</t>
  </si>
  <si>
    <t xml:space="preserve"> </t>
  </si>
  <si>
    <t>INCLINADA</t>
  </si>
  <si>
    <t>N{AXILES (kN)}N&lt;br&gt;</t>
  </si>
  <si>
    <t>N{CORTANTES (kN)}N&lt;br&gt;</t>
  </si>
  <si>
    <t>empotramiento</t>
  </si>
  <si>
    <t>apoyo fijo</t>
  </si>
  <si>
    <t>apoyo móvil</t>
  </si>
  <si>
    <t>Nombre IMAGEN</t>
  </si>
  <si>
    <t>https://i.ibb.co/gzz9sTm/Pilar-Empotrado-Libre-Pescante-Inclinado.png</t>
  </si>
  <si>
    <t>https://i.ibb.co/VB7z87D/Pilar-Empotrado-Libre.png</t>
  </si>
  <si>
    <t>https://i.ibb.co/d7f1j2K/Pilar-Empotrado-Libre-Pescante-Recto.png</t>
  </si>
  <si>
    <t>Pilar-Empotrado-Libre-Pescante-Recto</t>
  </si>
  <si>
    <t>Pilar-Empotrado-Libre</t>
  </si>
  <si>
    <t>Pilar-Empotrado-Libre-Pescante-Inclinado</t>
  </si>
  <si>
    <t>Viga-Horizontal-Movil-Empotrado-Art-G</t>
  </si>
  <si>
    <t>Viga-Horizontal-Movil-Empotrado-Art-H</t>
  </si>
  <si>
    <t>Viga-Horizontal-Movil-Fijo</t>
  </si>
  <si>
    <t>Viga-Horizontal-Empotrado-Libre</t>
  </si>
  <si>
    <t>Viga-Horizontal-Empotrado-Movil-Art-F</t>
  </si>
  <si>
    <t>Viga-Horizontal-Empotrado-Movil-Art-G</t>
  </si>
  <si>
    <t>Viga-Horizontal-Empotrado-Movil-Art-H</t>
  </si>
  <si>
    <t>Viga-Horizontal-Fijo-Movil</t>
  </si>
  <si>
    <t>Viga-Horizontal-Libre-Empotrado</t>
  </si>
  <si>
    <t>Viga-Horizontal-Movil-Empotrado-Art-F</t>
  </si>
  <si>
    <t>Viga-Inclinada-Fijo-Movil</t>
  </si>
  <si>
    <t>https://i.ibb.co/sjySzxN/Viga-Horizontal-Empotrado-Movil-Vol1-Art-G.png</t>
  </si>
  <si>
    <t>https://i.ibb.co/YPRkc4d/Viga-Horizontal-Empotrado-Movil-Vol2-Art-F.png</t>
  </si>
  <si>
    <t>https://i.ibb.co/nzLrYdB/Viga-Horizontal-Fijo-Movil.png</t>
  </si>
  <si>
    <t>https://i.ibb.co/qx0RVHJ/Viga-Horizontal-Fijo-Movil-Vol1.png</t>
  </si>
  <si>
    <t>https://i.ibb.co/7bqXMvQ/Viga-Horizontal-Libre-Empotrado.png</t>
  </si>
  <si>
    <t>https://i.ibb.co/MSLz4wr/Viga-Horizontal-Movil-Empotrado-Art-F.png</t>
  </si>
  <si>
    <t>https://i.ibb.co/pJ6mXsP/Viga-Horizontal-Movil-Empotrado-Art-G.png</t>
  </si>
  <si>
    <t>https://i.ibb.co/bKjj1VR/Viga-Horizontal-Movil-Empotrado-Art-H.png</t>
  </si>
  <si>
    <t>https://i.ibb.co/kQPyJKw/Viga-Horizontal-Movil-Fijo.png</t>
  </si>
  <si>
    <t>https://i.ibb.co/Wt9LZhR/Viga-Horizontal-Movil-Fijo-Vol1.png</t>
  </si>
  <si>
    <t>https://i.ibb.co/WfTV7vP/Viga-Horizontal-Vol1-Fijo-Movil-Vol1.png</t>
  </si>
  <si>
    <t>https://i.ibb.co/pvFVxBK/Viga-Horizontal-Vol1-Movil-Empotrado-Art-G.png</t>
  </si>
  <si>
    <t>https://i.ibb.co/MG0JDZ2/Viga-Horizontal-Vol1-Movil-Empotrado-Art-H.png</t>
  </si>
  <si>
    <t>https://i.ibb.co/5Y56vtY/Viga-Horizontal-Vol2-Movil-Empotrado-Art-H.png</t>
  </si>
  <si>
    <t>https://i.ibb.co/FgVLJWv/Viga-Inclinada-Fijo-Movil.png</t>
  </si>
  <si>
    <t>https://i.ibb.co/YNPKThs/Viga-Inclinada-Movil-Fijo.png</t>
  </si>
  <si>
    <t>https://i.ibb.co/LJPXSS9/Viga-Horizontal-Empotrado-Libre.png</t>
  </si>
  <si>
    <t>https://i.ibb.co/h2HnHM6/Viga-Horizontal-Empotrado-Movil-Art-F.png</t>
  </si>
  <si>
    <t>https://i.ibb.co/yQWzKbH/Viga-Horizontal-Empotrado-Movil-Art-G.png</t>
  </si>
  <si>
    <t>https://i.ibb.co/Ns58hj1/Viga-Horizontal-Empotrado-Movil-Art-H.png</t>
  </si>
  <si>
    <t>https://i.ibb.co/GV3y9rM/Viga-Horizontal-Empotrado-Movil-Vol1-Art-F.png</t>
  </si>
  <si>
    <t>Viga-Horizontal-Empotrado-Movil-Vol1-Art-G</t>
  </si>
  <si>
    <t>Viga-Horizontal-Empotrado-Movil-Vol2-Art-F</t>
  </si>
  <si>
    <t>Viga-Horizontal-Fijo-Movil-Vol1</t>
  </si>
  <si>
    <t>Viga-Horizontal-Movil-Fijo-Vol1</t>
  </si>
  <si>
    <t>Viga-Horizontal-Vol1-Fijo-Movil-Vol1</t>
  </si>
  <si>
    <t>Viga-Horizontal-Vol1-Movil-Empotrado-Art-G</t>
  </si>
  <si>
    <t>Viga-Horizontal-Vol1-Movil-Empotrado-Art-H</t>
  </si>
  <si>
    <t>Viga-Horizontal-Vol2-Movil-Empotrado-Art-H</t>
  </si>
  <si>
    <t>Viga-Inclinada-Movil-Fijo</t>
  </si>
  <si>
    <t>Viga-Horizontal-Empotrado-Movil-Vol1-Art-F</t>
  </si>
  <si>
    <t>https://i.ibb.co/4tGZpwv/Portico-CDE-EFG-GJK.png</t>
  </si>
  <si>
    <t>https://i.ibb.co/n62NRgx/Portico-CDE-EFGH-GJK.png</t>
  </si>
  <si>
    <t>https://i.ibb.co/f1BbX1x/Portico-EFG-GJK-KLM-MO-P05-Movil-Empotrado-Art-FOL.png</t>
  </si>
  <si>
    <t>https://i.ibb.co/ggVcbwR/Portico-EFG-GJK-KLM-MO.png</t>
  </si>
  <si>
    <t>https://i.ibb.co/kysZMp4/Portico-TODO-Inclinado.png</t>
  </si>
  <si>
    <t>https://i.ibb.co/Y0VNP92/Portico-TODO-Recto.png</t>
  </si>
  <si>
    <t>https://i.ibb.co/ZXkCy9Z/Portico-ABC-CDE-EFGHI-GJK.png</t>
  </si>
  <si>
    <t>https://i.ibb.co/4mTjhJd/Portico-ABCD-DEFGHI.png</t>
  </si>
  <si>
    <t>https://i.ibb.co/ws7FHVr/Portico-BCD-DEFG-GJK.png</t>
  </si>
  <si>
    <t>https://i.ibb.co/kJYy67w/Portico-BCD-DEFG-GJK-KLMN.png</t>
  </si>
  <si>
    <t>https://i.ibb.co/kXkwkDB/Portico-BCD-DEFG-GJK-KLMN-P06-Fijo-Movil.png</t>
  </si>
  <si>
    <t>https://i.ibb.co/10tcgwy/Portico-CD-DE.png</t>
  </si>
  <si>
    <t>Portico-CDE-EFG-GJK</t>
  </si>
  <si>
    <t>Portico-CDE-EFGH-GJK</t>
  </si>
  <si>
    <t>Portico-EFG-GJK-KLM-MO-P05-Movil-Empotrado-Art-FOL</t>
  </si>
  <si>
    <t>Portico-EFG-GJK-KLM-MO</t>
  </si>
  <si>
    <t>Portico-TODO-Inclinado</t>
  </si>
  <si>
    <t>Portico-TODO-Recto</t>
  </si>
  <si>
    <t>Portico-ABC-CDE-EFGHI-GJK</t>
  </si>
  <si>
    <t>Portico-ABCD-DEFGHI</t>
  </si>
  <si>
    <t>Portico-BCD-DEFG-GJK</t>
  </si>
  <si>
    <t>Portico-BCD-DEFG-GJK-KLMN</t>
  </si>
  <si>
    <t>Portico-BCD-DEFG-GJK-KLMN-P06-Fijo-Movil</t>
  </si>
  <si>
    <t>Portico-CD-DE</t>
  </si>
  <si>
    <t>Comprobar Articulación</t>
  </si>
  <si>
    <t>RM (Articulacion)</t>
  </si>
  <si>
    <t>DIAGRAMA</t>
  </si>
  <si>
    <t>N{MOMENTOS FLECTORES (kNm)}N&lt;br&gt;</t>
  </si>
  <si>
    <t>AXILES (kN)</t>
  </si>
  <si>
    <t>CORTANTES (kN)</t>
  </si>
  <si>
    <t>M. FLECTORES (kNm)</t>
  </si>
  <si>
    <t>M NEG NEG POS_MAX</t>
  </si>
  <si>
    <t>M NEG NEG NEG_MIN</t>
  </si>
  <si>
    <t>M POS POS POS_MAX</t>
  </si>
  <si>
    <t>M POS POS NEG_MIN</t>
  </si>
  <si>
    <t>Izda</t>
  </si>
  <si>
    <t>Dcha</t>
  </si>
  <si>
    <t>N_GI CERO CERO</t>
  </si>
  <si>
    <t>N_GI POS POS</t>
  </si>
  <si>
    <t>N_GI NEG NEG</t>
  </si>
  <si>
    <t>N_GI NEG CERO</t>
  </si>
  <si>
    <t>N_GI POS CERO</t>
  </si>
  <si>
    <t>N_GI CERO NEG</t>
  </si>
  <si>
    <t>N_GI CERO POS</t>
  </si>
  <si>
    <t>N_GI POS NEG MAX_MIN</t>
  </si>
  <si>
    <t>N_GI NEG POS MIN_MAX</t>
  </si>
  <si>
    <t>N_GI POS POS MIN_MAX</t>
  </si>
  <si>
    <t>N_GI POS POS MAX_MIN</t>
  </si>
  <si>
    <t>N_GI NEG NEG MIN_MAX</t>
  </si>
  <si>
    <t>N_GI NEG NEG MAX_MIN</t>
  </si>
  <si>
    <t>BARRA</t>
  </si>
  <si>
    <t>A Movil</t>
  </si>
  <si>
    <t>CONCAT</t>
  </si>
  <si>
    <t>Portico-CDE-EFG-GJK-KLM</t>
  </si>
  <si>
    <t>Portico-EFGHI-GJK-KLMN-MO</t>
  </si>
  <si>
    <t>https://i.ibb.co/g9LH0sN/Portico-CDE-EFG-GJK-KLM.png</t>
  </si>
  <si>
    <t>https://i.ibb.co/yRzfzF0/Portico-EFGHI-GJK-KLMN-MO.png</t>
  </si>
  <si>
    <t>DIAGRAMAS DE ESFUERZOS AXILES (kN)</t>
  </si>
  <si>
    <t>DIAGRAMAS DE ESFUERZOS CORTANTES (kN)</t>
  </si>
  <si>
    <t>DIAGRAMAS DE MOMENTOS FLECTORES (kNm)</t>
  </si>
  <si>
    <t>📃</t>
  </si>
  <si>
    <r>
      <t xml:space="preserve">Las celdas </t>
    </r>
    <r>
      <rPr>
        <b/>
        <sz val="11"/>
        <color rgb="FFFF0000"/>
        <rFont val="Calibri"/>
        <family val="2"/>
        <scheme val="minor"/>
      </rPr>
      <t>Ver Datos</t>
    </r>
    <r>
      <rPr>
        <b/>
        <sz val="11"/>
        <color rgb="FF005877"/>
        <rFont val="Calibri"/>
        <family val="2"/>
        <scheme val="minor"/>
      </rPr>
      <t xml:space="preserve"> / </t>
    </r>
    <r>
      <rPr>
        <b/>
        <sz val="11"/>
        <color rgb="FFFF0000"/>
        <rFont val="Calibri"/>
        <family val="2"/>
        <scheme val="minor"/>
      </rPr>
      <t>Ver Resultado</t>
    </r>
    <r>
      <rPr>
        <b/>
        <sz val="11"/>
        <color rgb="FF005877"/>
        <rFont val="Calibri"/>
        <family val="2"/>
        <scheme val="minor"/>
      </rPr>
      <t xml:space="preserve"> </t>
    </r>
    <r>
      <rPr>
        <sz val="11"/>
        <color rgb="FF005877"/>
        <rFont val="Calibri"/>
        <family val="2"/>
        <scheme val="minor"/>
      </rPr>
      <t>(SÍ/NO), son para indicar si queremos que se muestren los datos/resultados en la Figura del problema.</t>
    </r>
  </si>
  <si>
    <r>
      <t xml:space="preserve">Si en el enunciado queremos introducir </t>
    </r>
    <r>
      <rPr>
        <b/>
        <sz val="11"/>
        <color rgb="FF005877"/>
        <rFont val="Calibri"/>
        <family val="2"/>
        <scheme val="minor"/>
      </rPr>
      <t xml:space="preserve">Saltos de Línea </t>
    </r>
    <r>
      <rPr>
        <sz val="11"/>
        <color rgb="FF005877"/>
        <rFont val="Calibri"/>
        <family val="2"/>
        <scheme val="minor"/>
      </rPr>
      <t>para</t>
    </r>
    <r>
      <rPr>
        <b/>
        <sz val="11"/>
        <color rgb="FF005877"/>
        <rFont val="Calibri"/>
        <family val="2"/>
        <scheme val="minor"/>
      </rPr>
      <t xml:space="preserve"> </t>
    </r>
    <r>
      <rPr>
        <b/>
        <sz val="11"/>
        <color theme="5"/>
        <rFont val="Calibri"/>
        <family val="2"/>
        <scheme val="minor"/>
      </rPr>
      <t>FastTest PlugIn</t>
    </r>
    <r>
      <rPr>
        <sz val="11"/>
        <color rgb="FF005877"/>
        <rFont val="Calibri"/>
        <family val="2"/>
        <scheme val="minor"/>
      </rPr>
      <t xml:space="preserve">, debemos seleccionar el tipo de salto (&lt;br&gt; para un salto pequeño y &lt;p&gt; para un salto grande) en la celda </t>
    </r>
    <r>
      <rPr>
        <b/>
        <sz val="11"/>
        <color rgb="FF005877"/>
        <rFont val="Calibri"/>
        <family val="2"/>
        <scheme val="minor"/>
      </rPr>
      <t>Salto</t>
    </r>
    <r>
      <rPr>
        <sz val="11"/>
        <color rgb="FF005877"/>
        <rFont val="Calibri"/>
        <family val="2"/>
        <scheme val="minor"/>
      </rPr>
      <t>. Si lo hemos introducido, pero queremos imprimir el ejercicio en PDF, solo habría que borrar el dato de la celda SALTO y no se imprimiría.</t>
    </r>
  </si>
  <si>
    <r>
      <t>Si se quiere pasar a PDF todos los problemas con los datos en esta hoja, se puede hacer usando la macro  "</t>
    </r>
    <r>
      <rPr>
        <b/>
        <i/>
        <sz val="11"/>
        <color rgb="FFE87B00"/>
        <rFont val="Calibri"/>
        <family val="2"/>
        <scheme val="minor"/>
      </rPr>
      <t>IMPRIMIR_PDF</t>
    </r>
    <r>
      <rPr>
        <sz val="11"/>
        <color rgb="FF005877"/>
        <rFont val="Calibri"/>
        <family val="2"/>
        <scheme val="minor"/>
      </rPr>
      <t xml:space="preserve">". El nombre del archivo con el que se quiere que se guarde, hay que ponerlo en la celda </t>
    </r>
    <r>
      <rPr>
        <b/>
        <sz val="11"/>
        <color rgb="FF005877"/>
        <rFont val="Calibri"/>
        <family val="2"/>
        <scheme val="minor"/>
      </rPr>
      <t>Nombre_Archivo</t>
    </r>
    <r>
      <rPr>
        <sz val="11"/>
        <color rgb="FF005877"/>
        <rFont val="Calibri"/>
        <family val="2"/>
        <scheme val="minor"/>
      </rPr>
      <t>.</t>
    </r>
  </si>
  <si>
    <r>
      <t>En la celda "</t>
    </r>
    <r>
      <rPr>
        <b/>
        <i/>
        <sz val="11"/>
        <color rgb="FFE87B00"/>
        <rFont val="Calibri"/>
        <family val="2"/>
        <scheme val="minor"/>
      </rPr>
      <t>SUB_CARPETA</t>
    </r>
    <r>
      <rPr>
        <sz val="11"/>
        <color rgb="FF005877"/>
        <rFont val="Calibri"/>
        <family val="2"/>
        <scheme val="minor"/>
      </rPr>
      <t>", se escribirá el nombre de la subcarpeta en la que se quieran guardar las imágenes (en caso de querer usar la macro correspondiente ""). La celda siguiente "</t>
    </r>
    <r>
      <rPr>
        <b/>
        <i/>
        <sz val="11"/>
        <color rgb="FFE87B00"/>
        <rFont val="Calibri"/>
        <family val="2"/>
        <scheme val="minor"/>
      </rPr>
      <t>Multiplo_Img</t>
    </r>
    <r>
      <rPr>
        <sz val="11"/>
        <color rgb="FF005877"/>
        <rFont val="Calibri"/>
        <family val="2"/>
        <scheme val="minor"/>
      </rPr>
      <t>" se indicará la escala a la que se quiere exportar la imagen. Hacer pruebas para ver el tamaño apropiado. Para guardar las imágenes, ejecutar la macro "</t>
    </r>
    <r>
      <rPr>
        <b/>
        <i/>
        <sz val="11"/>
        <color rgb="FFE87B00"/>
        <rFont val="Calibri"/>
        <family val="2"/>
        <scheme val="minor"/>
      </rPr>
      <t>Imagenes_Guarda_Datos_Fijos</t>
    </r>
    <r>
      <rPr>
        <sz val="11"/>
        <color rgb="FF005877"/>
        <rFont val="Calibri"/>
        <family val="2"/>
        <scheme val="minor"/>
      </rPr>
      <t>".</t>
    </r>
  </si>
  <si>
    <t>2. RESULTADOS - FTP (para preparar problemas para Moodle con FastTest PlugIn)</t>
  </si>
  <si>
    <r>
      <t xml:space="preserve">Esta hoja es para insertar los datos necesarios para pasar el problema a Moodle, con </t>
    </r>
    <r>
      <rPr>
        <b/>
        <sz val="11"/>
        <color rgb="FFE87B00"/>
        <rFont val="Calibri"/>
        <family val="2"/>
        <scheme val="minor"/>
      </rPr>
      <t>FastTest PlugIn</t>
    </r>
    <r>
      <rPr>
        <sz val="11"/>
        <color rgb="FF005877"/>
        <rFont val="Calibri"/>
        <family val="2"/>
        <scheme val="minor"/>
      </rPr>
      <t xml:space="preserve">. </t>
    </r>
  </si>
  <si>
    <r>
      <t xml:space="preserve">Antes de exportar las preguntas, asegurarse de haber puesto un </t>
    </r>
    <r>
      <rPr>
        <b/>
        <sz val="11"/>
        <color rgb="FF005877"/>
        <rFont val="Calibri"/>
        <family val="2"/>
        <scheme val="minor"/>
      </rPr>
      <t xml:space="preserve">Salto &lt;br&gt; o &lt;p&gt; </t>
    </r>
    <r>
      <rPr>
        <sz val="11"/>
        <color rgb="FF005877"/>
        <rFont val="Calibri"/>
        <family val="2"/>
        <scheme val="minor"/>
      </rPr>
      <t>para que se exporte el problema con los saltos de línea correspondientes. Si la celda Salto (a la izquierda) está en amarillo, es porque no está puesto ningún tipo de salto introducido.</t>
    </r>
  </si>
  <si>
    <r>
      <t>En esta hoja se introducen los Valores que se quieren dar a cada uno de los apartados del problema. Hay apartados de Opción Múltiple (</t>
    </r>
    <r>
      <rPr>
        <b/>
        <sz val="11"/>
        <color rgb="FF005877"/>
        <rFont val="Calibri"/>
        <family val="2"/>
        <scheme val="minor"/>
      </rPr>
      <t>MC</t>
    </r>
    <r>
      <rPr>
        <sz val="11"/>
        <color rgb="FF005877"/>
        <rFont val="Calibri"/>
        <family val="2"/>
        <scheme val="minor"/>
      </rPr>
      <t>) y Numéricas (</t>
    </r>
    <r>
      <rPr>
        <b/>
        <sz val="11"/>
        <color rgb="FF005877"/>
        <rFont val="Calibri"/>
        <family val="2"/>
        <scheme val="minor"/>
      </rPr>
      <t>NM</t>
    </r>
    <r>
      <rPr>
        <sz val="11"/>
        <color rgb="FF005877"/>
        <rFont val="Calibri"/>
        <family val="2"/>
        <scheme val="minor"/>
      </rPr>
      <t xml:space="preserve">). También se pueden cambiar los % de las tolerancias en las respuestas Numéricas. </t>
    </r>
    <r>
      <rPr>
        <b/>
        <sz val="11"/>
        <color rgb="FF005877"/>
        <rFont val="Calibri"/>
        <family val="2"/>
        <scheme val="minor"/>
      </rPr>
      <t>Hay unos valores por defecto, pero se pueden modificar.</t>
    </r>
  </si>
  <si>
    <t>2.4.</t>
  </si>
  <si>
    <r>
      <t xml:space="preserve">Los </t>
    </r>
    <r>
      <rPr>
        <b/>
        <sz val="11"/>
        <color rgb="FFFF0000"/>
        <rFont val="Calibri"/>
        <family val="2"/>
        <scheme val="minor"/>
      </rPr>
      <t xml:space="preserve">Puntos Apartado </t>
    </r>
    <r>
      <rPr>
        <sz val="11"/>
        <color rgb="FF005877"/>
        <rFont val="Calibri"/>
        <family val="2"/>
        <scheme val="minor"/>
      </rPr>
      <t>son los puntos que queremos que tenga cada apartado dentro de una pregunta. Los apartados similares tendrán la misma putuación. Las preguntas Numéricas se puntúan más que las Opción Múltiple, pero se pueden cambiar.</t>
    </r>
  </si>
  <si>
    <t>2.5.</t>
  </si>
  <si>
    <t>2.6.</t>
  </si>
  <si>
    <r>
      <t xml:space="preserve">Las preguntas Opción Múltiple, se puede poner que la respuesta incorrecta reste puntos en la columna </t>
    </r>
    <r>
      <rPr>
        <b/>
        <sz val="11"/>
        <color rgb="FFFF0000"/>
        <rFont val="Calibri"/>
        <family val="2"/>
        <scheme val="minor"/>
      </rPr>
      <t>RESTO ERROR</t>
    </r>
    <r>
      <rPr>
        <sz val="11"/>
        <color rgb="FF005877"/>
        <rFont val="Calibri"/>
        <family val="2"/>
        <scheme val="minor"/>
      </rPr>
      <t>. Si no se quiere que reste puntos, poner a 0 o borrar.</t>
    </r>
  </si>
  <si>
    <t>2.7.</t>
  </si>
  <si>
    <t>3. DATOS FIJOS (para ver los datos de los problemas guardados)</t>
  </si>
  <si>
    <t xml:space="preserve">En esta hoja se muestran los datos con VALORES FIJOS, para preparar problemas y tenerlos guardados. </t>
  </si>
  <si>
    <r>
      <t xml:space="preserve">Para </t>
    </r>
    <r>
      <rPr>
        <b/>
        <sz val="11"/>
        <color rgb="FF005877"/>
        <rFont val="Calibri"/>
        <family val="2"/>
        <scheme val="minor"/>
      </rPr>
      <t>GENERAR</t>
    </r>
    <r>
      <rPr>
        <sz val="11"/>
        <color rgb="FF005877"/>
        <rFont val="Calibri"/>
        <family val="2"/>
        <scheme val="minor"/>
      </rPr>
      <t xml:space="preserve"> nuevos problemas se debe pulsar el botón </t>
    </r>
    <r>
      <rPr>
        <b/>
        <sz val="11"/>
        <color theme="5"/>
        <rFont val="Calibri"/>
        <family val="2"/>
        <scheme val="minor"/>
      </rPr>
      <t>Generar Datos</t>
    </r>
    <r>
      <rPr>
        <sz val="11"/>
        <color rgb="FF005877"/>
        <rFont val="Calibri"/>
        <family val="2"/>
        <scheme val="minor"/>
      </rPr>
      <t>.</t>
    </r>
  </si>
  <si>
    <r>
      <t xml:space="preserve">Para </t>
    </r>
    <r>
      <rPr>
        <b/>
        <sz val="11"/>
        <color rgb="FF005877"/>
        <rFont val="Calibri"/>
        <family val="2"/>
        <scheme val="minor"/>
      </rPr>
      <t>BORRAR</t>
    </r>
    <r>
      <rPr>
        <sz val="11"/>
        <color rgb="FF005877"/>
        <rFont val="Calibri"/>
        <family val="2"/>
        <scheme val="minor"/>
      </rPr>
      <t xml:space="preserve"> problemas se debe pulsar el botón </t>
    </r>
    <r>
      <rPr>
        <b/>
        <sz val="11"/>
        <color theme="5"/>
        <rFont val="Calibri"/>
        <family val="2"/>
        <scheme val="minor"/>
      </rPr>
      <t>Borrar Datos</t>
    </r>
    <r>
      <rPr>
        <sz val="11"/>
        <color rgb="FF005877"/>
        <rFont val="Calibri"/>
        <family val="2"/>
        <scheme val="minor"/>
      </rPr>
      <t>. Se pueden borrar TODOS los datos de una vez, una línea sola o varios a la vez. Si se quieren borrar varias líneas a la vez, hay que borrar el NOMBRE de las líneas que se quieren borrar.</t>
    </r>
  </si>
  <si>
    <r>
      <t>Si se necesita pasar a PDF los problemas con los datos en esta hoja, se puede hacer usando la macro  "</t>
    </r>
    <r>
      <rPr>
        <b/>
        <i/>
        <sz val="11"/>
        <color rgb="FFE87B00"/>
        <rFont val="Calibri"/>
        <family val="2"/>
        <scheme val="minor"/>
      </rPr>
      <t>IMPRIMIR_PDF</t>
    </r>
    <r>
      <rPr>
        <sz val="11"/>
        <color rgb="FF005877"/>
        <rFont val="Calibri"/>
        <family val="2"/>
        <scheme val="minor"/>
      </rPr>
      <t xml:space="preserve">". Si se quiere pasar a PDF solo algunos de los problemas con los datos en esta hoja, se tiene que poner </t>
    </r>
    <r>
      <rPr>
        <b/>
        <sz val="11"/>
        <color rgb="FF005877"/>
        <rFont val="Calibri"/>
        <family val="2"/>
        <scheme val="minor"/>
      </rPr>
      <t xml:space="preserve">NO </t>
    </r>
    <r>
      <rPr>
        <sz val="11"/>
        <color rgb="FF005877"/>
        <rFont val="Calibri"/>
        <family val="2"/>
        <scheme val="minor"/>
      </rPr>
      <t xml:space="preserve">en </t>
    </r>
    <r>
      <rPr>
        <b/>
        <sz val="11"/>
        <color rgb="FF005877"/>
        <rFont val="Calibri"/>
        <family val="2"/>
        <scheme val="minor"/>
      </rPr>
      <t>IMPRIMIR TODO</t>
    </r>
    <r>
      <rPr>
        <sz val="11"/>
        <color rgb="FF005877"/>
        <rFont val="Calibri"/>
        <family val="2"/>
        <scheme val="minor"/>
      </rPr>
      <t xml:space="preserve"> y una cruz en la fila de los problemas que se quieren imprimir, en la columna </t>
    </r>
    <r>
      <rPr>
        <b/>
        <sz val="11"/>
        <color rgb="FFFF0000"/>
        <rFont val="Calibri"/>
        <family val="2"/>
        <scheme val="minor"/>
      </rPr>
      <t>IMPRIMIR</t>
    </r>
    <r>
      <rPr>
        <sz val="11"/>
        <color rgb="FF005877"/>
        <rFont val="Calibri"/>
        <family val="2"/>
        <scheme val="minor"/>
      </rPr>
      <t xml:space="preserve">. El nombre del archivo con el que se quiere que se guarde, hay que ponerlo en la celda </t>
    </r>
    <r>
      <rPr>
        <b/>
        <sz val="11"/>
        <color rgb="FF005877"/>
        <rFont val="Calibri"/>
        <family val="2"/>
        <scheme val="minor"/>
      </rPr>
      <t>Nombre_Archivo</t>
    </r>
    <r>
      <rPr>
        <sz val="11"/>
        <color rgb="FF005877"/>
        <rFont val="Calibri"/>
        <family val="2"/>
        <scheme val="minor"/>
      </rPr>
      <t xml:space="preserve">. que está en la hoja </t>
    </r>
    <r>
      <rPr>
        <b/>
        <sz val="11"/>
        <color theme="4" tint="-0.249977111117893"/>
        <rFont val="Calibri"/>
        <family val="2"/>
        <scheme val="minor"/>
      </rPr>
      <t>PROBLEMA</t>
    </r>
    <r>
      <rPr>
        <sz val="11"/>
        <color rgb="FF005877"/>
        <rFont val="Calibri"/>
        <family val="2"/>
        <scheme val="minor"/>
      </rPr>
      <t>.</t>
    </r>
  </si>
  <si>
    <t>SE PUEDEN AÑADIR HOJAS EN EL ARCHIVO, SI SE ESTIMA OPORTUNO</t>
  </si>
  <si>
    <t>FastTest PlugIn</t>
  </si>
  <si>
    <t>Proporcion</t>
  </si>
  <si>
    <t>Nº -&gt;</t>
  </si>
  <si>
    <t xml:space="preserve"> kN   </t>
  </si>
  <si>
    <t xml:space="preserve"> kN·m   </t>
  </si>
  <si>
    <t xml:space="preserve"> kN/m   </t>
  </si>
  <si>
    <t xml:space="preserve"> m </t>
  </si>
  <si>
    <t>DRIVE</t>
  </si>
  <si>
    <t>Horiz</t>
  </si>
  <si>
    <t>IBB</t>
  </si>
  <si>
    <t>1) Las Reacciones en los apoyos (dos decimales y en valor absoluto) y su dirección.</t>
  </si>
  <si>
    <t>TOLERANCIA
2</t>
  </si>
  <si>
    <t>RESTO
ERROR</t>
  </si>
  <si>
    <t>%100%</t>
  </si>
  <si>
    <t>~%95%</t>
  </si>
  <si>
    <t>~%-10%</t>
  </si>
  <si>
    <t>Pórtico completo con distintas configuraciones del dibujo (por distancias)</t>
  </si>
  <si>
    <t>PUNTOS
apartado
⇓</t>
  </si>
  <si>
    <t>ENUNCIADO PARA SACAR LAS CARGAS</t>
  </si>
  <si>
    <t>ENUNCIADO PARA SACAR LOS DIAGRAMAS</t>
  </si>
  <si>
    <t>NM</t>
  </si>
  <si>
    <t>% tolerancia</t>
  </si>
  <si>
    <t>MC</t>
  </si>
  <si>
    <t xml:space="preserve"> 
</t>
  </si>
  <si>
    <t xml:space="preserve">En la barra AB el momento es de 
       {3:NM:%100%4880,76:24,4038#¡Muy bien!~%95%4880,76:97,6152#Bien, pero cuidado con los redondeos.~%85%4880,76:244,038#Valor aproximado, pero no exacto.~%-10%4880,76:488076#Incorrecto, repasa los cálculos.} kNm, a 
       {1:NM:%100%527:2,63335#¡Muy bien!~%95%527:10,5334#Bien, pero cuidado con los redondeos.~%85%527:26,3335#Valor aproximado, pero no exacto.~%-10%527:52667#Incorrecto, repasa los cálculos.} mm del nudo A. </t>
  </si>
  <si>
    <t>Cuidado al redondear.</t>
  </si>
  <si>
    <t>Incorrecto.</t>
  </si>
  <si>
    <t>" width="100"&gt;</t>
  </si>
  <si>
    <t>" width="300"&gt;</t>
  </si>
  <si>
    <t>TOLERANCIA 
1</t>
  </si>
  <si>
    <t>⇐ RETROALIM.</t>
  </si>
  <si>
    <t>⇐ % PUNT. NUM.</t>
  </si>
  <si>
    <r>
      <t xml:space="preserve">A las preguntas </t>
    </r>
    <r>
      <rPr>
        <b/>
        <sz val="11"/>
        <color rgb="FF005877"/>
        <rFont val="Calibri"/>
        <family val="2"/>
        <scheme val="minor"/>
      </rPr>
      <t>NUMÉRICAS</t>
    </r>
    <r>
      <rPr>
        <sz val="11"/>
        <color rgb="FF005877"/>
        <rFont val="Calibri"/>
        <family val="2"/>
        <scheme val="minor"/>
      </rPr>
      <t xml:space="preserve"> se les pueden poner </t>
    </r>
    <r>
      <rPr>
        <b/>
        <sz val="11"/>
        <color rgb="FFFF0000"/>
        <rFont val="Calibri"/>
        <family val="2"/>
        <scheme val="minor"/>
      </rPr>
      <t xml:space="preserve">Tolerancias </t>
    </r>
    <r>
      <rPr>
        <sz val="11"/>
        <color rgb="FF005877"/>
        <rFont val="Calibri"/>
        <family val="2"/>
        <scheme val="minor"/>
      </rPr>
      <t xml:space="preserve">(hasta 2). Si no se quieren usar, es suficiente con poner 0 o borrarlo. El % que se indica es la tolerancia que se le da a la solución numérica, con la nota de la Tolerancia indicada arriba de cada columna. Si se quiere que la </t>
    </r>
    <r>
      <rPr>
        <b/>
        <sz val="11"/>
        <color rgb="FF005877"/>
        <rFont val="Calibri"/>
        <family val="2"/>
        <scheme val="minor"/>
      </rPr>
      <t>Respuesta Incorrecta</t>
    </r>
    <r>
      <rPr>
        <sz val="11"/>
        <color rgb="FF005877"/>
        <rFont val="Calibri"/>
        <family val="2"/>
        <scheme val="minor"/>
      </rPr>
      <t xml:space="preserve">, fuera de las tolerancias anteriores, </t>
    </r>
    <r>
      <rPr>
        <b/>
        <sz val="11"/>
        <color rgb="FF005877"/>
        <rFont val="Calibri"/>
        <family val="2"/>
        <scheme val="minor"/>
      </rPr>
      <t>reste puntos</t>
    </r>
    <r>
      <rPr>
        <sz val="11"/>
        <color rgb="FF005877"/>
        <rFont val="Calibri"/>
        <family val="2"/>
        <scheme val="minor"/>
      </rPr>
      <t xml:space="preserve">, dar una tolerancia muy grande (poniendo un valor muy alto, por ejemplo 100000) en la columna </t>
    </r>
    <r>
      <rPr>
        <b/>
        <sz val="11"/>
        <color rgb="FFFF0000"/>
        <rFont val="Calibri"/>
        <family val="2"/>
        <scheme val="minor"/>
      </rPr>
      <t>RESTO ERROR</t>
    </r>
    <r>
      <rPr>
        <sz val="11"/>
        <color rgb="FF005877"/>
        <rFont val="Calibri"/>
        <family val="2"/>
        <scheme val="minor"/>
      </rPr>
      <t>.</t>
    </r>
  </si>
  <si>
    <t>FORMULA APOYO ALEATORIO</t>
  </si>
  <si>
    <t>1.7.</t>
  </si>
  <si>
    <t>Igualar cargas q</t>
  </si>
  <si>
    <t>Portico</t>
  </si>
  <si>
    <t>Igualar longitud</t>
  </si>
  <si>
    <t>Carga sobre la barra</t>
  </si>
  <si>
    <t>2) Los valores de los esfuerzos AXILES a los que está sometida la estructura (dos decimales y en valor absoluto) y sus diagramas.</t>
  </si>
  <si>
    <t>3) Los valores de los esfuerzos CORTANTES a los que está sometida la estructura (dos decimales y en valor absoluto) y sus diagramas.</t>
  </si>
  <si>
    <t>4) Los valores de los MOMENTOS FLECTORES a los que está sometida la estructura (dos decimales y en valor absoluto) y sus diagramas.</t>
  </si>
  <si>
    <t>Nº</t>
  </si>
  <si>
    <t>Tipo Figura</t>
  </si>
  <si>
    <t>https://i.ibb.co/BqWB5gx/Viga-Horizontal-Vol1-Movil-Fijo-Vol1.png</t>
  </si>
  <si>
    <t>Viga-Horizontal-Vol1-Movil-Fijo-Vol1</t>
  </si>
  <si>
    <t>Viga-Inclinada-Empotrado-Libre</t>
  </si>
  <si>
    <t>https://i.ibb.co/pRdXt36/Viga-Inclinada-Empotrado-Libre.png</t>
  </si>
  <si>
    <t>Viga-Inclinada-Libre-Empotrado</t>
  </si>
  <si>
    <t>https://i.ibb.co/3vJpMbZ/Viga-Inclinada-Libre-Empotrado.png</t>
  </si>
  <si>
    <t>A. Fijo</t>
  </si>
  <si>
    <t>Las fórmulas siguientes van con la función FILA por si incluyo filas nuevas encima de estas tablas.</t>
  </si>
  <si>
    <t>FIJO</t>
  </si>
  <si>
    <t>MOVIL</t>
  </si>
  <si>
    <t>EMP</t>
  </si>
  <si>
    <t>COLUMNA</t>
  </si>
  <si>
    <r>
      <t xml:space="preserve">Si tienes una estructura con la barra inclinada, puedes seleccionar si quieres que la </t>
    </r>
    <r>
      <rPr>
        <b/>
        <sz val="11"/>
        <color rgb="FF005877"/>
        <rFont val="Calibri"/>
        <family val="2"/>
        <scheme val="minor"/>
      </rPr>
      <t xml:space="preserve">carga </t>
    </r>
    <r>
      <rPr>
        <sz val="11"/>
        <color rgb="FF005877"/>
        <rFont val="Calibri"/>
        <family val="2"/>
        <scheme val="minor"/>
      </rPr>
      <t xml:space="preserve">unifórmemente repartida que pongas </t>
    </r>
    <r>
      <rPr>
        <b/>
        <sz val="11"/>
        <color rgb="FF005877"/>
        <rFont val="Calibri"/>
        <family val="2"/>
        <scheme val="minor"/>
      </rPr>
      <t>en la barra inclinada</t>
    </r>
    <r>
      <rPr>
        <sz val="11"/>
        <color rgb="FF005877"/>
        <rFont val="Calibri"/>
        <family val="2"/>
        <scheme val="minor"/>
      </rPr>
      <t xml:space="preserve"> (CDE) esté </t>
    </r>
    <r>
      <rPr>
        <b/>
        <sz val="11"/>
        <color rgb="FF005877"/>
        <rFont val="Calibri"/>
        <family val="2"/>
        <scheme val="minor"/>
      </rPr>
      <t xml:space="preserve">sobre la longitud de la barra </t>
    </r>
    <r>
      <rPr>
        <sz val="11"/>
        <color rgb="FF005877"/>
        <rFont val="Calibri"/>
        <family val="2"/>
        <scheme val="minor"/>
      </rPr>
      <t xml:space="preserve">o en </t>
    </r>
    <r>
      <rPr>
        <b/>
        <sz val="11"/>
        <color rgb="FF005877"/>
        <rFont val="Calibri"/>
        <family val="2"/>
        <scheme val="minor"/>
      </rPr>
      <t xml:space="preserve">la proyección de la carga </t>
    </r>
    <r>
      <rPr>
        <sz val="11"/>
        <color rgb="FF005877"/>
        <rFont val="Calibri"/>
        <family val="2"/>
        <scheme val="minor"/>
      </rPr>
      <t>(horizontal o vertical). NO es un dato que se guarde en los datos fijos, por lo que lo puedes cambiar en cualquier momento.</t>
    </r>
  </si>
  <si>
    <t>1.8.</t>
  </si>
  <si>
    <r>
      <t xml:space="preserve">Se pueden generar </t>
    </r>
    <r>
      <rPr>
        <b/>
        <sz val="11"/>
        <color rgb="FFFF0000"/>
        <rFont val="Calibri"/>
        <family val="2"/>
        <scheme val="minor"/>
      </rPr>
      <t>Datos Fijos</t>
    </r>
    <r>
      <rPr>
        <b/>
        <sz val="11"/>
        <color rgb="FF005877"/>
        <rFont val="Calibri"/>
        <family val="2"/>
        <scheme val="minor"/>
      </rPr>
      <t xml:space="preserve"> </t>
    </r>
    <r>
      <rPr>
        <sz val="11"/>
        <color rgb="FF005877"/>
        <rFont val="Calibri"/>
        <family val="2"/>
        <scheme val="minor"/>
      </rPr>
      <t xml:space="preserve">de diferentes tipos de estructuras. Para ello, debes seleccionar </t>
    </r>
    <r>
      <rPr>
        <b/>
        <sz val="11"/>
        <color rgb="FF005877"/>
        <rFont val="Calibri"/>
        <family val="2"/>
        <scheme val="minor"/>
      </rPr>
      <t xml:space="preserve">Datos Fijos NO </t>
    </r>
    <r>
      <rPr>
        <sz val="11"/>
        <color rgb="FF005877"/>
        <rFont val="Calibri"/>
        <family val="2"/>
        <scheme val="minor"/>
      </rPr>
      <t xml:space="preserve">y el </t>
    </r>
    <r>
      <rPr>
        <b/>
        <sz val="11"/>
        <color rgb="FFFF0000"/>
        <rFont val="Calibri"/>
        <family val="2"/>
        <scheme val="minor"/>
      </rPr>
      <t xml:space="preserve">Tipo de Estructura </t>
    </r>
    <r>
      <rPr>
        <sz val="11"/>
        <color rgb="FF005877"/>
        <rFont val="Calibri"/>
        <family val="2"/>
        <scheme val="minor"/>
      </rPr>
      <t xml:space="preserve">sobre la que quieres generar nuevos Datos Fijos.  Puedes seleccionar si quieres o no que los datos se generen con longtudes/cargas iguales, para un mismo tramo.
Una vez creados, los valores fijos están rellenos con unos datos concretos en la hoja </t>
    </r>
    <r>
      <rPr>
        <b/>
        <sz val="11"/>
        <color rgb="FF00B0F0"/>
        <rFont val="Calibri"/>
        <family val="2"/>
        <scheme val="minor"/>
      </rPr>
      <t>DATOS FIJOS</t>
    </r>
    <r>
      <rPr>
        <b/>
        <sz val="11"/>
        <color rgb="FF005877"/>
        <rFont val="Calibri"/>
        <family val="2"/>
        <scheme val="minor"/>
      </rPr>
      <t xml:space="preserve">. </t>
    </r>
    <r>
      <rPr>
        <sz val="11"/>
        <color rgb="FF005877"/>
        <rFont val="Calibri"/>
        <family val="2"/>
        <scheme val="minor"/>
      </rPr>
      <t xml:space="preserve">Se pueden </t>
    </r>
    <r>
      <rPr>
        <b/>
        <sz val="11"/>
        <color rgb="FF005877"/>
        <rFont val="Calibri"/>
        <family val="2"/>
        <scheme val="minor"/>
      </rPr>
      <t xml:space="preserve">seleccionar </t>
    </r>
    <r>
      <rPr>
        <sz val="11"/>
        <color rgb="FF005877"/>
        <rFont val="Calibri"/>
        <family val="2"/>
        <scheme val="minor"/>
      </rPr>
      <t xml:space="preserve">los datos con los que se quiere trabajar </t>
    </r>
    <r>
      <rPr>
        <b/>
        <sz val="11"/>
        <color rgb="FF005877"/>
        <rFont val="Calibri"/>
        <family val="2"/>
        <scheme val="minor"/>
      </rPr>
      <t xml:space="preserve">de la lista </t>
    </r>
    <r>
      <rPr>
        <sz val="11"/>
        <color rgb="FF005877"/>
        <rFont val="Calibri"/>
        <family val="2"/>
        <scheme val="minor"/>
      </rPr>
      <t xml:space="preserve">desplegable </t>
    </r>
    <r>
      <rPr>
        <b/>
        <sz val="11"/>
        <color rgb="FFFF0000"/>
        <rFont val="Calibri"/>
        <family val="2"/>
        <scheme val="minor"/>
      </rPr>
      <t>Lista Datos Fijos</t>
    </r>
    <r>
      <rPr>
        <b/>
        <sz val="11"/>
        <color rgb="FF005877"/>
        <rFont val="Calibri"/>
        <family val="2"/>
        <scheme val="minor"/>
      </rPr>
      <t>.</t>
    </r>
  </si>
  <si>
    <t>Nº a GENERAR</t>
  </si>
  <si>
    <t>/ 5</t>
  </si>
  <si>
    <t>Nº Pb Aleat. a imprimir</t>
  </si>
  <si>
    <t>Tipo Fijo</t>
  </si>
  <si>
    <t>Tipo Var</t>
  </si>
  <si>
    <t>Nombre Fijo</t>
  </si>
  <si>
    <t>Nombre Var</t>
  </si>
  <si>
    <t>Nº Inicial a Exportar de DATOS FIJOS</t>
  </si>
  <si>
    <t>Dato_FTP</t>
  </si>
  <si>
    <t>Nombre</t>
  </si>
  <si>
    <r>
      <t xml:space="preserve">Si se quieren </t>
    </r>
    <r>
      <rPr>
        <b/>
        <u/>
        <sz val="11"/>
        <color rgb="FF005877"/>
        <rFont val="Calibri"/>
        <family val="2"/>
        <scheme val="minor"/>
      </rPr>
      <t>Exportar a FastTest PlugIn:</t>
    </r>
    <r>
      <rPr>
        <sz val="11"/>
        <color rgb="FF005877"/>
        <rFont val="Calibri"/>
        <family val="2"/>
        <scheme val="minor"/>
      </rPr>
      <t xml:space="preserve"> 
   1) Abrir la aplicación FastTest PlugIn. 
   3) Seleccionar el tipo de </t>
    </r>
    <r>
      <rPr>
        <b/>
        <sz val="11"/>
        <color rgb="FFFF0000"/>
        <rFont val="Calibri"/>
        <family val="2"/>
        <scheme val="minor"/>
      </rPr>
      <t xml:space="preserve">Salto de Línea </t>
    </r>
    <r>
      <rPr>
        <sz val="11"/>
        <color rgb="FF005877"/>
        <rFont val="Calibri"/>
        <family val="2"/>
        <scheme val="minor"/>
      </rPr>
      <t xml:space="preserve">que se quiere usar al exportar los problemas </t>
    </r>
    <r>
      <rPr>
        <b/>
        <sz val="11"/>
        <color rgb="FF005877"/>
        <rFont val="Calibri"/>
        <family val="2"/>
        <scheme val="minor"/>
      </rPr>
      <t>&lt;br&gt;</t>
    </r>
    <r>
      <rPr>
        <sz val="11"/>
        <color rgb="FF005877"/>
        <rFont val="Calibri"/>
        <family val="2"/>
        <scheme val="minor"/>
      </rPr>
      <t xml:space="preserve"> o </t>
    </r>
    <r>
      <rPr>
        <b/>
        <sz val="11"/>
        <color rgb="FF005877"/>
        <rFont val="Calibri"/>
        <family val="2"/>
        <scheme val="minor"/>
      </rPr>
      <t>&lt;p&gt;</t>
    </r>
    <r>
      <rPr>
        <sz val="11"/>
        <color rgb="FF005877"/>
        <rFont val="Calibri"/>
        <family val="2"/>
        <scheme val="minor"/>
      </rPr>
      <t xml:space="preserve">.
   3) En la aplicación </t>
    </r>
    <r>
      <rPr>
        <b/>
        <i/>
        <sz val="11"/>
        <color rgb="FF005877"/>
        <rFont val="Calibri"/>
        <family val="2"/>
        <scheme val="minor"/>
      </rPr>
      <t>FastTest PlugIn</t>
    </r>
    <r>
      <rPr>
        <sz val="11"/>
        <color rgb="FF005877"/>
        <rFont val="Calibri"/>
        <family val="2"/>
        <scheme val="minor"/>
      </rPr>
      <t xml:space="preserve">, en el Formulario </t>
    </r>
    <r>
      <rPr>
        <i/>
        <u/>
        <sz val="11"/>
        <color rgb="FF005877"/>
        <rFont val="Calibri"/>
        <family val="2"/>
        <scheme val="minor"/>
      </rPr>
      <t>CLOZE</t>
    </r>
    <r>
      <rPr>
        <sz val="11"/>
        <color rgb="FF005877"/>
        <rFont val="Calibri"/>
        <family val="2"/>
        <scheme val="minor"/>
      </rPr>
      <t>, escribir en la celda 
     - Imagen:        "</t>
    </r>
    <r>
      <rPr>
        <i/>
        <sz val="11"/>
        <color rgb="FF005877"/>
        <rFont val="Calibri"/>
        <family val="2"/>
        <scheme val="minor"/>
      </rPr>
      <t>='</t>
    </r>
    <r>
      <rPr>
        <i/>
        <u/>
        <sz val="11"/>
        <color rgb="FF005877"/>
        <rFont val="Calibri"/>
        <family val="2"/>
        <scheme val="minor"/>
      </rPr>
      <t>Problemas - PORTICO T1</t>
    </r>
    <r>
      <rPr>
        <i/>
        <sz val="11"/>
        <color rgb="FF005877"/>
        <rFont val="Calibri"/>
        <family val="2"/>
        <scheme val="minor"/>
      </rPr>
      <t>.xlsm'!Imagen_FTP</t>
    </r>
    <r>
      <rPr>
        <sz val="11"/>
        <color rgb="FF005877"/>
        <rFont val="Calibri"/>
        <family val="2"/>
        <scheme val="minor"/>
      </rPr>
      <t>"       (</t>
    </r>
    <r>
      <rPr>
        <u/>
        <sz val="11"/>
        <color rgb="FF005877"/>
        <rFont val="Calibri"/>
        <family val="2"/>
        <scheme val="minor"/>
      </rPr>
      <t>Nombre este archivo</t>
    </r>
    <r>
      <rPr>
        <sz val="11"/>
        <color rgb="FF005877"/>
        <rFont val="Calibri"/>
        <family val="2"/>
        <scheme val="minor"/>
      </rPr>
      <t xml:space="preserve"> + Imagen_FTP)
     - Enunciado:   "</t>
    </r>
    <r>
      <rPr>
        <i/>
        <sz val="11"/>
        <color rgb="FF005877"/>
        <rFont val="Calibri"/>
        <family val="2"/>
        <scheme val="minor"/>
      </rPr>
      <t>='</t>
    </r>
    <r>
      <rPr>
        <i/>
        <u/>
        <sz val="11"/>
        <color rgb="FF005877"/>
        <rFont val="Calibri"/>
        <family val="2"/>
        <scheme val="minor"/>
      </rPr>
      <t>Problemas - PORTICO T1</t>
    </r>
    <r>
      <rPr>
        <i/>
        <sz val="11"/>
        <color rgb="FF005877"/>
        <rFont val="Calibri"/>
        <family val="2"/>
        <scheme val="minor"/>
      </rPr>
      <t xml:space="preserve">.xlsm'!Enunciado_FTP"  </t>
    </r>
    <r>
      <rPr>
        <sz val="11"/>
        <color rgb="FF005877"/>
        <rFont val="Calibri"/>
        <family val="2"/>
        <scheme val="minor"/>
      </rPr>
      <t>(</t>
    </r>
    <r>
      <rPr>
        <u/>
        <sz val="11"/>
        <color rgb="FF005877"/>
        <rFont val="Calibri"/>
        <family val="2"/>
        <scheme val="minor"/>
      </rPr>
      <t>Nombre este archivo</t>
    </r>
    <r>
      <rPr>
        <sz val="11"/>
        <color rgb="FF005877"/>
        <rFont val="Calibri"/>
        <family val="2"/>
        <scheme val="minor"/>
      </rPr>
      <t xml:space="preserve"> + Enunciado_FTP)
     - Descripción: "</t>
    </r>
    <r>
      <rPr>
        <i/>
        <sz val="11"/>
        <color rgb="FF005877"/>
        <rFont val="Calibri"/>
        <family val="2"/>
        <scheme val="minor"/>
      </rPr>
      <t>='</t>
    </r>
    <r>
      <rPr>
        <i/>
        <u/>
        <sz val="11"/>
        <color rgb="FF005877"/>
        <rFont val="Calibri"/>
        <family val="2"/>
        <scheme val="minor"/>
      </rPr>
      <t>Problemas - PORTICO T1</t>
    </r>
    <r>
      <rPr>
        <i/>
        <sz val="11"/>
        <color rgb="FF005877"/>
        <rFont val="Calibri"/>
        <family val="2"/>
        <scheme val="minor"/>
      </rPr>
      <t>.xlsm'!Descripcion_FTP</t>
    </r>
    <r>
      <rPr>
        <sz val="11"/>
        <color rgb="FF005877"/>
        <rFont val="Calibri"/>
        <family val="2"/>
        <scheme val="minor"/>
      </rPr>
      <t>"(</t>
    </r>
    <r>
      <rPr>
        <u/>
        <sz val="11"/>
        <color rgb="FF005877"/>
        <rFont val="Calibri"/>
        <family val="2"/>
        <scheme val="minor"/>
      </rPr>
      <t>Nombre este archivo</t>
    </r>
    <r>
      <rPr>
        <sz val="11"/>
        <color rgb="FF005877"/>
        <rFont val="Calibri"/>
        <family val="2"/>
        <scheme val="minor"/>
      </rPr>
      <t xml:space="preserve"> + Descripcion_FTP) 
   3) Según qué datos se quieren exportar:
   3.1) Seleccionar en </t>
    </r>
    <r>
      <rPr>
        <b/>
        <sz val="11"/>
        <color rgb="FFFF0000"/>
        <rFont val="Calibri"/>
        <family val="2"/>
        <scheme val="minor"/>
      </rPr>
      <t>DATOS FIJOS</t>
    </r>
    <r>
      <rPr>
        <sz val="11"/>
        <color rgb="FF005877"/>
        <rFont val="Calibri"/>
        <family val="2"/>
        <scheme val="minor"/>
      </rPr>
      <t xml:space="preserve">: </t>
    </r>
    <r>
      <rPr>
        <b/>
        <sz val="11"/>
        <color rgb="FF005877"/>
        <rFont val="Calibri"/>
        <family val="2"/>
        <scheme val="minor"/>
      </rPr>
      <t xml:space="preserve">Sí
</t>
    </r>
    <r>
      <rPr>
        <sz val="11"/>
        <color rgb="FF005877"/>
        <rFont val="Calibri"/>
        <family val="2"/>
        <scheme val="minor"/>
      </rPr>
      <t xml:space="preserve">     - </t>
    </r>
    <r>
      <rPr>
        <u/>
        <sz val="11"/>
        <color rgb="FF005877"/>
        <rFont val="Calibri"/>
        <family val="2"/>
        <scheme val="minor"/>
      </rPr>
      <t xml:space="preserve">Actualizar </t>
    </r>
    <r>
      <rPr>
        <sz val="11"/>
        <color rgb="FF005877"/>
        <rFont val="Calibri"/>
        <family val="2"/>
        <scheme val="minor"/>
      </rPr>
      <t xml:space="preserve">el </t>
    </r>
    <r>
      <rPr>
        <b/>
        <sz val="11"/>
        <color rgb="FF005877"/>
        <rFont val="Calibri"/>
        <family val="2"/>
        <scheme val="minor"/>
      </rPr>
      <t xml:space="preserve">Nombre del Archivo </t>
    </r>
    <r>
      <rPr>
        <sz val="11"/>
        <color rgb="FF005877"/>
        <rFont val="Calibri"/>
        <family val="2"/>
        <scheme val="minor"/>
      </rPr>
      <t xml:space="preserve">de la aplicación, sin la extensión (por defecto </t>
    </r>
    <r>
      <rPr>
        <b/>
        <i/>
        <sz val="11"/>
        <color rgb="FFFF0000"/>
        <rFont val="Calibri"/>
        <family val="2"/>
        <scheme val="minor"/>
      </rPr>
      <t>FastTest PlugIn</t>
    </r>
    <r>
      <rPr>
        <sz val="11"/>
        <color rgb="FF005877"/>
        <rFont val="Calibri"/>
        <family val="2"/>
        <scheme val="minor"/>
      </rPr>
      <t xml:space="preserve">).
     - </t>
    </r>
    <r>
      <rPr>
        <u/>
        <sz val="11"/>
        <color rgb="FF005877"/>
        <rFont val="Calibri"/>
        <family val="2"/>
        <scheme val="minor"/>
      </rPr>
      <t xml:space="preserve">Datos almacenados en la tabla </t>
    </r>
    <r>
      <rPr>
        <b/>
        <u/>
        <sz val="11"/>
        <color rgb="FF005877"/>
        <rFont val="Calibri"/>
        <family val="2"/>
        <scheme val="minor"/>
      </rPr>
      <t>DATOS FIJOS</t>
    </r>
    <r>
      <rPr>
        <sz val="11"/>
        <color rgb="FF005877"/>
        <rFont val="Calibri"/>
        <family val="2"/>
        <scheme val="minor"/>
      </rPr>
      <t xml:space="preserve">: hay que escribir en </t>
    </r>
    <r>
      <rPr>
        <b/>
        <sz val="11"/>
        <color rgb="FFFF0000"/>
        <rFont val="Calibri"/>
        <family val="2"/>
        <scheme val="minor"/>
      </rPr>
      <t>Lista Datos Fijos</t>
    </r>
    <r>
      <rPr>
        <sz val="11"/>
        <color rgb="FF005877"/>
        <rFont val="Calibri"/>
        <family val="2"/>
        <scheme val="minor"/>
      </rPr>
      <t>: "</t>
    </r>
    <r>
      <rPr>
        <i/>
        <sz val="11"/>
        <color rgb="FF005877"/>
        <rFont val="Calibri"/>
        <family val="2"/>
        <scheme val="minor"/>
      </rPr>
      <t>=Dato_FTP</t>
    </r>
    <r>
      <rPr>
        <sz val="11"/>
        <color rgb="FF005877"/>
        <rFont val="Calibri"/>
        <family val="2"/>
        <scheme val="minor"/>
      </rPr>
      <t xml:space="preserve">" y escribir en </t>
    </r>
    <r>
      <rPr>
        <b/>
        <sz val="11"/>
        <color rgb="FF005877"/>
        <rFont val="Calibri"/>
        <family val="2"/>
        <scheme val="minor"/>
      </rPr>
      <t>N_Preg_FTP_Inicial</t>
    </r>
    <r>
      <rPr>
        <sz val="11"/>
        <color rgb="FF005877"/>
        <rFont val="Calibri"/>
        <family val="2"/>
        <scheme val="minor"/>
      </rPr>
      <t xml:space="preserve"> el número de la pregunta inicial que hay en FTP (valor constante, para exportar el primero poner el valor que se muestra en la celda de la derecha). Si se quieren exportar a partir de un Dato Determinado de la tabla, escirbirlo en el número </t>
    </r>
    <r>
      <rPr>
        <b/>
        <sz val="11"/>
        <color rgb="FFFF0000"/>
        <rFont val="Calibri"/>
        <family val="2"/>
        <scheme val="minor"/>
      </rPr>
      <t>Nº Inicial a Exportar de DATOS FIJOS</t>
    </r>
    <r>
      <rPr>
        <sz val="11"/>
        <color rgb="FF005877"/>
        <rFont val="Calibri"/>
        <family val="2"/>
        <scheme val="minor"/>
      </rPr>
      <t xml:space="preserve">. 
   3.2) Seleccionar en </t>
    </r>
    <r>
      <rPr>
        <b/>
        <sz val="11"/>
        <color rgb="FFFF0000"/>
        <rFont val="Calibri"/>
        <family val="2"/>
        <scheme val="minor"/>
      </rPr>
      <t>DATOS FIJOS</t>
    </r>
    <r>
      <rPr>
        <b/>
        <sz val="11"/>
        <color rgb="FF005877"/>
        <rFont val="Calibri"/>
        <family val="2"/>
        <scheme val="minor"/>
      </rPr>
      <t>: No</t>
    </r>
    <r>
      <rPr>
        <sz val="11"/>
        <color rgb="FF005877"/>
        <rFont val="Calibri"/>
        <family val="2"/>
        <scheme val="minor"/>
      </rPr>
      <t xml:space="preserve">
     - </t>
    </r>
    <r>
      <rPr>
        <u/>
        <sz val="11"/>
        <color rgb="FF005877"/>
        <rFont val="Calibri"/>
        <family val="2"/>
        <scheme val="minor"/>
      </rPr>
      <t xml:space="preserve">Datos </t>
    </r>
    <r>
      <rPr>
        <b/>
        <u/>
        <sz val="11"/>
        <color rgb="FF005877"/>
        <rFont val="Calibri"/>
        <family val="2"/>
        <scheme val="minor"/>
      </rPr>
      <t xml:space="preserve">VARIABLES </t>
    </r>
    <r>
      <rPr>
        <u/>
        <sz val="11"/>
        <color rgb="FF005877"/>
        <rFont val="Calibri"/>
        <family val="2"/>
        <scheme val="minor"/>
      </rPr>
      <t>para un tipo de estructura</t>
    </r>
    <r>
      <rPr>
        <sz val="11"/>
        <color rgb="FF005877"/>
        <rFont val="Calibri"/>
        <family val="2"/>
        <scheme val="minor"/>
      </rPr>
      <t xml:space="preserve">:  seleccionar el </t>
    </r>
    <r>
      <rPr>
        <b/>
        <sz val="11"/>
        <color rgb="FF005877"/>
        <rFont val="Calibri"/>
        <family val="2"/>
        <scheme val="minor"/>
      </rPr>
      <t xml:space="preserve">Tipo de Estructura </t>
    </r>
    <r>
      <rPr>
        <sz val="11"/>
        <color rgb="FF005877"/>
        <rFont val="Calibri"/>
        <family val="2"/>
        <scheme val="minor"/>
      </rPr>
      <t xml:space="preserve">del que se quieren generar los datos aleatorios.
     - Si se quieren generar los datos aleatorios con cargas uniformes y longitudes similares, en las celdas </t>
    </r>
    <r>
      <rPr>
        <b/>
        <sz val="11"/>
        <color rgb="FFFF0000"/>
        <rFont val="Calibri"/>
        <family val="2"/>
        <scheme val="minor"/>
      </rPr>
      <t>Igualar cargas q</t>
    </r>
    <r>
      <rPr>
        <sz val="11"/>
        <color rgb="FF005877"/>
        <rFont val="Calibri"/>
        <family val="2"/>
        <scheme val="minor"/>
      </rPr>
      <t xml:space="preserve"> e </t>
    </r>
    <r>
      <rPr>
        <b/>
        <sz val="11"/>
        <color rgb="FFFF0000"/>
        <rFont val="Calibri"/>
        <family val="2"/>
        <scheme val="minor"/>
      </rPr>
      <t>Igualar Longitud</t>
    </r>
    <r>
      <rPr>
        <sz val="11"/>
        <color rgb="FF005877"/>
        <rFont val="Calibri"/>
        <family val="2"/>
        <scheme val="minor"/>
      </rPr>
      <t xml:space="preserve">, seleccionar </t>
    </r>
    <r>
      <rPr>
        <b/>
        <sz val="11"/>
        <color rgb="FF005877"/>
        <rFont val="Calibri"/>
        <family val="2"/>
        <scheme val="minor"/>
      </rPr>
      <t xml:space="preserve">Sí </t>
    </r>
    <r>
      <rPr>
        <sz val="11"/>
        <color rgb="FF005877"/>
        <rFont val="Calibri"/>
        <family val="2"/>
        <scheme val="minor"/>
      </rPr>
      <t xml:space="preserve">o </t>
    </r>
    <r>
      <rPr>
        <b/>
        <sz val="11"/>
        <color rgb="FF005877"/>
        <rFont val="Calibri"/>
        <family val="2"/>
        <scheme val="minor"/>
      </rPr>
      <t>No</t>
    </r>
    <r>
      <rPr>
        <sz val="11"/>
        <color rgb="FF005877"/>
        <rFont val="Calibri"/>
        <family val="2"/>
        <scheme val="minor"/>
      </rPr>
      <t xml:space="preserve">
    4) En la aplicación </t>
    </r>
    <r>
      <rPr>
        <b/>
        <i/>
        <sz val="11"/>
        <color rgb="FF005877"/>
        <rFont val="Calibri"/>
        <family val="2"/>
        <scheme val="minor"/>
      </rPr>
      <t>FastTest PlugIn</t>
    </r>
    <r>
      <rPr>
        <sz val="11"/>
        <color rgb="FF005877"/>
        <rFont val="Calibri"/>
        <family val="2"/>
        <scheme val="minor"/>
      </rPr>
      <t xml:space="preserve">, guardar tantas preguntas como problemas se quieran generar para Moodle. Para Datos Fijos, el número máximo es el máximo que se tengan en la tabla </t>
    </r>
    <r>
      <rPr>
        <b/>
        <sz val="11"/>
        <color rgb="FF005877"/>
        <rFont val="Calibri"/>
        <family val="2"/>
        <scheme val="minor"/>
      </rPr>
      <t>DATOS FIJOS</t>
    </r>
    <r>
      <rPr>
        <sz val="11"/>
        <color rgb="FF005877"/>
        <rFont val="Calibri"/>
        <family val="2"/>
        <scheme val="minor"/>
      </rPr>
      <t xml:space="preserve">.
    5) En la hoja </t>
    </r>
    <r>
      <rPr>
        <b/>
        <sz val="11"/>
        <color rgb="FF005877"/>
        <rFont val="Calibri"/>
        <family val="2"/>
        <scheme val="minor"/>
      </rPr>
      <t xml:space="preserve">RESULTADOS - FTP </t>
    </r>
    <r>
      <rPr>
        <sz val="11"/>
        <color rgb="FF005877"/>
        <rFont val="Calibri"/>
        <family val="2"/>
        <scheme val="minor"/>
      </rPr>
      <t xml:space="preserve">indicar las tolerancias y puntuaciones que se quieren dar a cada apartado. Si se quieren puntuar negativamente las respuestas numéricas incorrectas, indicar un valor muy grande en la tolerancia. </t>
    </r>
  </si>
  <si>
    <t>='[Problemas FTP - PORTICO T1.xlsm'!Enunciado_FTP</t>
  </si>
  <si>
    <r>
      <t xml:space="preserve">Para usar estos datos con </t>
    </r>
    <r>
      <rPr>
        <b/>
        <sz val="11"/>
        <color theme="5"/>
        <rFont val="Calibri"/>
        <family val="2"/>
        <scheme val="minor"/>
      </rPr>
      <t>FastTest PlugIn</t>
    </r>
    <r>
      <rPr>
        <sz val="11"/>
        <color rgb="FF005877"/>
        <rFont val="Calibri"/>
        <family val="2"/>
        <scheme val="minor"/>
      </rPr>
      <t xml:space="preserve">, se debe escribir en el </t>
    </r>
    <r>
      <rPr>
        <b/>
        <sz val="11"/>
        <color rgb="FF005877"/>
        <rFont val="Calibri"/>
        <family val="2"/>
        <scheme val="minor"/>
      </rPr>
      <t xml:space="preserve">Enunciado, Imagen y Descripción de la Pregunta </t>
    </r>
    <r>
      <rPr>
        <sz val="11"/>
        <color rgb="FF005877"/>
        <rFont val="Calibri"/>
        <family val="2"/>
        <scheme val="minor"/>
      </rPr>
      <t xml:space="preserve">de las preguntas tipo </t>
    </r>
    <r>
      <rPr>
        <b/>
        <sz val="11"/>
        <color rgb="FF005877"/>
        <rFont val="Calibri"/>
        <family val="2"/>
        <scheme val="minor"/>
      </rPr>
      <t>CLOZE</t>
    </r>
    <r>
      <rPr>
        <sz val="11"/>
        <color rgb="FF005877"/>
        <rFont val="Calibri"/>
        <family val="2"/>
        <scheme val="minor"/>
      </rPr>
      <t xml:space="preserve">, el nombre del archivo (entre </t>
    </r>
    <r>
      <rPr>
        <b/>
        <i/>
        <sz val="11"/>
        <color rgb="FFFF0000"/>
        <rFont val="Calibri"/>
        <family val="2"/>
        <scheme val="minor"/>
      </rPr>
      <t>'  '!</t>
    </r>
    <r>
      <rPr>
        <sz val="11"/>
        <color rgb="FF005877"/>
        <rFont val="Calibri"/>
        <family val="2"/>
        <scheme val="minor"/>
      </rPr>
      <t xml:space="preserve">), seguido del nombre de la celda  </t>
    </r>
    <r>
      <rPr>
        <b/>
        <i/>
        <sz val="11"/>
        <color rgb="FF005877"/>
        <rFont val="Calibri"/>
        <family val="2"/>
        <scheme val="minor"/>
      </rPr>
      <t xml:space="preserve">Enunciado_FTP </t>
    </r>
    <r>
      <rPr>
        <i/>
        <sz val="11"/>
        <color rgb="FF005877"/>
        <rFont val="Calibri"/>
        <family val="2"/>
        <scheme val="minor"/>
      </rPr>
      <t xml:space="preserve">o </t>
    </r>
    <r>
      <rPr>
        <b/>
        <i/>
        <sz val="11"/>
        <color rgb="FF005877"/>
        <rFont val="Calibri"/>
        <family val="2"/>
        <scheme val="minor"/>
      </rPr>
      <t xml:space="preserve">Imagen_FTP </t>
    </r>
    <r>
      <rPr>
        <i/>
        <sz val="11"/>
        <color rgb="FF005877"/>
        <rFont val="Calibri"/>
        <family val="2"/>
        <scheme val="minor"/>
      </rPr>
      <t xml:space="preserve">o </t>
    </r>
    <r>
      <rPr>
        <b/>
        <i/>
        <sz val="11"/>
        <color rgb="FF005877"/>
        <rFont val="Calibri"/>
        <family val="2"/>
        <scheme val="minor"/>
      </rPr>
      <t>Descripcion_FTP</t>
    </r>
    <r>
      <rPr>
        <sz val="11"/>
        <color rgb="FF005877"/>
        <rFont val="Calibri"/>
        <family val="2"/>
        <scheme val="minor"/>
      </rPr>
      <t>:</t>
    </r>
  </si>
  <si>
    <t>='[Problemas FTP - PORTICO T1.xlsm'!Imagen_FTP</t>
  </si>
  <si>
    <t>='[Problemas FTP - PORTICO T1.xlsm'!Descripcion_FTP</t>
  </si>
  <si>
    <r>
      <t>=</t>
    </r>
    <r>
      <rPr>
        <b/>
        <i/>
        <sz val="11"/>
        <color rgb="FFFF0000"/>
        <rFont val="Calibri"/>
        <family val="2"/>
        <scheme val="minor"/>
      </rPr>
      <t>'</t>
    </r>
    <r>
      <rPr>
        <b/>
        <i/>
        <sz val="11"/>
        <color rgb="FF005877"/>
        <rFont val="Calibri"/>
        <family val="2"/>
        <scheme val="minor"/>
      </rPr>
      <t>Nombre archivo.xlsm</t>
    </r>
    <r>
      <rPr>
        <b/>
        <i/>
        <sz val="11"/>
        <color rgb="FFFF0000"/>
        <rFont val="Calibri"/>
        <family val="2"/>
        <scheme val="minor"/>
      </rPr>
      <t>'!</t>
    </r>
    <r>
      <rPr>
        <b/>
        <i/>
        <sz val="11"/>
        <color rgb="FF005877"/>
        <rFont val="Calibri"/>
        <family val="2"/>
        <scheme val="minor"/>
      </rPr>
      <t>Nombre_Celda</t>
    </r>
  </si>
  <si>
    <r>
      <t xml:space="preserve">La celda </t>
    </r>
    <r>
      <rPr>
        <b/>
        <sz val="11"/>
        <color rgb="FFFF0000"/>
        <rFont val="Calibri"/>
        <family val="2"/>
        <scheme val="minor"/>
      </rPr>
      <t>Datos Fijos</t>
    </r>
    <r>
      <rPr>
        <b/>
        <sz val="11"/>
        <color rgb="FF005877"/>
        <rFont val="Calibri"/>
        <family val="2"/>
        <scheme val="minor"/>
      </rPr>
      <t xml:space="preserve"> </t>
    </r>
    <r>
      <rPr>
        <sz val="11"/>
        <color rgb="FF005877"/>
        <rFont val="Calibri"/>
        <family val="2"/>
        <scheme val="minor"/>
      </rPr>
      <t xml:space="preserve">(SÍ/NO), es para decir si queremos que los datos sean FIJOS de la hoja </t>
    </r>
    <r>
      <rPr>
        <b/>
        <sz val="11"/>
        <color rgb="FF005877"/>
        <rFont val="Calibri"/>
        <family val="2"/>
        <scheme val="minor"/>
      </rPr>
      <t xml:space="preserve">DATOS FIJOS </t>
    </r>
    <r>
      <rPr>
        <sz val="11"/>
        <color rgb="FF005877"/>
        <rFont val="Calibri"/>
        <family val="2"/>
        <scheme val="minor"/>
      </rPr>
      <t xml:space="preserve">o que salgan los </t>
    </r>
    <r>
      <rPr>
        <b/>
        <sz val="11"/>
        <color rgb="FF005877"/>
        <rFont val="Calibri"/>
        <family val="2"/>
        <scheme val="minor"/>
      </rPr>
      <t xml:space="preserve">VALORES ALEATORIOS </t>
    </r>
    <r>
      <rPr>
        <sz val="11"/>
        <color rgb="FF005877"/>
        <rFont val="Calibri"/>
        <family val="2"/>
        <scheme val="minor"/>
      </rPr>
      <t xml:space="preserve">con los que se ha configurado el problema. En el archivo ORIGEN hay 1 problema de cada tipo de estructura (27 tipos).
Los valores fijos están rellenos con unos datos concretos en la hoja </t>
    </r>
    <r>
      <rPr>
        <b/>
        <sz val="11"/>
        <color rgb="FF00B0F0"/>
        <rFont val="Calibri"/>
        <family val="2"/>
        <scheme val="minor"/>
      </rPr>
      <t>DATOS FIJOS</t>
    </r>
    <r>
      <rPr>
        <b/>
        <sz val="11"/>
        <color rgb="FF005877"/>
        <rFont val="Calibri"/>
        <family val="2"/>
        <scheme val="minor"/>
      </rPr>
      <t xml:space="preserve">. </t>
    </r>
    <r>
      <rPr>
        <sz val="11"/>
        <color rgb="FF005877"/>
        <rFont val="Calibri"/>
        <family val="2"/>
        <scheme val="minor"/>
      </rPr>
      <t xml:space="preserve">Se pueden </t>
    </r>
    <r>
      <rPr>
        <b/>
        <sz val="11"/>
        <color rgb="FF005877"/>
        <rFont val="Calibri"/>
        <family val="2"/>
        <scheme val="minor"/>
      </rPr>
      <t xml:space="preserve">seleccionar </t>
    </r>
    <r>
      <rPr>
        <sz val="11"/>
        <color rgb="FF005877"/>
        <rFont val="Calibri"/>
        <family val="2"/>
        <scheme val="minor"/>
      </rPr>
      <t xml:space="preserve">los datos con los que se quiere trabajar </t>
    </r>
    <r>
      <rPr>
        <b/>
        <sz val="11"/>
        <color rgb="FF005877"/>
        <rFont val="Calibri"/>
        <family val="2"/>
        <scheme val="minor"/>
      </rPr>
      <t xml:space="preserve">de la lista </t>
    </r>
    <r>
      <rPr>
        <sz val="11"/>
        <color rgb="FF005877"/>
        <rFont val="Calibri"/>
        <family val="2"/>
        <scheme val="minor"/>
      </rPr>
      <t xml:space="preserve">desplegable </t>
    </r>
    <r>
      <rPr>
        <b/>
        <sz val="11"/>
        <color rgb="FFFF0000"/>
        <rFont val="Calibri"/>
        <family val="2"/>
        <scheme val="minor"/>
      </rPr>
      <t>Lista Datos Fijos</t>
    </r>
    <r>
      <rPr>
        <b/>
        <sz val="11"/>
        <color rgb="FF005877"/>
        <rFont val="Calibri"/>
        <family val="2"/>
        <scheme val="minor"/>
      </rPr>
      <t>.</t>
    </r>
  </si>
  <si>
    <r>
      <t>INSTRUCCIONES PARA GENERAR PROBLEMAS DE PORTICOS TIPO 1</t>
    </r>
    <r>
      <rPr>
        <b/>
        <sz val="14"/>
        <color theme="5"/>
        <rFont val="Calibri"/>
        <family val="2"/>
        <scheme val="minor"/>
      </rPr>
      <t xml:space="preserve"> - V1 ©</t>
    </r>
  </si>
  <si>
    <t>↻ ↺ ↶ ↷ ← → ↑ ↓   ↖ ↗ ↙↘   ↕   ⇇⇉⇊⇈  △▽ ◁▷ ◀ ▲ ⁹  ⁶∑ − ●● ◉◉α°⇒ ₁ πλ ── ↤───↦↽⇁⇜⇦⇠⇢⇽</t>
  </si>
  <si>
    <t>Pilar-Empotrado-Libre: 4,5 m; 1 Pv; 1 M; 3 q (470)</t>
  </si>
  <si>
    <t>Pilar-Empotrado-Libre-Pescante-Recto: 7,5 m; 2 Pv; 1 Ph; 1 M; 1 q (-830)</t>
  </si>
  <si>
    <t>Pilar-Empotrado-Libre-Pescante-Inclinado: 8 m; 1 Pv; 1 Ph; 1 M; 2 q (275)</t>
  </si>
  <si>
    <t>Viga-Horizontal-Fijo-Movil: 10 m; 1 Pv; 1 Ph; 1 M; (-130)</t>
  </si>
  <si>
    <t>Viga-Horizontal-Movil-Fijo: 10 m; 1 Pv; 1 M; (-210)</t>
  </si>
  <si>
    <t>Viga-Horizontal-Fijo-Movil-Vol1: 3,5 m; 2 Pv; 1 Ph; 4 q (-900)</t>
  </si>
  <si>
    <t>Viga-Horizontal-Movil-Fijo-Vol1: 6 m; 1 Pv; 1 Ph; 1 M; 4 q (-85)</t>
  </si>
  <si>
    <t>Viga-Horizontal-Vol1-Fijo-Movil-Vol1: 9,5 m; 1 Pv; 2 Ph; 1 M; (-325)</t>
  </si>
  <si>
    <t>Viga-Horizontal-Vol1-Movil-Fijo-Vol1: 8,5 m; 1 Pv; 1 Ph; 2 M; 2 q (120)</t>
  </si>
  <si>
    <t>Viga-Horizontal-Empotrado-Libre: 4 m; 2 Pv; 1 Ph; 1 M; (-740)</t>
  </si>
  <si>
    <t>Viga-Horizontal-Libre-Empotrado: 6 m; 1 Pv; 2 Ph; 1 M; (520)</t>
  </si>
  <si>
    <t>Viga-Inclinada-Fijo-Movil: 6,83 m; 1 Pv; 1 Ph; 1 M; 2 q (540)</t>
  </si>
  <si>
    <t>Viga-Inclinada-Movil-Fijo: 0,88 m; 1 Pv; (150)</t>
  </si>
  <si>
    <t>Viga-Inclinada-Empotrado-Libre: 2,73 m; 1 Pv; 1 Ph; 1 M; 2 q (160)</t>
  </si>
  <si>
    <t>Viga-Inclinada-Libre-Empotrado: 5 m; 1 Pv; 2 Ph; 1 M; 2 q (-490)</t>
  </si>
  <si>
    <t>Portico-TODO-Recto: 26 m; 3 Pv; 4 Ph; 4 M; 4 q (-1140)</t>
  </si>
  <si>
    <t>Portico-TODO-Inclinado: 26,94 m; 3 Pv; 3 Ph; 4 M; 3 q (-305)</t>
  </si>
  <si>
    <t>Portico-BCD-DEFG-GJK: 13,5 m; 2 Pv; 2 Ph; 4 q (-330)</t>
  </si>
  <si>
    <t>Portico-ABC-CDE-EFGHI-GJK: 17,67 m; 3 Pv; 3 Ph; 1 M; 4 q (705)</t>
  </si>
  <si>
    <t>Portico-ABCD-DEFGHI: 11,5 m; 2 Pv; 2 Ph; 2 M; 3 q (170)</t>
  </si>
  <si>
    <t>Portico-BCD-DEFG-GJK-KLMN: 18,5 m; 2 Pv; 3 Ph; 3 M; 3 q (-1095)</t>
  </si>
  <si>
    <t>Portico-CD-DE: 2 m; 2 Pv; 1 M; (475)</t>
  </si>
  <si>
    <t>Portico-CDE-EFG-GJK: 7 m; 1 Pv; 1 Ph; 3 M; (-405)</t>
  </si>
  <si>
    <t>Portico-CDE-EFGH-GJK: 18 m; 1 Pv; 2 Ph; 2 M; 4 q (505)</t>
  </si>
  <si>
    <t>Portico-CDE-EFG-GJK-KLM: 13,75 m; 2 Pv; 2 Ph; 2 M; 2 q (-70)</t>
  </si>
  <si>
    <t>Portico-EFG-GJK-KLM-MO: 15,5 m; 2 Pv; 1 Ph; 2 M; 2 q (-310)</t>
  </si>
  <si>
    <t>Portico-EFGHI-GJK-KLMN-MO: 19,5 m; 3 Pv; 3 Ph; 4 M; 2 q (-45)</t>
  </si>
  <si>
    <t>⇐ IMAGEN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</si>
</sst>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quot; =&quot;"/>
    <numFmt numFmtId="165" formatCode="#,###\ &quot;m⁴&quot;"/>
    <numFmt numFmtId="166" formatCode="#,###\ &quot;m³&quot;"/>
    <numFmt numFmtId="167" formatCode="#,###\ &quot;m²&quot;"/>
    <numFmt numFmtId="168" formatCode="0.00\ &quot;kN&quot;"/>
    <numFmt numFmtId="169" formatCode="0.00\ &quot;m&quot;"/>
    <numFmt numFmtId="170" formatCode="0\ &quot;Mpa&quot;"/>
    <numFmt numFmtId="171" formatCode="0\ &quot;º&quot;"/>
    <numFmt numFmtId="172" formatCode="0.00\ &quot;º&quot;"/>
    <numFmt numFmtId="173" formatCode="&quot;[&quot;\ 0"/>
    <numFmt numFmtId="174" formatCode="\-\ 0&quot;]&quot;"/>
    <numFmt numFmtId="175" formatCode="#\ &quot;kN&quot;"/>
    <numFmt numFmtId="176" formatCode="#\ &quot;kNm&quot;"/>
    <numFmt numFmtId="177" formatCode="#\ &quot;kN/m&quot;"/>
    <numFmt numFmtId="178" formatCode="0.0\ &quot;kN&quot;"/>
    <numFmt numFmtId="179" formatCode="#\ &quot;º&quot;"/>
    <numFmt numFmtId="180" formatCode="#.0\ &quot;º&quot;"/>
    <numFmt numFmtId="181" formatCode="0.00\ &quot;kNm&quot;"/>
    <numFmt numFmtId="182" formatCode="0\ &quot;mm&quot;"/>
    <numFmt numFmtId="183" formatCode="&quot;a&quot;\ 0\ &quot;mm&quot;"/>
    <numFmt numFmtId="184" formatCode="#,##0.00\ &quot;kNm&quot;"/>
    <numFmt numFmtId="185" formatCode="0.0"/>
    <numFmt numFmtId="186" formatCode="#.0\ &quot;°&quot;"/>
    <numFmt numFmtId="187" formatCode="&quot;L x&quot;\ 0"/>
    <numFmt numFmtId="188" formatCode="0.0\ &quot;kNm&quot;"/>
    <numFmt numFmtId="189" formatCode="#,##0.0;[Red]#,##0.0"/>
    <numFmt numFmtId="190" formatCode="\(0\)"/>
    <numFmt numFmtId="191" formatCode="&quot;N. problemas FTP:  &quot;\ 0"/>
  </numFmts>
  <fonts count="69">
    <font>
      <sz val="11"/>
      <color theme="1"/>
      <name val="Calibri"/>
      <family val="2"/>
      <scheme val="minor"/>
    </font>
    <font>
      <b/>
      <sz val="11"/>
      <color theme="1"/>
      <name val="Calibri"/>
      <family val="2"/>
      <scheme val="minor"/>
    </font>
    <font>
      <u/>
      <sz val="11"/>
      <color theme="1"/>
      <name val="Calibri"/>
      <family val="2"/>
      <scheme val="minor"/>
    </font>
    <font>
      <b/>
      <sz val="11"/>
      <color rgb="FFFF0000"/>
      <name val="Calibri"/>
      <family val="2"/>
      <scheme val="minor"/>
    </font>
    <font>
      <b/>
      <sz val="11"/>
      <color theme="0"/>
      <name val="Calibri"/>
      <family val="2"/>
      <scheme val="minor"/>
    </font>
    <font>
      <b/>
      <sz val="9"/>
      <color theme="0"/>
      <name val="Calibri"/>
      <family val="2"/>
      <scheme val="minor"/>
    </font>
    <font>
      <sz val="11"/>
      <color theme="1"/>
      <name val="Courier New"/>
      <family val="3"/>
    </font>
    <font>
      <sz val="10"/>
      <name val="Arial"/>
      <family val="2"/>
    </font>
    <font>
      <b/>
      <sz val="11"/>
      <color theme="4" tint="-0.249977111117893"/>
      <name val="Calibri"/>
      <family val="2"/>
      <scheme val="minor"/>
    </font>
    <font>
      <b/>
      <sz val="11"/>
      <color rgb="FF005877"/>
      <name val="Calibri"/>
      <family val="2"/>
      <scheme val="minor"/>
    </font>
    <font>
      <sz val="11"/>
      <color rgb="FF005877"/>
      <name val="Calibri"/>
      <family val="2"/>
      <scheme val="minor"/>
    </font>
    <font>
      <u/>
      <sz val="11"/>
      <color theme="10"/>
      <name val="Calibri"/>
      <family val="2"/>
      <scheme val="minor"/>
    </font>
    <font>
      <sz val="9"/>
      <color theme="1"/>
      <name val="Calibri"/>
      <family val="2"/>
      <scheme val="minor"/>
    </font>
    <font>
      <sz val="11"/>
      <color theme="1"/>
      <name val="Calibri"/>
      <family val="2"/>
    </font>
    <font>
      <b/>
      <sz val="9"/>
      <color theme="1"/>
      <name val="Symbol"/>
      <family val="1"/>
      <charset val="2"/>
    </font>
    <font>
      <b/>
      <sz val="9"/>
      <color theme="1"/>
      <name val="Calibri"/>
      <family val="2"/>
      <scheme val="minor"/>
    </font>
    <font>
      <b/>
      <vertAlign val="subscript"/>
      <sz val="9"/>
      <color theme="1"/>
      <name val="Calibri"/>
      <family val="2"/>
      <scheme val="minor"/>
    </font>
    <font>
      <b/>
      <sz val="9"/>
      <color theme="1"/>
      <name val="Calibri"/>
      <family val="1"/>
      <charset val="2"/>
      <scheme val="minor"/>
    </font>
    <font>
      <b/>
      <sz val="9"/>
      <color theme="5" tint="-0.249977111117893"/>
      <name val="Calibri"/>
      <family val="2"/>
      <scheme val="minor"/>
    </font>
    <font>
      <b/>
      <sz val="9"/>
      <color rgb="FF7030A0"/>
      <name val="Calibri"/>
      <family val="2"/>
      <scheme val="minor"/>
    </font>
    <font>
      <b/>
      <sz val="9"/>
      <color rgb="FF00B050"/>
      <name val="Calibri"/>
      <family val="2"/>
      <scheme val="minor"/>
    </font>
    <font>
      <b/>
      <sz val="9"/>
      <color theme="4"/>
      <name val="Calibri"/>
      <family val="2"/>
      <scheme val="minor"/>
    </font>
    <font>
      <b/>
      <sz val="12"/>
      <color rgb="FFFF0000"/>
      <name val="Calibri"/>
      <family val="2"/>
      <scheme val="minor"/>
    </font>
    <font>
      <b/>
      <sz val="11"/>
      <color theme="1"/>
      <name val="Courier New"/>
      <family val="3"/>
    </font>
    <font>
      <b/>
      <sz val="9"/>
      <color rgb="FFFF0000"/>
      <name val="Calibri"/>
      <family val="2"/>
      <scheme val="minor"/>
    </font>
    <font>
      <sz val="9"/>
      <color theme="1"/>
      <name val="Calibri"/>
      <family val="1"/>
      <charset val="2"/>
      <scheme val="minor"/>
    </font>
    <font>
      <sz val="9"/>
      <color theme="1"/>
      <name val="Symbol"/>
      <family val="1"/>
      <charset val="2"/>
    </font>
    <font>
      <vertAlign val="subscript"/>
      <sz val="9"/>
      <color theme="1"/>
      <name val="Calibri"/>
      <family val="2"/>
      <scheme val="minor"/>
    </font>
    <font>
      <b/>
      <sz val="10"/>
      <color theme="1"/>
      <name val="Calibri"/>
      <family val="2"/>
      <scheme val="minor"/>
    </font>
    <font>
      <sz val="6"/>
      <color theme="1"/>
      <name val="Calibri"/>
      <family val="2"/>
      <scheme val="minor"/>
    </font>
    <font>
      <b/>
      <u/>
      <sz val="11"/>
      <color rgb="FFFF0000"/>
      <name val="Calibri"/>
      <family val="2"/>
      <scheme val="minor"/>
    </font>
    <font>
      <b/>
      <sz val="22"/>
      <color theme="1"/>
      <name val="Calibri"/>
      <family val="2"/>
      <scheme val="minor"/>
    </font>
    <font>
      <b/>
      <sz val="14"/>
      <color rgb="FFFF0000"/>
      <name val="Calibri"/>
      <family val="2"/>
      <scheme val="minor"/>
    </font>
    <font>
      <b/>
      <sz val="14"/>
      <color theme="1"/>
      <name val="Calibri"/>
      <family val="2"/>
      <scheme val="minor"/>
    </font>
    <font>
      <sz val="9"/>
      <color theme="1"/>
      <name val="Calibri Light"/>
      <family val="2"/>
      <scheme val="major"/>
    </font>
    <font>
      <sz val="9"/>
      <name val="Calibri"/>
      <family val="2"/>
      <scheme val="minor"/>
    </font>
    <font>
      <b/>
      <sz val="20"/>
      <color rgb="FFFF0000"/>
      <name val="Calibri"/>
      <family val="2"/>
      <scheme val="minor"/>
    </font>
    <font>
      <sz val="8"/>
      <name val="Calibri"/>
      <family val="2"/>
      <scheme val="minor"/>
    </font>
    <font>
      <sz val="11"/>
      <color theme="1"/>
      <name val="Courier New"/>
      <family val="3"/>
    </font>
    <font>
      <b/>
      <sz val="9"/>
      <color indexed="81"/>
      <name val="Tahoma"/>
      <family val="2"/>
    </font>
    <font>
      <sz val="8"/>
      <color theme="1"/>
      <name val="Calibri"/>
      <family val="2"/>
      <scheme val="minor"/>
    </font>
    <font>
      <b/>
      <u/>
      <sz val="11"/>
      <color theme="1"/>
      <name val="Calibri"/>
      <family val="2"/>
      <scheme val="minor"/>
    </font>
    <font>
      <sz val="11"/>
      <color theme="0"/>
      <name val="Calibri"/>
      <family val="2"/>
      <scheme val="minor"/>
    </font>
    <font>
      <b/>
      <sz val="14"/>
      <color theme="0"/>
      <name val="Calibri"/>
      <family val="2"/>
      <scheme val="minor"/>
    </font>
    <font>
      <b/>
      <u/>
      <sz val="14"/>
      <color theme="5"/>
      <name val="Calibri"/>
      <family val="2"/>
      <scheme val="minor"/>
    </font>
    <font>
      <b/>
      <u/>
      <sz val="11"/>
      <color theme="0"/>
      <name val="Calibri"/>
      <family val="2"/>
      <scheme val="minor"/>
    </font>
    <font>
      <b/>
      <sz val="11"/>
      <color rgb="FF00B0F0"/>
      <name val="Calibri"/>
      <family val="2"/>
      <scheme val="minor"/>
    </font>
    <font>
      <b/>
      <sz val="11"/>
      <color theme="5"/>
      <name val="Calibri"/>
      <family val="2"/>
      <scheme val="minor"/>
    </font>
    <font>
      <i/>
      <sz val="11"/>
      <color rgb="FF005877"/>
      <name val="Calibri"/>
      <family val="2"/>
      <scheme val="minor"/>
    </font>
    <font>
      <b/>
      <i/>
      <sz val="11"/>
      <color rgb="FFE87B00"/>
      <name val="Calibri"/>
      <family val="2"/>
      <scheme val="minor"/>
    </font>
    <font>
      <b/>
      <sz val="11"/>
      <color rgb="FFE87B00"/>
      <name val="Calibri"/>
      <family val="2"/>
      <scheme val="minor"/>
    </font>
    <font>
      <b/>
      <i/>
      <sz val="11"/>
      <color rgb="FFFF0000"/>
      <name val="Calibri"/>
      <family val="2"/>
      <scheme val="minor"/>
    </font>
    <font>
      <b/>
      <i/>
      <sz val="11"/>
      <color rgb="FF005877"/>
      <name val="Calibri"/>
      <family val="2"/>
      <scheme val="minor"/>
    </font>
    <font>
      <sz val="9"/>
      <color rgb="FFFF0000"/>
      <name val="Calibri"/>
      <family val="2"/>
      <scheme val="minor"/>
    </font>
    <font>
      <sz val="11"/>
      <color theme="1"/>
      <name val="Calibri"/>
      <family val="2"/>
      <scheme val="minor"/>
    </font>
    <font>
      <sz val="9"/>
      <color indexed="81"/>
      <name val="Tahoma"/>
      <family val="2"/>
    </font>
    <font>
      <b/>
      <sz val="9"/>
      <color rgb="FF005877"/>
      <name val="Calibri"/>
      <family val="2"/>
      <scheme val="minor"/>
    </font>
    <font>
      <b/>
      <sz val="14"/>
      <color theme="5"/>
      <name val="Calibri"/>
      <family val="2"/>
      <scheme val="minor"/>
    </font>
    <font>
      <b/>
      <sz val="10"/>
      <color rgb="FF005877"/>
      <name val="Calibri"/>
      <family val="2"/>
      <scheme val="minor"/>
    </font>
    <font>
      <sz val="16"/>
      <color theme="1"/>
      <name val="Calibri"/>
      <family val="2"/>
      <scheme val="minor"/>
    </font>
    <font>
      <sz val="9"/>
      <color theme="1"/>
      <name val="Calibri"/>
      <family val="2"/>
      <scheme val="minor"/>
    </font>
    <font>
      <b/>
      <sz val="16"/>
      <color rgb="FFFF0000"/>
      <name val="Calibri"/>
      <family val="2"/>
      <scheme val="minor"/>
    </font>
    <font>
      <b/>
      <u/>
      <sz val="11"/>
      <color rgb="FF005877"/>
      <name val="Calibri"/>
      <family val="2"/>
      <scheme val="minor"/>
    </font>
    <font>
      <b/>
      <sz val="12"/>
      <color rgb="FF005877"/>
      <name val="Calibri"/>
      <family val="2"/>
      <scheme val="minor"/>
    </font>
    <font>
      <b/>
      <sz val="12"/>
      <color theme="1"/>
      <name val="Calibri"/>
      <family val="2"/>
      <scheme val="minor"/>
    </font>
    <font>
      <u/>
      <sz val="11"/>
      <color rgb="FF005877"/>
      <name val="Calibri"/>
      <family val="2"/>
      <scheme val="minor"/>
    </font>
    <font>
      <i/>
      <u/>
      <sz val="11"/>
      <color rgb="FF005877"/>
      <name val="Calibri"/>
      <family val="2"/>
      <scheme val="minor"/>
    </font>
    <font>
      <b/>
      <sz val="18"/>
      <color rgb="FF005877"/>
      <name val="Calibri"/>
      <family val="2"/>
      <scheme val="minor"/>
    </font>
    <font>
      <b/>
      <sz val="16"/>
      <color theme="0"/>
      <name val="Calibri"/>
      <family val="2"/>
      <scheme val="minor"/>
    </font>
  </fonts>
  <fills count="21">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theme="4"/>
        <bgColor theme="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rgb="FFE87B00"/>
        <bgColor indexed="64"/>
      </patternFill>
    </fill>
    <fill>
      <patternFill patternType="solid">
        <fgColor theme="9" tint="0.59999389629810485"/>
        <bgColor theme="4" tint="0.79998168889431442"/>
      </patternFill>
    </fill>
    <fill>
      <patternFill patternType="solid">
        <fgColor rgb="FF005877"/>
        <bgColor indexed="64"/>
      </patternFill>
    </fill>
  </fills>
  <borders count="85">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thin">
        <color indexed="64"/>
      </left>
      <right/>
      <top style="medium">
        <color indexed="64"/>
      </top>
      <bottom style="thin">
        <color auto="1"/>
      </bottom>
      <diagonal/>
    </border>
    <border>
      <left/>
      <right style="medium">
        <color indexed="64"/>
      </right>
      <top style="thin">
        <color indexed="64"/>
      </top>
      <bottom style="medium">
        <color indexed="64"/>
      </bottom>
      <diagonal/>
    </border>
    <border>
      <left/>
      <right style="thick">
        <color rgb="FF005877"/>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right style="medium">
        <color rgb="FF005877"/>
      </right>
      <top style="medium">
        <color rgb="FF005877"/>
      </top>
      <bottom/>
      <diagonal/>
    </border>
    <border>
      <left style="thick">
        <color rgb="FF005877"/>
      </left>
      <right/>
      <top/>
      <bottom/>
      <diagonal/>
    </border>
    <border>
      <left/>
      <right style="medium">
        <color rgb="FF005877"/>
      </right>
      <top/>
      <bottom/>
      <diagonal/>
    </border>
    <border>
      <left style="thick">
        <color rgb="FF005877"/>
      </left>
      <right/>
      <top/>
      <bottom style="thick">
        <color rgb="FF005877"/>
      </bottom>
      <diagonal/>
    </border>
    <border>
      <left/>
      <right style="thick">
        <color rgb="FF005877"/>
      </right>
      <top/>
      <bottom style="thick">
        <color rgb="FF005877"/>
      </bottom>
      <diagonal/>
    </border>
    <border>
      <left/>
      <right style="medium">
        <color rgb="FF005877"/>
      </right>
      <top/>
      <bottom style="thick">
        <color rgb="FF005877"/>
      </bottom>
      <diagonal/>
    </border>
    <border>
      <left/>
      <right style="medium">
        <color rgb="FF005877"/>
      </right>
      <top style="thick">
        <color rgb="FF005877"/>
      </top>
      <bottom/>
      <diagonal/>
    </border>
    <border>
      <left/>
      <right/>
      <top/>
      <bottom style="thick">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style="thick">
        <color theme="0"/>
      </left>
      <right style="thick">
        <color theme="0"/>
      </right>
      <top style="thick">
        <color theme="0"/>
      </top>
      <bottom style="thick">
        <color theme="0"/>
      </bottom>
      <diagonal/>
    </border>
    <border>
      <left style="thick">
        <color theme="0"/>
      </left>
      <right style="thick">
        <color theme="0"/>
      </right>
      <top style="thick">
        <color theme="0"/>
      </top>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n">
        <color theme="0"/>
      </left>
      <right style="thin">
        <color theme="0"/>
      </right>
      <top style="thin">
        <color theme="0"/>
      </top>
      <bottom style="thin">
        <color indexed="64"/>
      </bottom>
      <diagonal/>
    </border>
  </borders>
  <cellStyleXfs count="4">
    <xf numFmtId="0" fontId="0" fillId="0" borderId="0"/>
    <xf numFmtId="0" fontId="7" fillId="0" borderId="0"/>
    <xf numFmtId="0" fontId="11" fillId="0" borderId="0" applyNumberFormat="0" applyFill="0" applyBorder="0" applyAlignment="0" applyProtection="0"/>
    <xf numFmtId="9" fontId="54" fillId="0" borderId="0" applyFont="0" applyFill="0" applyBorder="0" applyAlignment="0" applyProtection="0"/>
  </cellStyleXfs>
  <cellXfs count="686">
    <xf numFmtId="0" fontId="0" fillId="0" borderId="0" xfId="0"/>
    <xf numFmtId="0" fontId="2" fillId="0" borderId="0" xfId="0" applyFont="1"/>
    <xf numFmtId="0" fontId="0" fillId="0" borderId="0" xfId="0" applyAlignment="1">
      <alignment horizontal="center" vertical="center"/>
    </xf>
    <xf numFmtId="164" fontId="0" fillId="0" borderId="0" xfId="0" applyNumberFormat="1" applyAlignment="1">
      <alignment horizontal="right" indent="1"/>
    </xf>
    <xf numFmtId="0" fontId="1" fillId="0" borderId="0" xfId="0" applyFont="1"/>
    <xf numFmtId="0" fontId="8" fillId="3" borderId="16" xfId="0" applyFont="1" applyFill="1" applyBorder="1" applyAlignment="1">
      <alignment horizontal="center" vertical="center" shrinkToFit="1"/>
    </xf>
    <xf numFmtId="0" fontId="1" fillId="0" borderId="0" xfId="0" applyFont="1" applyAlignment="1">
      <alignment vertical="top"/>
    </xf>
    <xf numFmtId="0" fontId="0" fillId="0" borderId="18" xfId="0" applyBorder="1"/>
    <xf numFmtId="0" fontId="0" fillId="0" borderId="19" xfId="0" applyBorder="1"/>
    <xf numFmtId="0" fontId="0" fillId="0" borderId="17" xfId="0" applyBorder="1"/>
    <xf numFmtId="0" fontId="0" fillId="0" borderId="22" xfId="0" applyBorder="1"/>
    <xf numFmtId="0" fontId="1" fillId="0" borderId="18" xfId="0" applyFont="1" applyBorder="1"/>
    <xf numFmtId="0" fontId="0" fillId="0" borderId="23" xfId="0" applyBorder="1"/>
    <xf numFmtId="0" fontId="0" fillId="0" borderId="21" xfId="0" applyBorder="1"/>
    <xf numFmtId="0" fontId="0" fillId="0" borderId="24" xfId="0" applyBorder="1"/>
    <xf numFmtId="0" fontId="0" fillId="0" borderId="20" xfId="0" applyBorder="1"/>
    <xf numFmtId="0" fontId="0" fillId="0" borderId="0" xfId="0" quotePrefix="1"/>
    <xf numFmtId="0" fontId="0" fillId="0" borderId="0" xfId="0" applyAlignment="1">
      <alignment shrinkToFit="1"/>
    </xf>
    <xf numFmtId="0" fontId="3" fillId="0" borderId="0" xfId="0" applyFont="1" applyAlignment="1">
      <alignment horizontal="center" vertical="center" shrinkToFit="1"/>
    </xf>
    <xf numFmtId="0" fontId="10" fillId="0" borderId="0" xfId="0" quotePrefix="1" applyFont="1" applyAlignment="1">
      <alignment horizontal="left" vertical="center"/>
    </xf>
    <xf numFmtId="0" fontId="1" fillId="0" borderId="0" xfId="0" applyFont="1" applyProtection="1">
      <protection locked="0"/>
    </xf>
    <xf numFmtId="0" fontId="1" fillId="0" borderId="0" xfId="0" applyFont="1" applyAlignment="1">
      <alignment horizontal="center"/>
    </xf>
    <xf numFmtId="0" fontId="0" fillId="0" borderId="0" xfId="0" applyAlignment="1">
      <alignment horizontal="right"/>
    </xf>
    <xf numFmtId="0" fontId="0" fillId="0" borderId="0" xfId="0" applyAlignment="1">
      <alignment horizontal="center"/>
    </xf>
    <xf numFmtId="0" fontId="0" fillId="0" borderId="7" xfId="0" applyBorder="1" applyAlignment="1">
      <alignment horizontal="center"/>
    </xf>
    <xf numFmtId="0" fontId="0" fillId="0" borderId="7" xfId="0" applyBorder="1"/>
    <xf numFmtId="0" fontId="0" fillId="0" borderId="14" xfId="0" applyBorder="1"/>
    <xf numFmtId="170" fontId="0" fillId="0" borderId="27" xfId="0" applyNumberFormat="1" applyBorder="1" applyAlignment="1">
      <alignment horizontal="center" shrinkToFit="1"/>
    </xf>
    <xf numFmtId="170" fontId="0" fillId="0" borderId="15" xfId="0" applyNumberFormat="1" applyBorder="1" applyAlignment="1">
      <alignment horizontal="center" shrinkToFit="1"/>
    </xf>
    <xf numFmtId="170" fontId="0" fillId="0" borderId="35" xfId="0" applyNumberFormat="1" applyBorder="1" applyAlignment="1">
      <alignment horizontal="center" shrinkToFit="1"/>
    </xf>
    <xf numFmtId="171" fontId="0" fillId="0" borderId="15" xfId="0" applyNumberFormat="1" applyBorder="1" applyAlignment="1">
      <alignment horizontal="center" shrinkToFit="1"/>
    </xf>
    <xf numFmtId="167" fontId="0" fillId="0" borderId="23" xfId="0" applyNumberFormat="1" applyBorder="1" applyAlignment="1">
      <alignment horizontal="right" indent="1" shrinkToFit="1"/>
    </xf>
    <xf numFmtId="166" fontId="0" fillId="0" borderId="0" xfId="0" applyNumberFormat="1" applyAlignment="1">
      <alignment horizontal="right" indent="1" shrinkToFit="1"/>
    </xf>
    <xf numFmtId="165" fontId="0" fillId="0" borderId="0" xfId="0" applyNumberFormat="1" applyAlignment="1">
      <alignment horizontal="right" indent="1" shrinkToFit="1"/>
    </xf>
    <xf numFmtId="172" fontId="0" fillId="0" borderId="15" xfId="0" applyNumberFormat="1" applyBorder="1" applyAlignment="1">
      <alignment horizontal="center" shrinkToFit="1"/>
    </xf>
    <xf numFmtId="0" fontId="0" fillId="0" borderId="27" xfId="0" applyBorder="1"/>
    <xf numFmtId="0" fontId="0" fillId="0" borderId="0" xfId="0" applyAlignment="1">
      <alignment vertical="center"/>
    </xf>
    <xf numFmtId="0" fontId="0" fillId="0" borderId="0" xfId="0" applyAlignment="1">
      <alignment horizontal="left"/>
    </xf>
    <xf numFmtId="0" fontId="0" fillId="0" borderId="0" xfId="0" applyAlignment="1">
      <alignment horizontal="left" indent="3"/>
    </xf>
    <xf numFmtId="0" fontId="0" fillId="0" borderId="0" xfId="0" applyAlignment="1">
      <alignment wrapText="1"/>
    </xf>
    <xf numFmtId="164" fontId="12" fillId="0" borderId="8" xfId="0" applyNumberFormat="1" applyFont="1" applyBorder="1" applyAlignment="1">
      <alignment horizontal="right" indent="1"/>
    </xf>
    <xf numFmtId="169" fontId="12" fillId="0" borderId="10" xfId="0" applyNumberFormat="1" applyFont="1" applyBorder="1"/>
    <xf numFmtId="164" fontId="12" fillId="0" borderId="8" xfId="0" applyNumberFormat="1" applyFont="1" applyBorder="1" applyAlignment="1">
      <alignment horizontal="left" indent="1"/>
    </xf>
    <xf numFmtId="0" fontId="18" fillId="0" borderId="10" xfId="0" applyFont="1" applyBorder="1"/>
    <xf numFmtId="175" fontId="19" fillId="0" borderId="9" xfId="0" applyNumberFormat="1" applyFont="1" applyBorder="1" applyAlignment="1">
      <alignment shrinkToFit="1"/>
    </xf>
    <xf numFmtId="0" fontId="19" fillId="0" borderId="10" xfId="0" applyFont="1" applyBorder="1"/>
    <xf numFmtId="176" fontId="20" fillId="0" borderId="9" xfId="0" applyNumberFormat="1" applyFont="1" applyBorder="1" applyAlignment="1">
      <alignment shrinkToFit="1"/>
    </xf>
    <xf numFmtId="0" fontId="20" fillId="0" borderId="10" xfId="0" applyFont="1" applyBorder="1"/>
    <xf numFmtId="164" fontId="12" fillId="0" borderId="8" xfId="0" applyNumberFormat="1" applyFont="1" applyBorder="1" applyAlignment="1">
      <alignment horizontal="right"/>
    </xf>
    <xf numFmtId="177" fontId="21" fillId="0" borderId="9" xfId="0" applyNumberFormat="1" applyFont="1" applyBorder="1" applyAlignment="1">
      <alignment shrinkToFit="1"/>
    </xf>
    <xf numFmtId="0" fontId="21" fillId="0" borderId="10" xfId="0" applyFont="1" applyBorder="1" applyAlignment="1">
      <alignment horizontal="right"/>
    </xf>
    <xf numFmtId="164" fontId="12" fillId="0" borderId="8" xfId="0" applyNumberFormat="1" applyFont="1" applyBorder="1" applyAlignment="1">
      <alignment horizontal="left" shrinkToFit="1"/>
    </xf>
    <xf numFmtId="0" fontId="18" fillId="0" borderId="35" xfId="0" applyFont="1" applyBorder="1" applyAlignment="1">
      <alignment horizontal="center" vertical="center" shrinkToFit="1"/>
    </xf>
    <xf numFmtId="175" fontId="19" fillId="0" borderId="35" xfId="0" applyNumberFormat="1" applyFont="1" applyBorder="1" applyAlignment="1">
      <alignment horizontal="center" vertical="center" shrinkToFit="1"/>
    </xf>
    <xf numFmtId="176" fontId="20" fillId="0" borderId="35" xfId="0" applyNumberFormat="1" applyFont="1" applyBorder="1" applyAlignment="1">
      <alignment horizontal="center" vertical="center" shrinkToFit="1"/>
    </xf>
    <xf numFmtId="169" fontId="12" fillId="0" borderId="10" xfId="0" applyNumberFormat="1" applyFont="1" applyBorder="1" applyAlignment="1">
      <alignment horizontal="right" shrinkToFit="1"/>
    </xf>
    <xf numFmtId="175" fontId="19" fillId="0" borderId="10" xfId="0" applyNumberFormat="1" applyFont="1" applyBorder="1" applyAlignment="1">
      <alignment horizontal="right" shrinkToFit="1"/>
    </xf>
    <xf numFmtId="176" fontId="20" fillId="0" borderId="10" xfId="0" applyNumberFormat="1" applyFont="1" applyBorder="1" applyAlignment="1">
      <alignment horizontal="right" shrinkToFit="1"/>
    </xf>
    <xf numFmtId="0" fontId="12" fillId="0" borderId="8" xfId="0" applyFont="1" applyBorder="1" applyAlignment="1">
      <alignment horizontal="right" shrinkToFit="1"/>
    </xf>
    <xf numFmtId="177" fontId="21" fillId="0" borderId="10" xfId="0" applyNumberFormat="1" applyFont="1" applyBorder="1" applyAlignment="1">
      <alignment horizontal="right" shrinkToFit="1"/>
    </xf>
    <xf numFmtId="0" fontId="0" fillId="0" borderId="35" xfId="0" applyBorder="1" applyAlignment="1">
      <alignment shrinkToFit="1"/>
    </xf>
    <xf numFmtId="164" fontId="12" fillId="0" borderId="11" xfId="0" applyNumberFormat="1" applyFont="1" applyBorder="1" applyAlignment="1">
      <alignment horizontal="right" indent="1"/>
    </xf>
    <xf numFmtId="164" fontId="12" fillId="0" borderId="11" xfId="0" applyNumberFormat="1" applyFont="1" applyBorder="1" applyAlignment="1">
      <alignment horizontal="left" indent="1"/>
    </xf>
    <xf numFmtId="0" fontId="18" fillId="0" borderId="12" xfId="0" applyFont="1" applyBorder="1"/>
    <xf numFmtId="0" fontId="19" fillId="0" borderId="12" xfId="0" applyFont="1" applyBorder="1"/>
    <xf numFmtId="0" fontId="20" fillId="0" borderId="12" xfId="0" applyFont="1" applyBorder="1"/>
    <xf numFmtId="164" fontId="12" fillId="0" borderId="11" xfId="0" applyNumberFormat="1" applyFont="1" applyBorder="1" applyAlignment="1">
      <alignment horizontal="right"/>
    </xf>
    <xf numFmtId="0" fontId="21" fillId="0" borderId="12" xfId="0" applyFont="1" applyBorder="1" applyAlignment="1">
      <alignment horizontal="right"/>
    </xf>
    <xf numFmtId="164" fontId="12" fillId="0" borderId="11" xfId="0" applyNumberFormat="1" applyFont="1" applyBorder="1" applyAlignment="1">
      <alignment horizontal="left" shrinkToFit="1"/>
    </xf>
    <xf numFmtId="0" fontId="18" fillId="0" borderId="16" xfId="0" applyFont="1" applyBorder="1" applyAlignment="1">
      <alignment horizontal="center" vertical="center" shrinkToFit="1"/>
    </xf>
    <xf numFmtId="175" fontId="19" fillId="0" borderId="16" xfId="0" applyNumberFormat="1" applyFont="1" applyBorder="1" applyAlignment="1">
      <alignment horizontal="center" vertical="center" shrinkToFit="1"/>
    </xf>
    <xf numFmtId="176" fontId="20" fillId="0" borderId="16" xfId="0" applyNumberFormat="1" applyFont="1" applyBorder="1" applyAlignment="1">
      <alignment horizontal="center" vertical="center" shrinkToFit="1"/>
    </xf>
    <xf numFmtId="169" fontId="12" fillId="0" borderId="12" xfId="0" applyNumberFormat="1" applyFont="1" applyBorder="1" applyAlignment="1">
      <alignment horizontal="right" shrinkToFit="1"/>
    </xf>
    <xf numFmtId="175" fontId="19" fillId="0" borderId="12" xfId="0" applyNumberFormat="1" applyFont="1" applyBorder="1" applyAlignment="1">
      <alignment horizontal="right" shrinkToFit="1"/>
    </xf>
    <xf numFmtId="176" fontId="20" fillId="0" borderId="12" xfId="0" applyNumberFormat="1" applyFont="1" applyBorder="1" applyAlignment="1">
      <alignment horizontal="right" shrinkToFit="1"/>
    </xf>
    <xf numFmtId="0" fontId="12" fillId="0" borderId="11" xfId="0" applyFont="1" applyBorder="1" applyAlignment="1">
      <alignment horizontal="right" shrinkToFit="1"/>
    </xf>
    <xf numFmtId="177" fontId="21" fillId="0" borderId="12" xfId="0" applyNumberFormat="1" applyFont="1" applyBorder="1" applyAlignment="1">
      <alignment horizontal="right" shrinkToFit="1"/>
    </xf>
    <xf numFmtId="0" fontId="0" fillId="0" borderId="16" xfId="0" applyBorder="1" applyAlignment="1">
      <alignment shrinkToFit="1"/>
    </xf>
    <xf numFmtId="169" fontId="12" fillId="0" borderId="12" xfId="0" applyNumberFormat="1" applyFont="1" applyBorder="1"/>
    <xf numFmtId="169" fontId="12" fillId="0" borderId="14" xfId="0" applyNumberFormat="1" applyFont="1" applyBorder="1" applyAlignment="1">
      <alignment horizontal="right" shrinkToFit="1"/>
    </xf>
    <xf numFmtId="175" fontId="19" fillId="0" borderId="14" xfId="0" applyNumberFormat="1" applyFont="1" applyBorder="1" applyAlignment="1">
      <alignment horizontal="right" shrinkToFit="1"/>
    </xf>
    <xf numFmtId="176" fontId="20" fillId="0" borderId="14" xfId="0" applyNumberFormat="1" applyFont="1" applyBorder="1" applyAlignment="1">
      <alignment horizontal="right" shrinkToFit="1"/>
    </xf>
    <xf numFmtId="0" fontId="12" fillId="0" borderId="13" xfId="0" applyFont="1" applyBorder="1" applyAlignment="1">
      <alignment horizontal="right" shrinkToFit="1"/>
    </xf>
    <xf numFmtId="177" fontId="21" fillId="0" borderId="14" xfId="0" applyNumberFormat="1" applyFont="1" applyBorder="1" applyAlignment="1">
      <alignment horizontal="right" shrinkToFit="1"/>
    </xf>
    <xf numFmtId="0" fontId="0" fillId="0" borderId="27" xfId="0" applyBorder="1" applyAlignment="1">
      <alignment shrinkToFit="1"/>
    </xf>
    <xf numFmtId="164" fontId="25" fillId="0" borderId="13" xfId="0" applyNumberFormat="1" applyFont="1" applyBorder="1" applyAlignment="1">
      <alignment horizontal="right" shrinkToFit="1"/>
    </xf>
    <xf numFmtId="180" fontId="28" fillId="0" borderId="27" xfId="0" applyNumberFormat="1" applyFont="1" applyBorder="1" applyAlignment="1">
      <alignment horizontal="center" vertical="center" shrinkToFit="1"/>
    </xf>
    <xf numFmtId="0" fontId="1" fillId="11" borderId="0" xfId="0" applyFont="1" applyFill="1" applyAlignment="1">
      <alignment horizontal="center"/>
    </xf>
    <xf numFmtId="0" fontId="0" fillId="0" borderId="0" xfId="0" applyAlignment="1">
      <alignment horizontal="right" indent="1"/>
    </xf>
    <xf numFmtId="0" fontId="0" fillId="11" borderId="0" xfId="0" applyFill="1" applyAlignment="1">
      <alignment horizontal="center"/>
    </xf>
    <xf numFmtId="0" fontId="0" fillId="12" borderId="0" xfId="0" applyFill="1" applyAlignment="1">
      <alignment horizontal="center"/>
    </xf>
    <xf numFmtId="0" fontId="1" fillId="12" borderId="0" xfId="0" applyFont="1" applyFill="1" applyAlignment="1">
      <alignment horizontal="center"/>
    </xf>
    <xf numFmtId="0" fontId="1" fillId="9" borderId="0" xfId="0" applyFont="1" applyFill="1" applyAlignment="1">
      <alignment horizontal="center"/>
    </xf>
    <xf numFmtId="0" fontId="0" fillId="13" borderId="0" xfId="0" applyFill="1" applyAlignment="1">
      <alignment horizontal="center"/>
    </xf>
    <xf numFmtId="0" fontId="1" fillId="13" borderId="0" xfId="0" applyFont="1" applyFill="1" applyAlignment="1">
      <alignment horizontal="center"/>
    </xf>
    <xf numFmtId="0" fontId="0" fillId="14" borderId="0" xfId="0" applyFill="1" applyAlignment="1">
      <alignment horizontal="center"/>
    </xf>
    <xf numFmtId="0" fontId="1" fillId="14" borderId="0" xfId="0" applyFont="1" applyFill="1" applyAlignment="1">
      <alignment horizontal="center"/>
    </xf>
    <xf numFmtId="0" fontId="0" fillId="15" borderId="0" xfId="0" applyFill="1" applyAlignment="1">
      <alignment horizontal="center"/>
    </xf>
    <xf numFmtId="0" fontId="1" fillId="15" borderId="0" xfId="0" applyFont="1" applyFill="1" applyAlignment="1">
      <alignment horizontal="center"/>
    </xf>
    <xf numFmtId="0" fontId="1" fillId="10" borderId="8" xfId="0" applyFont="1" applyFill="1" applyBorder="1" applyAlignment="1">
      <alignment horizontal="center"/>
    </xf>
    <xf numFmtId="0" fontId="1" fillId="10" borderId="9" xfId="0" applyFont="1" applyFill="1" applyBorder="1" applyAlignment="1">
      <alignment horizontal="left"/>
    </xf>
    <xf numFmtId="0" fontId="1" fillId="10" borderId="9" xfId="0" applyFont="1" applyFill="1" applyBorder="1" applyAlignment="1">
      <alignment horizontal="center"/>
    </xf>
    <xf numFmtId="2" fontId="0" fillId="0" borderId="0" xfId="0" applyNumberFormat="1" applyAlignment="1">
      <alignment horizontal="right" indent="1" shrinkToFit="1"/>
    </xf>
    <xf numFmtId="182" fontId="0" fillId="0" borderId="0" xfId="0" applyNumberFormat="1" applyAlignment="1">
      <alignment shrinkToFit="1"/>
    </xf>
    <xf numFmtId="181" fontId="0" fillId="0" borderId="0" xfId="0" applyNumberFormat="1" applyAlignment="1">
      <alignment shrinkToFit="1"/>
    </xf>
    <xf numFmtId="0" fontId="3" fillId="0" borderId="0" xfId="0" applyFont="1"/>
    <xf numFmtId="0" fontId="1" fillId="5" borderId="0" xfId="0" applyFont="1" applyFill="1"/>
    <xf numFmtId="0" fontId="0" fillId="5" borderId="0" xfId="0" applyFill="1"/>
    <xf numFmtId="0" fontId="0" fillId="5" borderId="0" xfId="0" applyFill="1" applyAlignment="1">
      <alignment horizontal="right"/>
    </xf>
    <xf numFmtId="0" fontId="1" fillId="16" borderId="0" xfId="0" applyFont="1" applyFill="1"/>
    <xf numFmtId="0" fontId="30" fillId="16" borderId="0" xfId="2" applyFont="1" applyFill="1"/>
    <xf numFmtId="0" fontId="0" fillId="16" borderId="0" xfId="0" applyFill="1"/>
    <xf numFmtId="0" fontId="0" fillId="16" borderId="0" xfId="0" applyFill="1" applyAlignment="1">
      <alignment horizontal="right"/>
    </xf>
    <xf numFmtId="0" fontId="1" fillId="6" borderId="0" xfId="0" applyFont="1" applyFill="1"/>
    <xf numFmtId="0" fontId="0" fillId="6" borderId="0" xfId="0" applyFill="1"/>
    <xf numFmtId="0" fontId="0" fillId="6" borderId="0" xfId="0" applyFill="1" applyAlignment="1">
      <alignment horizontal="right"/>
    </xf>
    <xf numFmtId="0" fontId="0" fillId="5" borderId="0" xfId="0" applyFill="1" applyAlignment="1">
      <alignment horizontal="left"/>
    </xf>
    <xf numFmtId="169" fontId="0" fillId="0" borderId="0" xfId="0" applyNumberFormat="1" applyAlignment="1">
      <alignment vertical="center"/>
    </xf>
    <xf numFmtId="169" fontId="0" fillId="0" borderId="9" xfId="0" applyNumberFormat="1" applyBorder="1" applyAlignment="1">
      <alignment vertical="center"/>
    </xf>
    <xf numFmtId="179" fontId="0" fillId="0" borderId="7" xfId="0" applyNumberFormat="1" applyBorder="1" applyAlignment="1">
      <alignment horizontal="left"/>
    </xf>
    <xf numFmtId="169" fontId="30" fillId="0" borderId="0" xfId="0" applyNumberFormat="1" applyFont="1" applyAlignment="1">
      <alignment vertical="center"/>
    </xf>
    <xf numFmtId="169" fontId="32" fillId="0" borderId="0" xfId="0" applyNumberFormat="1" applyFont="1" applyAlignment="1">
      <alignment vertical="center"/>
    </xf>
    <xf numFmtId="169" fontId="3" fillId="0" borderId="0" xfId="0" applyNumberFormat="1" applyFont="1" applyAlignment="1">
      <alignment vertical="center"/>
    </xf>
    <xf numFmtId="169" fontId="30" fillId="0" borderId="11" xfId="0" applyNumberFormat="1" applyFont="1" applyBorder="1" applyAlignment="1">
      <alignment vertical="center"/>
    </xf>
    <xf numFmtId="169" fontId="30" fillId="0" borderId="12" xfId="0" applyNumberFormat="1" applyFont="1" applyBorder="1" applyAlignment="1">
      <alignment vertical="center"/>
    </xf>
    <xf numFmtId="169" fontId="30" fillId="0" borderId="13" xfId="0" applyNumberFormat="1" applyFont="1" applyBorder="1" applyAlignment="1">
      <alignment vertical="center"/>
    </xf>
    <xf numFmtId="169" fontId="32" fillId="0" borderId="7" xfId="0" applyNumberFormat="1" applyFont="1" applyBorder="1" applyAlignment="1">
      <alignment vertical="center"/>
    </xf>
    <xf numFmtId="169" fontId="30" fillId="0" borderId="7" xfId="0" applyNumberFormat="1" applyFont="1" applyBorder="1" applyAlignment="1">
      <alignment vertical="center"/>
    </xf>
    <xf numFmtId="169" fontId="3" fillId="0" borderId="7" xfId="0" applyNumberFormat="1" applyFont="1" applyBorder="1" applyAlignment="1">
      <alignment vertical="center"/>
    </xf>
    <xf numFmtId="169" fontId="30" fillId="0" borderId="14" xfId="0" applyNumberFormat="1" applyFont="1" applyBorder="1" applyAlignment="1">
      <alignment vertical="center"/>
    </xf>
    <xf numFmtId="0" fontId="1" fillId="5" borderId="5" xfId="0" applyFont="1" applyFill="1" applyBorder="1"/>
    <xf numFmtId="175" fontId="18" fillId="0" borderId="0" xfId="0" applyNumberFormat="1" applyFont="1" applyAlignment="1">
      <alignment shrinkToFit="1"/>
    </xf>
    <xf numFmtId="175" fontId="19" fillId="0" borderId="0" xfId="0" applyNumberFormat="1" applyFont="1" applyAlignment="1">
      <alignment shrinkToFit="1"/>
    </xf>
    <xf numFmtId="176" fontId="20" fillId="0" borderId="0" xfId="0" applyNumberFormat="1" applyFont="1" applyAlignment="1">
      <alignment shrinkToFit="1"/>
    </xf>
    <xf numFmtId="177" fontId="21" fillId="0" borderId="0" xfId="0" applyNumberFormat="1" applyFont="1" applyAlignment="1">
      <alignment shrinkToFit="1"/>
    </xf>
    <xf numFmtId="164" fontId="12" fillId="0" borderId="13" xfId="0" applyNumberFormat="1" applyFont="1" applyBorder="1" applyAlignment="1">
      <alignment horizontal="left" indent="1"/>
    </xf>
    <xf numFmtId="0" fontId="18" fillId="0" borderId="14" xfId="0" applyFont="1" applyBorder="1"/>
    <xf numFmtId="175" fontId="19" fillId="0" borderId="7" xfId="0" applyNumberFormat="1" applyFont="1" applyBorder="1" applyAlignment="1">
      <alignment shrinkToFit="1"/>
    </xf>
    <xf numFmtId="0" fontId="19" fillId="0" borderId="14" xfId="0" applyFont="1" applyBorder="1"/>
    <xf numFmtId="176" fontId="20" fillId="0" borderId="7" xfId="0" applyNumberFormat="1" applyFont="1" applyBorder="1" applyAlignment="1">
      <alignment shrinkToFit="1"/>
    </xf>
    <xf numFmtId="0" fontId="20" fillId="0" borderId="14" xfId="0" applyFont="1" applyBorder="1"/>
    <xf numFmtId="0" fontId="0" fillId="0" borderId="7" xfId="0" applyBorder="1" applyAlignment="1">
      <alignment horizontal="right"/>
    </xf>
    <xf numFmtId="0" fontId="0" fillId="0" borderId="14" xfId="0" applyBorder="1" applyAlignment="1">
      <alignment horizontal="right"/>
    </xf>
    <xf numFmtId="164" fontId="12" fillId="0" borderId="13" xfId="0" applyNumberFormat="1" applyFont="1" applyBorder="1" applyAlignment="1">
      <alignment horizontal="left" shrinkToFit="1"/>
    </xf>
    <xf numFmtId="0" fontId="18" fillId="0" borderId="27" xfId="0" applyFont="1" applyBorder="1" applyAlignment="1">
      <alignment horizontal="center" vertical="center" shrinkToFit="1"/>
    </xf>
    <xf numFmtId="175" fontId="19" fillId="0" borderId="27" xfId="0" applyNumberFormat="1" applyFont="1" applyBorder="1" applyAlignment="1">
      <alignment horizontal="center" vertical="center" shrinkToFit="1"/>
    </xf>
    <xf numFmtId="176" fontId="20" fillId="0" borderId="27" xfId="0" applyNumberFormat="1" applyFont="1" applyBorder="1" applyAlignment="1">
      <alignment horizontal="center" vertical="center" shrinkToFit="1"/>
    </xf>
    <xf numFmtId="177" fontId="21" fillId="0" borderId="10" xfId="0" applyNumberFormat="1" applyFont="1" applyBorder="1" applyAlignment="1">
      <alignment horizontal="center" vertical="center" shrinkToFit="1"/>
    </xf>
    <xf numFmtId="177" fontId="21" fillId="0" borderId="12" xfId="0" applyNumberFormat="1" applyFont="1" applyBorder="1" applyAlignment="1">
      <alignment horizontal="center" vertical="center" shrinkToFit="1"/>
    </xf>
    <xf numFmtId="164" fontId="12" fillId="0" borderId="35" xfId="0" applyNumberFormat="1" applyFont="1" applyBorder="1" applyAlignment="1">
      <alignment horizontal="right" shrinkToFit="1"/>
    </xf>
    <xf numFmtId="164" fontId="12" fillId="0" borderId="16" xfId="0" applyNumberFormat="1" applyFont="1" applyBorder="1" applyAlignment="1">
      <alignment horizontal="right" shrinkToFit="1"/>
    </xf>
    <xf numFmtId="0" fontId="3" fillId="0" borderId="0" xfId="0" applyFont="1" applyAlignment="1">
      <alignment horizontal="right" vertical="center" indent="1"/>
    </xf>
    <xf numFmtId="0" fontId="0" fillId="0" borderId="7" xfId="0" applyBorder="1" applyAlignment="1">
      <alignment shrinkToFit="1"/>
    </xf>
    <xf numFmtId="164" fontId="34" fillId="0" borderId="13" xfId="0" applyNumberFormat="1" applyFont="1" applyBorder="1" applyAlignment="1">
      <alignment horizontal="right" indent="1"/>
    </xf>
    <xf numFmtId="164" fontId="12" fillId="0" borderId="13" xfId="0" applyNumberFormat="1" applyFont="1" applyBorder="1" applyAlignment="1">
      <alignment horizontal="right" indent="1"/>
    </xf>
    <xf numFmtId="169" fontId="12" fillId="0" borderId="14" xfId="0" applyNumberFormat="1" applyFont="1" applyBorder="1"/>
    <xf numFmtId="0" fontId="1" fillId="0" borderId="35" xfId="0" applyFont="1" applyBorder="1" applyAlignment="1">
      <alignment horizontal="center"/>
    </xf>
    <xf numFmtId="0" fontId="1" fillId="0" borderId="16" xfId="0" applyFont="1" applyBorder="1" applyAlignment="1">
      <alignment horizontal="center"/>
    </xf>
    <xf numFmtId="185" fontId="0" fillId="0" borderId="15" xfId="0" applyNumberFormat="1" applyBorder="1" applyAlignment="1">
      <alignment horizontal="center" vertical="center" shrinkToFit="1"/>
    </xf>
    <xf numFmtId="0" fontId="3" fillId="6" borderId="23" xfId="0" applyFont="1" applyFill="1" applyBorder="1" applyAlignment="1">
      <alignment horizontal="center"/>
    </xf>
    <xf numFmtId="0" fontId="0" fillId="7" borderId="38" xfId="0" applyFill="1" applyBorder="1" applyAlignment="1">
      <alignment horizontal="center"/>
    </xf>
    <xf numFmtId="0" fontId="0" fillId="7" borderId="28" xfId="0" applyFill="1" applyBorder="1" applyAlignment="1">
      <alignment horizontal="center"/>
    </xf>
    <xf numFmtId="0" fontId="3" fillId="6" borderId="24" xfId="0" applyFont="1" applyFill="1" applyBorder="1" applyAlignment="1">
      <alignment horizontal="center"/>
    </xf>
    <xf numFmtId="0" fontId="0" fillId="7" borderId="3" xfId="0" applyFill="1" applyBorder="1" applyAlignment="1">
      <alignment horizontal="center" vertical="center"/>
    </xf>
    <xf numFmtId="185" fontId="0" fillId="0" borderId="22" xfId="0" applyNumberFormat="1" applyBorder="1" applyAlignment="1">
      <alignment shrinkToFit="1"/>
    </xf>
    <xf numFmtId="0" fontId="0" fillId="0" borderId="13" xfId="0" applyBorder="1"/>
    <xf numFmtId="0" fontId="0" fillId="0" borderId="4" xfId="0" applyBorder="1"/>
    <xf numFmtId="0" fontId="0" fillId="7" borderId="2" xfId="0" applyFill="1" applyBorder="1" applyAlignment="1">
      <alignment horizontal="center" vertical="center"/>
    </xf>
    <xf numFmtId="0" fontId="0" fillId="7" borderId="32" xfId="0" applyFill="1" applyBorder="1" applyAlignment="1">
      <alignment horizontal="center" vertical="center"/>
    </xf>
    <xf numFmtId="185" fontId="0" fillId="0" borderId="38" xfId="0" applyNumberFormat="1" applyBorder="1" applyAlignment="1">
      <alignment horizontal="center" vertical="center" shrinkToFit="1"/>
    </xf>
    <xf numFmtId="185" fontId="0" fillId="0" borderId="39" xfId="0" applyNumberFormat="1" applyBorder="1" applyAlignment="1">
      <alignment horizontal="center" vertical="center" shrinkToFit="1"/>
    </xf>
    <xf numFmtId="0" fontId="0" fillId="7" borderId="34" xfId="0" applyFill="1" applyBorder="1" applyAlignment="1">
      <alignment horizontal="center"/>
    </xf>
    <xf numFmtId="0" fontId="0" fillId="0" borderId="8" xfId="0" applyBorder="1"/>
    <xf numFmtId="0" fontId="0" fillId="0" borderId="45" xfId="0" applyBorder="1"/>
    <xf numFmtId="0" fontId="1" fillId="0" borderId="46" xfId="0" applyFont="1" applyBorder="1" applyAlignment="1">
      <alignment horizontal="right"/>
    </xf>
    <xf numFmtId="185" fontId="0" fillId="0" borderId="45" xfId="0" applyNumberFormat="1" applyBorder="1" applyAlignment="1">
      <alignment horizontal="center" shrinkToFit="1"/>
    </xf>
    <xf numFmtId="185" fontId="0" fillId="0" borderId="46" xfId="0" applyNumberFormat="1" applyBorder="1" applyAlignment="1">
      <alignment horizontal="center" shrinkToFit="1"/>
    </xf>
    <xf numFmtId="185" fontId="0" fillId="0" borderId="40" xfId="0" applyNumberFormat="1" applyBorder="1" applyAlignment="1">
      <alignment horizontal="center" shrinkToFit="1"/>
    </xf>
    <xf numFmtId="0" fontId="0" fillId="0" borderId="40" xfId="0" applyBorder="1" applyAlignment="1">
      <alignment shrinkToFit="1"/>
    </xf>
    <xf numFmtId="0" fontId="1" fillId="5" borderId="35" xfId="0" applyFont="1" applyFill="1" applyBorder="1"/>
    <xf numFmtId="178" fontId="22" fillId="0" borderId="35" xfId="0" applyNumberFormat="1" applyFont="1" applyBorder="1" applyAlignment="1">
      <alignment shrinkToFit="1"/>
    </xf>
    <xf numFmtId="178" fontId="22" fillId="0" borderId="27" xfId="0" applyNumberFormat="1" applyFont="1" applyBorder="1" applyAlignment="1">
      <alignment shrinkToFit="1"/>
    </xf>
    <xf numFmtId="178" fontId="22" fillId="0" borderId="15" xfId="0" applyNumberFormat="1" applyFont="1" applyBorder="1" applyAlignment="1">
      <alignment shrinkToFit="1"/>
    </xf>
    <xf numFmtId="0" fontId="3" fillId="0" borderId="8" xfId="0" applyFont="1" applyBorder="1" applyAlignment="1">
      <alignment horizontal="left" indent="1"/>
    </xf>
    <xf numFmtId="168" fontId="3" fillId="0" borderId="9" xfId="0" applyNumberFormat="1" applyFont="1" applyBorder="1" applyAlignment="1">
      <alignment shrinkToFit="1"/>
    </xf>
    <xf numFmtId="0" fontId="3" fillId="0" borderId="11" xfId="0" applyFont="1" applyBorder="1" applyAlignment="1">
      <alignment horizontal="left" indent="1"/>
    </xf>
    <xf numFmtId="0" fontId="3" fillId="0" borderId="13" xfId="0" applyFont="1" applyBorder="1" applyAlignment="1">
      <alignment horizontal="left" indent="1"/>
    </xf>
    <xf numFmtId="168" fontId="3" fillId="0" borderId="7" xfId="0" applyNumberFormat="1" applyFont="1" applyBorder="1" applyAlignment="1">
      <alignment shrinkToFit="1"/>
    </xf>
    <xf numFmtId="168" fontId="3" fillId="0" borderId="0" xfId="0" applyNumberFormat="1" applyFont="1" applyAlignment="1">
      <alignment shrinkToFit="1"/>
    </xf>
    <xf numFmtId="181" fontId="3" fillId="0" borderId="10" xfId="0" applyNumberFormat="1" applyFont="1" applyBorder="1" applyAlignment="1">
      <alignment shrinkToFit="1"/>
    </xf>
    <xf numFmtId="181" fontId="3" fillId="0" borderId="12" xfId="0" applyNumberFormat="1" applyFont="1" applyBorder="1" applyAlignment="1">
      <alignment shrinkToFit="1"/>
    </xf>
    <xf numFmtId="181" fontId="3" fillId="0" borderId="14" xfId="0" applyNumberFormat="1" applyFont="1" applyBorder="1" applyAlignment="1">
      <alignment shrinkToFit="1"/>
    </xf>
    <xf numFmtId="0" fontId="22" fillId="0" borderId="8" xfId="0" applyFont="1" applyBorder="1"/>
    <xf numFmtId="0" fontId="22" fillId="0" borderId="11" xfId="0" applyFont="1" applyBorder="1"/>
    <xf numFmtId="0" fontId="22" fillId="0" borderId="13" xfId="0" applyFont="1" applyBorder="1"/>
    <xf numFmtId="0" fontId="3" fillId="0" borderId="10" xfId="0" applyFont="1" applyBorder="1" applyAlignment="1">
      <alignment horizontal="left" indent="1" shrinkToFit="1"/>
    </xf>
    <xf numFmtId="0" fontId="3" fillId="0" borderId="12" xfId="0" applyFont="1" applyBorder="1" applyAlignment="1">
      <alignment horizontal="left" indent="1" shrinkToFit="1"/>
    </xf>
    <xf numFmtId="0" fontId="3" fillId="0" borderId="14" xfId="0" applyFont="1" applyBorder="1" applyAlignment="1">
      <alignment horizontal="left" indent="1" shrinkToFit="1"/>
    </xf>
    <xf numFmtId="0" fontId="3" fillId="0" borderId="9" xfId="0" applyFont="1" applyBorder="1" applyAlignment="1">
      <alignment horizontal="left" indent="1" shrinkToFit="1"/>
    </xf>
    <xf numFmtId="0" fontId="3" fillId="0" borderId="0" xfId="0" applyFont="1" applyAlignment="1">
      <alignment horizontal="left" indent="1" shrinkToFit="1"/>
    </xf>
    <xf numFmtId="0" fontId="3" fillId="0" borderId="7" xfId="0" applyFont="1" applyBorder="1" applyAlignment="1">
      <alignment horizontal="left" indent="1" shrinkToFit="1"/>
    </xf>
    <xf numFmtId="169" fontId="12" fillId="0" borderId="35" xfId="0" applyNumberFormat="1" applyFont="1" applyBorder="1" applyAlignment="1">
      <alignment horizontal="center" vertical="center" shrinkToFit="1"/>
    </xf>
    <xf numFmtId="169" fontId="12" fillId="0" borderId="16" xfId="0" applyNumberFormat="1" applyFont="1" applyBorder="1" applyAlignment="1">
      <alignment horizontal="center" vertical="center" shrinkToFit="1"/>
    </xf>
    <xf numFmtId="0" fontId="1" fillId="0" borderId="0" xfId="0" applyFont="1" applyAlignment="1">
      <alignment wrapText="1"/>
    </xf>
    <xf numFmtId="0" fontId="1" fillId="5" borderId="4"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186" fontId="15" fillId="0" borderId="14" xfId="0" applyNumberFormat="1" applyFont="1" applyBorder="1" applyAlignment="1">
      <alignment horizontal="center"/>
    </xf>
    <xf numFmtId="0" fontId="3" fillId="5" borderId="0" xfId="0" applyFont="1" applyFill="1" applyAlignment="1">
      <alignment horizontal="right" vertical="center" indent="1"/>
    </xf>
    <xf numFmtId="0" fontId="0" fillId="5" borderId="8" xfId="0" applyFill="1" applyBorder="1" applyAlignment="1">
      <alignment horizontal="center"/>
    </xf>
    <xf numFmtId="0" fontId="0" fillId="5" borderId="9" xfId="0" applyFill="1" applyBorder="1" applyAlignment="1">
      <alignment horizontal="center"/>
    </xf>
    <xf numFmtId="0" fontId="0" fillId="5" borderId="10" xfId="0" applyFill="1" applyBorder="1" applyAlignment="1">
      <alignment horizontal="center"/>
    </xf>
    <xf numFmtId="0" fontId="1" fillId="5" borderId="5" xfId="0" applyFont="1" applyFill="1" applyBorder="1" applyAlignment="1">
      <alignment horizontal="left"/>
    </xf>
    <xf numFmtId="0" fontId="0" fillId="0" borderId="10" xfId="0" applyBorder="1" applyAlignment="1">
      <alignment horizontal="center"/>
    </xf>
    <xf numFmtId="0" fontId="1" fillId="5" borderId="4" xfId="0" applyFont="1" applyFill="1" applyBorder="1"/>
    <xf numFmtId="0" fontId="1" fillId="5" borderId="6" xfId="0" applyFont="1" applyFill="1" applyBorder="1"/>
    <xf numFmtId="173" fontId="0" fillId="0" borderId="4" xfId="0" applyNumberFormat="1" applyBorder="1" applyAlignment="1">
      <alignment horizontal="right"/>
    </xf>
    <xf numFmtId="174" fontId="0" fillId="0" borderId="5" xfId="0" applyNumberFormat="1" applyBorder="1" applyAlignment="1">
      <alignment horizontal="left"/>
    </xf>
    <xf numFmtId="173" fontId="0" fillId="0" borderId="5" xfId="0" applyNumberFormat="1" applyBorder="1" applyAlignment="1">
      <alignment horizontal="right"/>
    </xf>
    <xf numFmtId="187" fontId="1" fillId="5" borderId="0" xfId="0" applyNumberFormat="1" applyFont="1" applyFill="1"/>
    <xf numFmtId="0" fontId="23" fillId="5" borderId="35" xfId="0" applyFont="1" applyFill="1" applyBorder="1" applyAlignment="1">
      <alignment horizontal="center"/>
    </xf>
    <xf numFmtId="0" fontId="23" fillId="5" borderId="16" xfId="0" applyFont="1" applyFill="1" applyBorder="1" applyAlignment="1">
      <alignment horizontal="center"/>
    </xf>
    <xf numFmtId="0" fontId="23" fillId="5" borderId="27" xfId="0" applyFont="1" applyFill="1" applyBorder="1" applyAlignment="1">
      <alignment horizontal="center"/>
    </xf>
    <xf numFmtId="185" fontId="1" fillId="0" borderId="29" xfId="0" applyNumberFormat="1" applyFont="1" applyBorder="1" applyAlignment="1">
      <alignment horizontal="center" vertical="center" shrinkToFit="1"/>
    </xf>
    <xf numFmtId="185" fontId="0" fillId="0" borderId="30" xfId="0" applyNumberFormat="1" applyBorder="1" applyAlignment="1">
      <alignment horizontal="center" vertical="center" shrinkToFit="1"/>
    </xf>
    <xf numFmtId="185" fontId="0" fillId="0" borderId="31" xfId="0" applyNumberFormat="1" applyBorder="1" applyAlignment="1">
      <alignment horizontal="center" vertical="center" shrinkToFit="1"/>
    </xf>
    <xf numFmtId="185" fontId="1" fillId="0" borderId="15" xfId="0" applyNumberFormat="1" applyFont="1" applyBorder="1" applyAlignment="1">
      <alignment horizontal="center" vertical="center" shrinkToFit="1"/>
    </xf>
    <xf numFmtId="185" fontId="0" fillId="0" borderId="2" xfId="0" applyNumberFormat="1" applyBorder="1" applyAlignment="1">
      <alignment horizontal="center" vertical="center" shrinkToFit="1"/>
    </xf>
    <xf numFmtId="185" fontId="0" fillId="0" borderId="3" xfId="0" applyNumberFormat="1" applyBorder="1" applyAlignment="1">
      <alignment horizontal="center" vertical="center" shrinkToFit="1"/>
    </xf>
    <xf numFmtId="185" fontId="1" fillId="0" borderId="32" xfId="0" applyNumberFormat="1" applyFont="1" applyBorder="1" applyAlignment="1">
      <alignment horizontal="center" vertical="center" shrinkToFit="1"/>
    </xf>
    <xf numFmtId="171" fontId="0" fillId="0" borderId="35" xfId="0" applyNumberFormat="1" applyBorder="1" applyAlignment="1">
      <alignment horizontal="center" shrinkToFit="1"/>
    </xf>
    <xf numFmtId="169" fontId="35" fillId="5" borderId="12" xfId="0" applyNumberFormat="1" applyFont="1" applyFill="1" applyBorder="1"/>
    <xf numFmtId="0" fontId="1" fillId="0" borderId="1" xfId="0" applyFont="1" applyBorder="1" applyAlignment="1">
      <alignment horizontal="center" vertical="center" shrinkToFit="1"/>
    </xf>
    <xf numFmtId="0" fontId="0" fillId="0" borderId="25" xfId="0" applyBorder="1" applyAlignment="1">
      <alignment horizontal="center" vertical="center" shrinkToFit="1"/>
    </xf>
    <xf numFmtId="0" fontId="0" fillId="0" borderId="26" xfId="0" applyBorder="1" applyAlignment="1">
      <alignment horizontal="center" vertical="center" shrinkToFit="1"/>
    </xf>
    <xf numFmtId="2" fontId="0" fillId="0" borderId="0" xfId="0" applyNumberFormat="1"/>
    <xf numFmtId="177" fontId="21" fillId="3" borderId="12" xfId="0" applyNumberFormat="1" applyFont="1" applyFill="1" applyBorder="1" applyAlignment="1">
      <alignment horizontal="right" shrinkToFit="1"/>
    </xf>
    <xf numFmtId="168" fontId="1" fillId="3" borderId="0" xfId="0" applyNumberFormat="1" applyFont="1" applyFill="1" applyAlignment="1">
      <alignment horizontal="center" shrinkToFit="1"/>
    </xf>
    <xf numFmtId="0" fontId="6" fillId="6" borderId="0" xfId="0" applyFont="1" applyFill="1"/>
    <xf numFmtId="0" fontId="12" fillId="0" borderId="35" xfId="0" applyFont="1" applyBorder="1" applyAlignment="1">
      <alignment horizontal="left" shrinkToFit="1"/>
    </xf>
    <xf numFmtId="0" fontId="12" fillId="0" borderId="27" xfId="0" applyFont="1" applyBorder="1" applyAlignment="1">
      <alignment horizontal="left" shrinkToFit="1"/>
    </xf>
    <xf numFmtId="0" fontId="1" fillId="0" borderId="0" xfId="0" applyFont="1" applyAlignment="1">
      <alignment horizontal="left"/>
    </xf>
    <xf numFmtId="0" fontId="0" fillId="7" borderId="0" xfId="0" applyFill="1"/>
    <xf numFmtId="185" fontId="3" fillId="0" borderId="15" xfId="0" applyNumberFormat="1" applyFont="1" applyBorder="1" applyAlignment="1">
      <alignment horizontal="center" vertical="center" shrinkToFit="1"/>
    </xf>
    <xf numFmtId="185" fontId="3" fillId="0" borderId="30" xfId="0" applyNumberFormat="1" applyFont="1" applyBorder="1" applyAlignment="1">
      <alignment horizontal="center" vertical="center" shrinkToFit="1"/>
    </xf>
    <xf numFmtId="185" fontId="3" fillId="0" borderId="39" xfId="0" applyNumberFormat="1" applyFont="1" applyBorder="1" applyAlignment="1">
      <alignment horizontal="center" vertical="center" shrinkToFit="1"/>
    </xf>
    <xf numFmtId="0" fontId="0" fillId="7" borderId="0" xfId="0" applyFill="1" applyAlignment="1">
      <alignment horizontal="center" vertical="center"/>
    </xf>
    <xf numFmtId="0" fontId="3" fillId="0" borderId="7" xfId="0" applyFont="1" applyBorder="1" applyAlignment="1">
      <alignment horizontal="center"/>
    </xf>
    <xf numFmtId="181" fontId="3" fillId="3" borderId="12" xfId="0" applyNumberFormat="1" applyFont="1" applyFill="1" applyBorder="1" applyAlignment="1">
      <alignment shrinkToFit="1"/>
    </xf>
    <xf numFmtId="0" fontId="3" fillId="0" borderId="14" xfId="0" applyFont="1" applyBorder="1" applyAlignment="1">
      <alignment horizontal="center"/>
    </xf>
    <xf numFmtId="181" fontId="3" fillId="3" borderId="10" xfId="0" applyNumberFormat="1" applyFont="1" applyFill="1" applyBorder="1" applyAlignment="1">
      <alignment shrinkToFit="1"/>
    </xf>
    <xf numFmtId="181" fontId="3" fillId="3" borderId="14" xfId="0" applyNumberFormat="1" applyFont="1" applyFill="1" applyBorder="1" applyAlignment="1">
      <alignment shrinkToFit="1"/>
    </xf>
    <xf numFmtId="168" fontId="3" fillId="0" borderId="35" xfId="0" applyNumberFormat="1" applyFont="1" applyBorder="1" applyAlignment="1">
      <alignment shrinkToFit="1"/>
    </xf>
    <xf numFmtId="168" fontId="3" fillId="0" borderId="16" xfId="0" applyNumberFormat="1" applyFont="1" applyBorder="1" applyAlignment="1">
      <alignment shrinkToFit="1"/>
    </xf>
    <xf numFmtId="168" fontId="3" fillId="0" borderId="27" xfId="0" applyNumberFormat="1" applyFont="1" applyBorder="1" applyAlignment="1">
      <alignment shrinkToFit="1"/>
    </xf>
    <xf numFmtId="0" fontId="1" fillId="5" borderId="15" xfId="0" applyFont="1" applyFill="1" applyBorder="1" applyAlignment="1">
      <alignment horizontal="center"/>
    </xf>
    <xf numFmtId="168" fontId="1" fillId="0" borderId="0" xfId="0" applyNumberFormat="1" applyFont="1"/>
    <xf numFmtId="0" fontId="1" fillId="0" borderId="27" xfId="0" applyFont="1" applyBorder="1" applyAlignment="1">
      <alignment horizontal="center"/>
    </xf>
    <xf numFmtId="0" fontId="1" fillId="0" borderId="35" xfId="0" applyFont="1" applyBorder="1" applyAlignment="1">
      <alignment horizontal="left"/>
    </xf>
    <xf numFmtId="0" fontId="0" fillId="0" borderId="8" xfId="0" applyBorder="1" applyAlignment="1">
      <alignment horizontal="left"/>
    </xf>
    <xf numFmtId="0" fontId="0" fillId="0" borderId="10" xfId="0" applyBorder="1" applyAlignment="1">
      <alignment horizontal="left"/>
    </xf>
    <xf numFmtId="0" fontId="1" fillId="0" borderId="16" xfId="0" applyFont="1"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1" fillId="0" borderId="27" xfId="0" applyFont="1" applyBorder="1" applyAlignment="1">
      <alignment horizontal="left"/>
    </xf>
    <xf numFmtId="0" fontId="0" fillId="0" borderId="13" xfId="0" applyBorder="1" applyAlignment="1">
      <alignment horizontal="left"/>
    </xf>
    <xf numFmtId="0" fontId="0" fillId="0" borderId="14" xfId="0" applyBorder="1" applyAlignment="1">
      <alignment horizontal="left"/>
    </xf>
    <xf numFmtId="0" fontId="1" fillId="0" borderId="10" xfId="0" applyFont="1" applyBorder="1" applyAlignment="1">
      <alignment horizontal="center"/>
    </xf>
    <xf numFmtId="0" fontId="1" fillId="0" borderId="12" xfId="0" applyFont="1" applyBorder="1" applyAlignment="1">
      <alignment horizontal="center"/>
    </xf>
    <xf numFmtId="0" fontId="0" fillId="0" borderId="14" xfId="0" applyBorder="1" applyAlignment="1">
      <alignment horizontal="center"/>
    </xf>
    <xf numFmtId="0" fontId="0" fillId="0" borderId="8" xfId="0" applyBorder="1" applyAlignment="1">
      <alignment shrinkToFit="1"/>
    </xf>
    <xf numFmtId="0" fontId="0" fillId="0" borderId="10" xfId="0" applyBorder="1"/>
    <xf numFmtId="0" fontId="0" fillId="0" borderId="11" xfId="0" applyBorder="1" applyAlignment="1">
      <alignment shrinkToFit="1"/>
    </xf>
    <xf numFmtId="0" fontId="0" fillId="0" borderId="12" xfId="0" applyBorder="1"/>
    <xf numFmtId="0" fontId="0" fillId="0" borderId="13" xfId="0" applyBorder="1" applyAlignment="1">
      <alignment shrinkToFit="1"/>
    </xf>
    <xf numFmtId="0" fontId="6" fillId="0" borderId="0" xfId="0" applyFont="1" applyAlignment="1">
      <alignment horizontal="left"/>
    </xf>
    <xf numFmtId="0" fontId="3" fillId="0" borderId="0" xfId="0" quotePrefix="1" applyFont="1"/>
    <xf numFmtId="0" fontId="38" fillId="0" borderId="0" xfId="0" applyFont="1" applyAlignment="1">
      <alignment horizontal="left"/>
    </xf>
    <xf numFmtId="0" fontId="3" fillId="5" borderId="11" xfId="0" applyFont="1" applyFill="1" applyBorder="1" applyAlignment="1">
      <alignment horizontal="left" indent="1"/>
    </xf>
    <xf numFmtId="168" fontId="3" fillId="5" borderId="0" xfId="0" applyNumberFormat="1" applyFont="1" applyFill="1" applyAlignment="1">
      <alignment shrinkToFit="1"/>
    </xf>
    <xf numFmtId="0" fontId="3" fillId="5" borderId="12" xfId="0" applyFont="1" applyFill="1" applyBorder="1" applyAlignment="1">
      <alignment horizontal="left" indent="1" shrinkToFit="1"/>
    </xf>
    <xf numFmtId="0" fontId="3" fillId="5" borderId="0" xfId="0" applyFont="1" applyFill="1" applyAlignment="1">
      <alignment horizontal="left" indent="1" shrinkToFit="1"/>
    </xf>
    <xf numFmtId="0" fontId="22" fillId="5" borderId="11" xfId="0" applyFont="1" applyFill="1" applyBorder="1"/>
    <xf numFmtId="188" fontId="22" fillId="0" borderId="15" xfId="0" applyNumberFormat="1" applyFont="1" applyBorder="1" applyAlignment="1">
      <alignment shrinkToFit="1"/>
    </xf>
    <xf numFmtId="181" fontId="3" fillId="3" borderId="9" xfId="0" applyNumberFormat="1" applyFont="1" applyFill="1" applyBorder="1" applyAlignment="1">
      <alignment shrinkToFit="1"/>
    </xf>
    <xf numFmtId="181" fontId="3" fillId="3" borderId="0" xfId="0" applyNumberFormat="1" applyFont="1" applyFill="1" applyAlignment="1">
      <alignment shrinkToFit="1"/>
    </xf>
    <xf numFmtId="181" fontId="3" fillId="3" borderId="7" xfId="0" applyNumberFormat="1" applyFont="1" applyFill="1" applyBorder="1" applyAlignment="1">
      <alignment shrinkToFit="1"/>
    </xf>
    <xf numFmtId="0" fontId="1" fillId="10" borderId="10" xfId="0" applyFont="1" applyFill="1" applyBorder="1" applyAlignment="1">
      <alignment horizontal="center"/>
    </xf>
    <xf numFmtId="0" fontId="0" fillId="0" borderId="9" xfId="0" applyBorder="1"/>
    <xf numFmtId="0" fontId="12" fillId="0" borderId="13" xfId="0" applyFont="1" applyBorder="1" applyAlignment="1">
      <alignment horizontal="right"/>
    </xf>
    <xf numFmtId="168" fontId="0" fillId="0" borderId="5" xfId="0" applyNumberFormat="1" applyBorder="1" applyAlignment="1">
      <alignment shrinkToFit="1"/>
    </xf>
    <xf numFmtId="0" fontId="1" fillId="2" borderId="14" xfId="0" applyFont="1" applyFill="1" applyBorder="1"/>
    <xf numFmtId="0" fontId="1" fillId="0" borderId="0" xfId="0" applyFont="1" applyAlignment="1">
      <alignment horizontal="left" shrinkToFit="1"/>
    </xf>
    <xf numFmtId="0" fontId="0" fillId="0" borderId="15" xfId="0" applyBorder="1" applyAlignment="1">
      <alignment horizontal="center" vertical="center"/>
    </xf>
    <xf numFmtId="0" fontId="0" fillId="5" borderId="15" xfId="0" applyFill="1" applyBorder="1" applyAlignment="1">
      <alignment horizontal="center" vertical="center"/>
    </xf>
    <xf numFmtId="0" fontId="0" fillId="0" borderId="56"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1" fillId="3" borderId="16" xfId="0" applyFont="1" applyFill="1" applyBorder="1" applyAlignment="1">
      <alignment horizontal="center"/>
    </xf>
    <xf numFmtId="0" fontId="0" fillId="3" borderId="11" xfId="0" applyFill="1" applyBorder="1" applyAlignment="1">
      <alignment horizontal="left"/>
    </xf>
    <xf numFmtId="0" fontId="0" fillId="3" borderId="12" xfId="0" applyFill="1" applyBorder="1" applyAlignment="1">
      <alignment horizontal="left"/>
    </xf>
    <xf numFmtId="0" fontId="1" fillId="3" borderId="0" xfId="0" applyFont="1" applyFill="1"/>
    <xf numFmtId="0" fontId="0" fillId="3" borderId="0" xfId="0" applyFill="1"/>
    <xf numFmtId="0" fontId="40" fillId="0" borderId="0" xfId="0" applyFont="1" applyAlignment="1">
      <alignment horizontal="right"/>
    </xf>
    <xf numFmtId="189" fontId="0" fillId="0" borderId="24" xfId="0" applyNumberFormat="1" applyBorder="1" applyAlignment="1">
      <alignment horizontal="center" vertical="center"/>
    </xf>
    <xf numFmtId="189" fontId="0" fillId="0" borderId="23" xfId="0" applyNumberFormat="1" applyBorder="1" applyAlignment="1">
      <alignment vertical="center"/>
    </xf>
    <xf numFmtId="189" fontId="0" fillId="0" borderId="21" xfId="0" applyNumberFormat="1" applyBorder="1" applyAlignment="1">
      <alignment horizontal="left" textRotation="90" shrinkToFit="1"/>
    </xf>
    <xf numFmtId="189" fontId="0" fillId="0" borderId="24" xfId="0" applyNumberFormat="1" applyBorder="1" applyAlignment="1">
      <alignment horizontal="right"/>
    </xf>
    <xf numFmtId="189" fontId="0" fillId="0" borderId="0" xfId="0" applyNumberFormat="1" applyAlignment="1">
      <alignment horizontal="center" vertical="top"/>
    </xf>
    <xf numFmtId="0" fontId="1" fillId="0" borderId="0" xfId="0" applyFont="1" applyAlignment="1">
      <alignment vertical="center" textRotation="255" shrinkToFit="1"/>
    </xf>
    <xf numFmtId="0" fontId="1" fillId="0" borderId="0" xfId="0" applyFont="1" applyAlignment="1">
      <alignment vertical="center"/>
    </xf>
    <xf numFmtId="189" fontId="0" fillId="0" borderId="0" xfId="0" applyNumberFormat="1" applyAlignment="1">
      <alignment vertical="center"/>
    </xf>
    <xf numFmtId="189" fontId="0" fillId="0" borderId="0" xfId="0" applyNumberFormat="1" applyAlignment="1">
      <alignment vertical="top"/>
    </xf>
    <xf numFmtId="189" fontId="0" fillId="0" borderId="0" xfId="0" applyNumberFormat="1"/>
    <xf numFmtId="189" fontId="40" fillId="0" borderId="23" xfId="0" applyNumberFormat="1" applyFont="1" applyBorder="1" applyAlignment="1">
      <alignment horizontal="left" textRotation="90" shrinkToFit="1"/>
    </xf>
    <xf numFmtId="189" fontId="40" fillId="0" borderId="23" xfId="0" applyNumberFormat="1" applyFont="1" applyBorder="1" applyAlignment="1">
      <alignment horizontal="right" textRotation="90" shrinkToFit="1"/>
    </xf>
    <xf numFmtId="189" fontId="40" fillId="0" borderId="0" xfId="0" applyNumberFormat="1" applyFont="1" applyAlignment="1">
      <alignment horizontal="left" textRotation="90" shrinkToFit="1"/>
    </xf>
    <xf numFmtId="189" fontId="40" fillId="0" borderId="0" xfId="0" applyNumberFormat="1" applyFont="1" applyAlignment="1">
      <alignment horizontal="right" textRotation="90" shrinkToFit="1"/>
    </xf>
    <xf numFmtId="189" fontId="40" fillId="0" borderId="22" xfId="0" applyNumberFormat="1" applyFont="1" applyBorder="1" applyAlignment="1">
      <alignment horizontal="left" textRotation="90" shrinkToFit="1"/>
    </xf>
    <xf numFmtId="189" fontId="40" fillId="0" borderId="22" xfId="0" applyNumberFormat="1" applyFont="1" applyBorder="1" applyAlignment="1">
      <alignment horizontal="right" textRotation="90" shrinkToFit="1"/>
    </xf>
    <xf numFmtId="189" fontId="40" fillId="0" borderId="0" xfId="0" applyNumberFormat="1" applyFont="1" applyAlignment="1">
      <alignment horizontal="left" vertical="center" textRotation="90" shrinkToFit="1"/>
    </xf>
    <xf numFmtId="0" fontId="43" fillId="0" borderId="0" xfId="2" applyFont="1" applyBorder="1" applyAlignment="1" applyProtection="1">
      <alignment vertical="center" wrapText="1"/>
      <protection hidden="1"/>
    </xf>
    <xf numFmtId="0" fontId="44" fillId="0" borderId="0" xfId="2" applyFont="1" applyBorder="1" applyAlignment="1" applyProtection="1">
      <alignment horizontal="center" vertical="center" wrapText="1"/>
      <protection hidden="1"/>
    </xf>
    <xf numFmtId="0" fontId="11" fillId="0" borderId="60" xfId="2" applyBorder="1" applyAlignment="1">
      <alignment horizontal="center" vertical="center"/>
    </xf>
    <xf numFmtId="0" fontId="11" fillId="0" borderId="0" xfId="2" applyAlignment="1">
      <alignment horizontal="center" vertical="center"/>
    </xf>
    <xf numFmtId="0" fontId="9" fillId="0" borderId="65" xfId="0" applyFont="1" applyBorder="1" applyAlignment="1" applyProtection="1">
      <alignment vertical="top"/>
      <protection hidden="1"/>
    </xf>
    <xf numFmtId="0" fontId="10" fillId="0" borderId="0" xfId="0" applyFont="1" applyAlignment="1" applyProtection="1">
      <alignment horizontal="justify" vertical="top" wrapText="1"/>
      <protection hidden="1"/>
    </xf>
    <xf numFmtId="0" fontId="9" fillId="0" borderId="67" xfId="0" applyFont="1" applyBorder="1" applyAlignment="1" applyProtection="1">
      <alignment vertical="top"/>
      <protection hidden="1"/>
    </xf>
    <xf numFmtId="0" fontId="52" fillId="0" borderId="0" xfId="0" quotePrefix="1" applyFont="1" applyAlignment="1" applyProtection="1">
      <alignment horizontal="center" vertical="top"/>
      <protection hidden="1"/>
    </xf>
    <xf numFmtId="0" fontId="51" fillId="0" borderId="0" xfId="0" quotePrefix="1" applyFont="1" applyAlignment="1" applyProtection="1">
      <alignment horizontal="center" vertical="top" wrapText="1"/>
      <protection hidden="1"/>
    </xf>
    <xf numFmtId="0" fontId="9" fillId="0" borderId="65" xfId="0" applyFont="1" applyBorder="1" applyAlignment="1">
      <alignment vertical="top"/>
    </xf>
    <xf numFmtId="0" fontId="10" fillId="0" borderId="0" xfId="0" applyFont="1" applyAlignment="1">
      <alignment horizontal="justify" vertical="top" wrapText="1"/>
    </xf>
    <xf numFmtId="0" fontId="9" fillId="0" borderId="67" xfId="0" applyFont="1" applyBorder="1" applyAlignment="1">
      <alignment vertical="top"/>
    </xf>
    <xf numFmtId="0" fontId="10" fillId="0" borderId="71" xfId="0" applyFont="1" applyBorder="1" applyAlignment="1">
      <alignment horizontal="justify" vertical="top" wrapText="1"/>
    </xf>
    <xf numFmtId="0" fontId="9" fillId="2" borderId="0" xfId="0" applyFont="1" applyFill="1" applyAlignment="1">
      <alignment shrinkToFit="1"/>
    </xf>
    <xf numFmtId="0" fontId="3" fillId="5" borderId="0" xfId="0" applyFont="1" applyFill="1" applyAlignment="1">
      <alignment horizontal="left" shrinkToFit="1"/>
    </xf>
    <xf numFmtId="0" fontId="12" fillId="0" borderId="0" xfId="0" applyFont="1" applyAlignment="1">
      <alignment horizontal="left" indent="1"/>
    </xf>
    <xf numFmtId="0" fontId="0" fillId="0" borderId="18" xfId="0" applyBorder="1" applyAlignment="1">
      <alignment shrinkToFit="1"/>
    </xf>
    <xf numFmtId="0" fontId="0" fillId="0" borderId="17" xfId="0" applyBorder="1" applyAlignment="1">
      <alignment shrinkToFit="1"/>
    </xf>
    <xf numFmtId="0" fontId="3" fillId="0" borderId="0" xfId="0" applyFont="1" applyAlignment="1">
      <alignment horizontal="right" vertical="top" indent="1"/>
    </xf>
    <xf numFmtId="0" fontId="12" fillId="0" borderId="15" xfId="0" applyFont="1" applyBorder="1" applyAlignment="1">
      <alignment horizontal="right" shrinkToFit="1"/>
    </xf>
    <xf numFmtId="0" fontId="0" fillId="0" borderId="15" xfId="0" applyBorder="1" applyAlignment="1">
      <alignment horizontal="center"/>
    </xf>
    <xf numFmtId="0" fontId="0" fillId="0" borderId="15" xfId="0" applyBorder="1"/>
    <xf numFmtId="169" fontId="53" fillId="0" borderId="12" xfId="0" applyNumberFormat="1" applyFont="1" applyBorder="1" applyAlignment="1">
      <alignment horizontal="right" shrinkToFit="1"/>
    </xf>
    <xf numFmtId="0" fontId="0" fillId="3" borderId="16" xfId="0" applyFill="1" applyBorder="1" applyAlignment="1">
      <alignment shrinkToFit="1"/>
    </xf>
    <xf numFmtId="0" fontId="0" fillId="0" borderId="0" xfId="0" applyAlignment="1">
      <alignment vertical="top"/>
    </xf>
    <xf numFmtId="0" fontId="3" fillId="0" borderId="0" xfId="0" applyFont="1" applyAlignment="1">
      <alignment horizontal="left" vertical="top" wrapText="1"/>
    </xf>
    <xf numFmtId="0" fontId="1" fillId="0" borderId="0" xfId="0" applyFont="1" applyAlignment="1">
      <alignment horizontal="center" vertical="top"/>
    </xf>
    <xf numFmtId="0" fontId="3" fillId="0" borderId="0" xfId="0" applyFont="1" applyAlignment="1">
      <alignment vertical="top"/>
    </xf>
    <xf numFmtId="0" fontId="3" fillId="0" borderId="0" xfId="0" applyFont="1" applyAlignment="1">
      <alignment vertical="top" shrinkToFit="1"/>
    </xf>
    <xf numFmtId="0" fontId="3" fillId="0" borderId="0" xfId="0" applyFont="1" applyAlignment="1">
      <alignment horizontal="center" wrapText="1"/>
    </xf>
    <xf numFmtId="0" fontId="3" fillId="0" borderId="0" xfId="0" applyFont="1" applyAlignment="1">
      <alignment horizontal="center" vertical="top"/>
    </xf>
    <xf numFmtId="0" fontId="0" fillId="0" borderId="0" xfId="0" applyAlignment="1">
      <alignment vertical="top" shrinkToFit="1"/>
    </xf>
    <xf numFmtId="0" fontId="0" fillId="3" borderId="0" xfId="0" applyFill="1" applyAlignment="1">
      <alignment wrapText="1"/>
    </xf>
    <xf numFmtId="0" fontId="3" fillId="0" borderId="0" xfId="0" applyFont="1" applyAlignment="1">
      <alignment horizontal="center" vertical="top" wrapText="1"/>
    </xf>
    <xf numFmtId="0" fontId="3" fillId="0" borderId="0" xfId="0" applyFont="1" applyAlignment="1">
      <alignment vertical="top" wrapText="1"/>
    </xf>
    <xf numFmtId="0" fontId="9" fillId="0" borderId="0" xfId="0" applyFont="1" applyAlignment="1">
      <alignment horizontal="center" wrapText="1" shrinkToFit="1"/>
    </xf>
    <xf numFmtId="0" fontId="9" fillId="0" borderId="0" xfId="0" applyFont="1" applyAlignment="1">
      <alignment horizontal="center" vertical="top" wrapText="1" shrinkToFit="1"/>
    </xf>
    <xf numFmtId="0" fontId="3" fillId="0" borderId="0" xfId="0" applyFont="1" applyAlignment="1">
      <alignment horizontal="left" vertical="top"/>
    </xf>
    <xf numFmtId="0" fontId="0" fillId="0" borderId="0" xfId="0" quotePrefix="1" applyAlignment="1">
      <alignment wrapText="1"/>
    </xf>
    <xf numFmtId="0" fontId="0" fillId="9" borderId="0" xfId="0" applyFill="1"/>
    <xf numFmtId="177" fontId="24" fillId="9" borderId="0" xfId="0" applyNumberFormat="1" applyFont="1" applyFill="1" applyAlignment="1">
      <alignment shrinkToFit="1"/>
    </xf>
    <xf numFmtId="190" fontId="0" fillId="0" borderId="0" xfId="0" applyNumberFormat="1" applyAlignment="1">
      <alignment horizontal="left"/>
    </xf>
    <xf numFmtId="0" fontId="0" fillId="0" borderId="11" xfId="0" applyBorder="1" applyAlignment="1">
      <alignment horizontal="center" vertical="center"/>
    </xf>
    <xf numFmtId="0" fontId="0" fillId="0" borderId="0" xfId="0" applyProtection="1">
      <protection locked="0"/>
    </xf>
    <xf numFmtId="49" fontId="0" fillId="0" borderId="0" xfId="0" applyNumberFormat="1" applyAlignment="1" applyProtection="1">
      <alignment horizontal="center"/>
      <protection locked="0"/>
    </xf>
    <xf numFmtId="164" fontId="25" fillId="0" borderId="0" xfId="0" applyNumberFormat="1" applyFont="1" applyAlignment="1">
      <alignment horizontal="right" shrinkToFit="1"/>
    </xf>
    <xf numFmtId="180" fontId="28" fillId="0" borderId="0" xfId="0" applyNumberFormat="1" applyFont="1" applyAlignment="1">
      <alignment horizontal="center" vertical="center" shrinkToFit="1"/>
    </xf>
    <xf numFmtId="164" fontId="12" fillId="0" borderId="0" xfId="0" applyNumberFormat="1" applyFont="1" applyAlignment="1">
      <alignment horizontal="left" shrinkToFit="1"/>
    </xf>
    <xf numFmtId="0" fontId="18" fillId="0" borderId="0" xfId="0" applyFont="1" applyAlignment="1">
      <alignment horizontal="center" vertical="center" shrinkToFit="1"/>
    </xf>
    <xf numFmtId="175" fontId="19" fillId="0" borderId="0" xfId="0" applyNumberFormat="1" applyFont="1" applyAlignment="1">
      <alignment horizontal="center" vertical="center" shrinkToFit="1"/>
    </xf>
    <xf numFmtId="176" fontId="20" fillId="0" borderId="0" xfId="0" applyNumberFormat="1" applyFont="1" applyAlignment="1">
      <alignment horizontal="center" vertical="center" shrinkToFit="1"/>
    </xf>
    <xf numFmtId="0" fontId="1" fillId="0" borderId="0" xfId="0" applyFont="1" applyAlignment="1">
      <alignment horizontal="right"/>
    </xf>
    <xf numFmtId="185" fontId="0" fillId="0" borderId="0" xfId="0" applyNumberFormat="1" applyAlignment="1">
      <alignment horizontal="center" shrinkToFit="1"/>
    </xf>
    <xf numFmtId="0" fontId="0" fillId="5" borderId="48" xfId="0" applyFill="1" applyBorder="1" applyAlignment="1">
      <alignment horizontal="center" vertical="center"/>
    </xf>
    <xf numFmtId="0" fontId="0" fillId="5" borderId="11" xfId="0" applyFill="1" applyBorder="1" applyAlignment="1">
      <alignment horizontal="center" vertical="center"/>
    </xf>
    <xf numFmtId="0" fontId="0" fillId="5" borderId="52" xfId="0" applyFill="1" applyBorder="1" applyAlignment="1">
      <alignment horizontal="center" vertical="center"/>
    </xf>
    <xf numFmtId="0" fontId="0" fillId="0" borderId="52" xfId="0" applyBorder="1" applyAlignment="1">
      <alignment horizontal="center" vertical="center"/>
    </xf>
    <xf numFmtId="0" fontId="0" fillId="5" borderId="56" xfId="0" applyFill="1" applyBorder="1" applyAlignment="1">
      <alignment horizontal="center" vertical="center"/>
    </xf>
    <xf numFmtId="0" fontId="1" fillId="0" borderId="17" xfId="0" applyFont="1" applyBorder="1" applyAlignment="1">
      <alignment horizontal="center"/>
    </xf>
    <xf numFmtId="0" fontId="0" fillId="0" borderId="77" xfId="0" applyBorder="1" applyAlignment="1">
      <alignment horizontal="center" vertical="center"/>
    </xf>
    <xf numFmtId="0" fontId="1" fillId="7" borderId="35" xfId="0" applyFont="1" applyFill="1" applyBorder="1" applyAlignment="1">
      <alignment horizontal="center" vertical="center"/>
    </xf>
    <xf numFmtId="0" fontId="1" fillId="7" borderId="76" xfId="0" applyFont="1" applyFill="1" applyBorder="1" applyAlignment="1">
      <alignment horizontal="center" vertical="center"/>
    </xf>
    <xf numFmtId="0" fontId="1" fillId="7" borderId="48" xfId="0" applyFont="1" applyFill="1" applyBorder="1" applyAlignment="1">
      <alignment horizontal="center" vertical="center"/>
    </xf>
    <xf numFmtId="0" fontId="1" fillId="7" borderId="16" xfId="0" applyFont="1" applyFill="1" applyBorder="1" applyAlignment="1">
      <alignment horizontal="center" vertical="center"/>
    </xf>
    <xf numFmtId="0" fontId="40" fillId="0" borderId="0" xfId="0" applyFont="1"/>
    <xf numFmtId="0" fontId="21" fillId="0" borderId="9" xfId="0" applyFont="1" applyBorder="1" applyAlignment="1" applyProtection="1">
      <alignment horizontal="center" vertical="center" wrapText="1"/>
      <protection locked="0"/>
    </xf>
    <xf numFmtId="169" fontId="12" fillId="5" borderId="12" xfId="0" applyNumberFormat="1" applyFont="1" applyFill="1" applyBorder="1"/>
    <xf numFmtId="0" fontId="1" fillId="0" borderId="4" xfId="0" applyFont="1" applyBorder="1" applyAlignment="1">
      <alignment horizontal="center" shrinkToFit="1"/>
    </xf>
    <xf numFmtId="0" fontId="1" fillId="0" borderId="6" xfId="0" applyFont="1" applyBorder="1" applyAlignment="1">
      <alignment horizontal="center" shrinkToFit="1"/>
    </xf>
    <xf numFmtId="0" fontId="1" fillId="5" borderId="5" xfId="0" applyFont="1" applyFill="1" applyBorder="1" applyAlignment="1">
      <alignment horizontal="center" shrinkToFit="1"/>
    </xf>
    <xf numFmtId="0" fontId="1" fillId="0" borderId="6" xfId="0" applyFont="1" applyBorder="1" applyAlignment="1">
      <alignment horizontal="center"/>
    </xf>
    <xf numFmtId="0" fontId="1" fillId="3" borderId="0" xfId="0" applyFont="1" applyFill="1" applyAlignment="1">
      <alignment horizontal="center" vertical="center" shrinkToFit="1"/>
    </xf>
    <xf numFmtId="0" fontId="4" fillId="4" borderId="25" xfId="0" applyFont="1" applyFill="1" applyBorder="1" applyAlignment="1">
      <alignment horizontal="center"/>
    </xf>
    <xf numFmtId="0" fontId="5" fillId="4" borderId="34" xfId="0" applyFont="1" applyFill="1" applyBorder="1" applyAlignment="1">
      <alignment horizontal="center" vertical="center"/>
    </xf>
    <xf numFmtId="0" fontId="5" fillId="4" borderId="35" xfId="0" applyFont="1" applyFill="1" applyBorder="1" applyAlignment="1">
      <alignment horizontal="center" vertical="center"/>
    </xf>
    <xf numFmtId="0" fontId="5" fillId="4" borderId="10" xfId="0" applyFont="1" applyFill="1" applyBorder="1" applyAlignment="1">
      <alignment horizontal="center" vertical="center"/>
    </xf>
    <xf numFmtId="0" fontId="5" fillId="4" borderId="36" xfId="0" applyFont="1" applyFill="1" applyBorder="1" applyAlignment="1">
      <alignment horizontal="center" vertical="center"/>
    </xf>
    <xf numFmtId="0" fontId="5" fillId="4" borderId="8" xfId="0" applyFont="1" applyFill="1" applyBorder="1" applyAlignment="1">
      <alignment horizontal="center" vertical="center"/>
    </xf>
    <xf numFmtId="0" fontId="8" fillId="17" borderId="15" xfId="0" applyFont="1" applyFill="1" applyBorder="1" applyAlignment="1">
      <alignment horizontal="center" vertical="center"/>
    </xf>
    <xf numFmtId="0" fontId="9" fillId="3" borderId="0" xfId="0" applyFont="1" applyFill="1" applyAlignment="1">
      <alignment horizontal="center" vertical="center"/>
    </xf>
    <xf numFmtId="0" fontId="4" fillId="4" borderId="0" xfId="0" applyFont="1" applyFill="1" applyAlignment="1">
      <alignment vertical="top"/>
    </xf>
    <xf numFmtId="0" fontId="15" fillId="0" borderId="49" xfId="0" applyFont="1" applyBorder="1" applyAlignment="1">
      <alignment horizontal="left" vertical="top" wrapText="1"/>
    </xf>
    <xf numFmtId="0" fontId="15" fillId="0" borderId="16" xfId="0" applyFont="1" applyBorder="1" applyAlignment="1">
      <alignment horizontal="left" vertical="top" wrapText="1"/>
    </xf>
    <xf numFmtId="0" fontId="17" fillId="0" borderId="50" xfId="0" applyFont="1" applyBorder="1" applyAlignment="1">
      <alignment horizontal="left" vertical="top" wrapText="1"/>
    </xf>
    <xf numFmtId="0" fontId="17" fillId="0" borderId="0" xfId="0" applyFont="1" applyAlignment="1">
      <alignment horizontal="left" vertical="top" wrapText="1"/>
    </xf>
    <xf numFmtId="0" fontId="12" fillId="0" borderId="49" xfId="0" applyFont="1" applyBorder="1" applyAlignment="1">
      <alignment horizontal="left" vertical="top" wrapText="1"/>
    </xf>
    <xf numFmtId="0" fontId="12" fillId="0" borderId="16" xfId="0" applyFont="1" applyBorder="1" applyAlignment="1">
      <alignment horizontal="left" vertical="top" wrapText="1"/>
    </xf>
    <xf numFmtId="0" fontId="12" fillId="0" borderId="50" xfId="0" applyFont="1" applyBorder="1" applyAlignment="1">
      <alignment horizontal="left" vertical="top" wrapText="1"/>
    </xf>
    <xf numFmtId="0" fontId="12" fillId="0" borderId="11" xfId="0" applyFont="1" applyBorder="1" applyAlignment="1">
      <alignment horizontal="left" vertical="top" wrapText="1"/>
    </xf>
    <xf numFmtId="0" fontId="1" fillId="0" borderId="33" xfId="0" applyFont="1" applyBorder="1" applyAlignment="1">
      <alignment horizontal="left" vertical="top" wrapText="1" shrinkToFit="1"/>
    </xf>
    <xf numFmtId="2" fontId="12" fillId="0" borderId="34" xfId="0" applyNumberFormat="1" applyFont="1" applyBorder="1" applyAlignment="1">
      <alignment horizontal="center" vertical="center"/>
    </xf>
    <xf numFmtId="2" fontId="12" fillId="0" borderId="35" xfId="0" applyNumberFormat="1" applyFont="1" applyBorder="1" applyAlignment="1">
      <alignment horizontal="center" vertical="center"/>
    </xf>
    <xf numFmtId="185" fontId="15" fillId="0" borderId="36" xfId="0" applyNumberFormat="1" applyFont="1" applyBorder="1" applyAlignment="1">
      <alignment horizontal="center" vertical="center"/>
    </xf>
    <xf numFmtId="0" fontId="18" fillId="0" borderId="34" xfId="0" applyFont="1" applyBorder="1" applyAlignment="1">
      <alignment horizontal="center" vertical="center"/>
    </xf>
    <xf numFmtId="0" fontId="18" fillId="0" borderId="35" xfId="0" applyFont="1" applyBorder="1" applyAlignment="1">
      <alignment horizontal="center" vertical="center"/>
    </xf>
    <xf numFmtId="0" fontId="18" fillId="0" borderId="36" xfId="0" applyFont="1" applyBorder="1" applyAlignment="1">
      <alignment horizontal="center" vertical="center"/>
    </xf>
    <xf numFmtId="0" fontId="19" fillId="0" borderId="34" xfId="0" applyFont="1" applyBorder="1" applyAlignment="1">
      <alignment horizontal="center" vertical="center"/>
    </xf>
    <xf numFmtId="0" fontId="19" fillId="0" borderId="35" xfId="0" applyFont="1" applyBorder="1" applyAlignment="1">
      <alignment horizontal="center" vertical="center"/>
    </xf>
    <xf numFmtId="0" fontId="19" fillId="0" borderId="36" xfId="0" applyFont="1" applyBorder="1" applyAlignment="1">
      <alignment horizontal="center" vertical="center"/>
    </xf>
    <xf numFmtId="0" fontId="20" fillId="0" borderId="34" xfId="0" applyFont="1" applyBorder="1" applyAlignment="1">
      <alignment horizontal="center" vertical="center"/>
    </xf>
    <xf numFmtId="0" fontId="20" fillId="0" borderId="35" xfId="0" applyFont="1" applyBorder="1" applyAlignment="1">
      <alignment horizontal="center" vertical="center"/>
    </xf>
    <xf numFmtId="0" fontId="20" fillId="0" borderId="36" xfId="0" applyFont="1" applyBorder="1" applyAlignment="1">
      <alignment horizontal="center" vertical="center"/>
    </xf>
    <xf numFmtId="0" fontId="21" fillId="0" borderId="38" xfId="0" applyFont="1" applyBorder="1" applyAlignment="1">
      <alignment horizontal="center" vertical="center"/>
    </xf>
    <xf numFmtId="0" fontId="21" fillId="0" borderId="15" xfId="0" applyFont="1" applyBorder="1" applyAlignment="1">
      <alignment horizontal="center" vertical="center"/>
    </xf>
    <xf numFmtId="0" fontId="21" fillId="0" borderId="39" xfId="0" applyFont="1" applyBorder="1" applyAlignment="1">
      <alignment horizontal="center" vertical="center"/>
    </xf>
    <xf numFmtId="0" fontId="21" fillId="0" borderId="9" xfId="0" applyFont="1" applyBorder="1" applyAlignment="1">
      <alignment horizontal="left" vertical="center" wrapText="1"/>
    </xf>
    <xf numFmtId="0" fontId="21" fillId="0" borderId="33" xfId="0" applyFont="1" applyBorder="1" applyAlignment="1">
      <alignment horizontal="center" vertical="center"/>
    </xf>
    <xf numFmtId="0" fontId="4" fillId="4" borderId="0" xfId="0" applyFont="1" applyFill="1" applyAlignment="1">
      <alignment horizontal="center"/>
    </xf>
    <xf numFmtId="0" fontId="5" fillId="4" borderId="0" xfId="0" applyFont="1" applyFill="1" applyAlignment="1">
      <alignment horizontal="center" vertical="center"/>
    </xf>
    <xf numFmtId="0" fontId="5" fillId="4" borderId="0" xfId="0" applyFont="1" applyFill="1" applyAlignment="1">
      <alignment horizontal="center" vertical="center" shrinkToFit="1"/>
    </xf>
    <xf numFmtId="0" fontId="8" fillId="17" borderId="0" xfId="0" applyFont="1" applyFill="1" applyAlignment="1">
      <alignment horizontal="center" vertical="center"/>
    </xf>
    <xf numFmtId="0" fontId="8" fillId="3" borderId="0" xfId="0" applyFont="1" applyFill="1" applyAlignment="1">
      <alignment horizontal="center" vertical="center" shrinkToFit="1"/>
    </xf>
    <xf numFmtId="0" fontId="0" fillId="8" borderId="6" xfId="0" applyFill="1" applyBorder="1" applyAlignment="1">
      <alignment horizontal="left" vertical="center" wrapText="1" shrinkToFit="1"/>
    </xf>
    <xf numFmtId="2" fontId="1" fillId="0" borderId="4" xfId="0" applyNumberFormat="1" applyFont="1" applyBorder="1" applyAlignment="1">
      <alignment horizontal="center" shrinkToFit="1"/>
    </xf>
    <xf numFmtId="2" fontId="1" fillId="0" borderId="5" xfId="0" applyNumberFormat="1" applyFont="1" applyBorder="1" applyAlignment="1">
      <alignment horizontal="center" shrinkToFit="1"/>
    </xf>
    <xf numFmtId="2" fontId="1" fillId="0" borderId="6" xfId="0" applyNumberFormat="1" applyFont="1" applyBorder="1" applyAlignment="1">
      <alignment horizontal="center" shrinkToFit="1"/>
    </xf>
    <xf numFmtId="0" fontId="1" fillId="0" borderId="15" xfId="0" applyFont="1" applyBorder="1" applyAlignment="1">
      <alignment shrinkToFit="1"/>
    </xf>
    <xf numFmtId="0" fontId="1" fillId="0" borderId="5" xfId="0" applyFont="1" applyBorder="1" applyAlignment="1">
      <alignment horizontal="center" shrinkToFit="1"/>
    </xf>
    <xf numFmtId="0" fontId="1" fillId="0" borderId="4" xfId="0" applyFont="1" applyBorder="1" applyAlignment="1">
      <alignment shrinkToFit="1"/>
    </xf>
    <xf numFmtId="0" fontId="1" fillId="0" borderId="5" xfId="0" applyFont="1" applyBorder="1" applyAlignment="1">
      <alignment shrinkToFit="1"/>
    </xf>
    <xf numFmtId="0" fontId="1" fillId="0" borderId="6" xfId="0" applyFont="1" applyBorder="1" applyAlignment="1">
      <alignment shrinkToFit="1"/>
    </xf>
    <xf numFmtId="0" fontId="1" fillId="0" borderId="5" xfId="0" applyFont="1" applyBorder="1" applyAlignment="1">
      <alignment horizontal="center" vertical="center"/>
    </xf>
    <xf numFmtId="0" fontId="0" fillId="0" borderId="6" xfId="0" applyBorder="1"/>
    <xf numFmtId="0" fontId="8" fillId="17" borderId="0" xfId="0" applyFont="1" applyFill="1" applyAlignment="1">
      <alignment horizontal="center" vertical="top" wrapText="1"/>
    </xf>
    <xf numFmtId="0" fontId="15" fillId="0" borderId="0" xfId="0" applyFont="1" applyAlignment="1">
      <alignment horizontal="left" vertical="top" wrapText="1"/>
    </xf>
    <xf numFmtId="0" fontId="12" fillId="0" borderId="0" xfId="0" applyFont="1" applyAlignment="1">
      <alignment horizontal="left" vertical="top" wrapText="1"/>
    </xf>
    <xf numFmtId="0" fontId="3" fillId="17" borderId="0" xfId="0" applyFont="1" applyFill="1" applyAlignment="1">
      <alignment horizontal="left" vertical="top" wrapText="1"/>
    </xf>
    <xf numFmtId="0" fontId="8" fillId="17" borderId="0" xfId="0" applyFont="1" applyFill="1" applyAlignment="1">
      <alignment horizontal="left" vertical="top" wrapText="1"/>
    </xf>
    <xf numFmtId="0" fontId="12" fillId="0" borderId="0" xfId="0" applyFont="1" applyAlignment="1">
      <alignment horizontal="right" vertical="top" wrapText="1"/>
    </xf>
    <xf numFmtId="0" fontId="0" fillId="0" borderId="9" xfId="0" applyBorder="1" applyAlignment="1">
      <alignment horizontal="center" vertical="center"/>
    </xf>
    <xf numFmtId="0" fontId="0" fillId="0" borderId="12" xfId="0" applyBorder="1" applyAlignment="1" applyProtection="1">
      <alignment vertical="center" wrapText="1"/>
      <protection locked="0"/>
    </xf>
    <xf numFmtId="0" fontId="56" fillId="0" borderId="0" xfId="0" applyFont="1" applyAlignment="1">
      <alignment horizontal="left" vertical="center" wrapText="1"/>
    </xf>
    <xf numFmtId="0" fontId="56" fillId="0" borderId="0" xfId="0" applyFont="1" applyAlignment="1">
      <alignment vertical="center" wrapText="1"/>
    </xf>
    <xf numFmtId="169" fontId="0" fillId="0" borderId="9" xfId="0" applyNumberFormat="1" applyBorder="1" applyAlignment="1">
      <alignment vertical="center" shrinkToFit="1"/>
    </xf>
    <xf numFmtId="169" fontId="0" fillId="0" borderId="0" xfId="0" applyNumberFormat="1" applyAlignment="1">
      <alignment vertical="center" shrinkToFit="1"/>
    </xf>
    <xf numFmtId="179" fontId="22" fillId="0" borderId="7" xfId="0" applyNumberFormat="1" applyFont="1" applyBorder="1" applyAlignment="1">
      <alignment vertical="center" shrinkToFit="1"/>
    </xf>
    <xf numFmtId="169" fontId="31" fillId="0" borderId="9" xfId="0" applyNumberFormat="1" applyFont="1" applyBorder="1" applyAlignment="1">
      <alignment vertical="center" shrinkToFit="1"/>
    </xf>
    <xf numFmtId="169" fontId="31" fillId="0" borderId="0" xfId="0" applyNumberFormat="1" applyFont="1" applyAlignment="1">
      <alignment vertical="center" shrinkToFit="1"/>
    </xf>
    <xf numFmtId="169" fontId="31" fillId="5" borderId="0" xfId="0" applyNumberFormat="1" applyFont="1" applyFill="1" applyAlignment="1">
      <alignment vertical="center" shrinkToFit="1"/>
    </xf>
    <xf numFmtId="179" fontId="36" fillId="0" borderId="7" xfId="0" applyNumberFormat="1" applyFont="1" applyBorder="1" applyAlignment="1">
      <alignment horizontal="left" shrinkToFit="1"/>
    </xf>
    <xf numFmtId="164" fontId="60" fillId="0" borderId="16" xfId="0" applyNumberFormat="1" applyFont="1" applyBorder="1" applyAlignment="1">
      <alignment horizontal="right" vertical="top" wrapText="1"/>
    </xf>
    <xf numFmtId="0" fontId="0" fillId="0" borderId="0" xfId="0" applyAlignment="1">
      <alignment horizontal="center" vertical="center" shrinkToFit="1"/>
    </xf>
    <xf numFmtId="0" fontId="1" fillId="0" borderId="36" xfId="0" applyFont="1" applyBorder="1" applyAlignment="1">
      <alignment horizontal="left" vertical="top" wrapText="1" shrinkToFit="1"/>
    </xf>
    <xf numFmtId="0" fontId="0" fillId="0" borderId="9" xfId="0" applyBorder="1" applyAlignment="1">
      <alignment horizontal="center" vertical="center" shrinkToFit="1"/>
    </xf>
    <xf numFmtId="164" fontId="58" fillId="0" borderId="10" xfId="0" applyNumberFormat="1" applyFont="1" applyBorder="1" applyAlignment="1">
      <alignment horizontal="center" vertical="center" wrapText="1"/>
    </xf>
    <xf numFmtId="164" fontId="58" fillId="0" borderId="12" xfId="0" applyNumberFormat="1" applyFont="1" applyBorder="1" applyAlignment="1">
      <alignment horizontal="center" vertical="center"/>
    </xf>
    <xf numFmtId="0" fontId="1" fillId="0" borderId="39" xfId="0" applyFont="1" applyBorder="1" applyAlignment="1">
      <alignment horizontal="left" vertical="top" wrapText="1" shrinkToFit="1"/>
    </xf>
    <xf numFmtId="0" fontId="1" fillId="0" borderId="78" xfId="0" applyFont="1" applyBorder="1" applyAlignment="1">
      <alignment horizontal="left" vertical="top" wrapText="1" shrinkToFit="1"/>
    </xf>
    <xf numFmtId="2" fontId="12" fillId="0" borderId="38" xfId="0" applyNumberFormat="1" applyFont="1" applyBorder="1" applyAlignment="1">
      <alignment horizontal="center" vertical="center"/>
    </xf>
    <xf numFmtId="2" fontId="12" fillId="0" borderId="15" xfId="0" applyNumberFormat="1" applyFont="1" applyBorder="1" applyAlignment="1">
      <alignment horizontal="center" vertical="center"/>
    </xf>
    <xf numFmtId="185" fontId="15" fillId="0" borderId="39" xfId="0" applyNumberFormat="1" applyFont="1" applyBorder="1" applyAlignment="1">
      <alignment horizontal="center" vertical="center"/>
    </xf>
    <xf numFmtId="0" fontId="0" fillId="0" borderId="7" xfId="0" applyBorder="1" applyAlignment="1">
      <alignment horizontal="center" vertical="center" shrinkToFit="1"/>
    </xf>
    <xf numFmtId="0" fontId="0" fillId="0" borderId="7" xfId="0" applyBorder="1" applyAlignment="1">
      <alignment horizontal="center" vertical="center"/>
    </xf>
    <xf numFmtId="0" fontId="18" fillId="0" borderId="38" xfId="0" applyFont="1" applyBorder="1" applyAlignment="1">
      <alignment horizontal="center" vertical="center"/>
    </xf>
    <xf numFmtId="0" fontId="18" fillId="0" borderId="15" xfId="0" applyFont="1" applyBorder="1" applyAlignment="1">
      <alignment horizontal="center" vertical="center"/>
    </xf>
    <xf numFmtId="0" fontId="18" fillId="0" borderId="39" xfId="0" applyFont="1" applyBorder="1" applyAlignment="1">
      <alignment horizontal="center" vertical="center"/>
    </xf>
    <xf numFmtId="0" fontId="19" fillId="0" borderId="38" xfId="0" applyFont="1" applyBorder="1" applyAlignment="1">
      <alignment horizontal="center" vertical="center"/>
    </xf>
    <xf numFmtId="0" fontId="19" fillId="0" borderId="15" xfId="0" applyFont="1" applyBorder="1" applyAlignment="1">
      <alignment horizontal="center" vertical="center"/>
    </xf>
    <xf numFmtId="0" fontId="19" fillId="0" borderId="39" xfId="0" applyFont="1" applyBorder="1" applyAlignment="1">
      <alignment horizontal="center" vertical="center"/>
    </xf>
    <xf numFmtId="0" fontId="20" fillId="0" borderId="38" xfId="0" applyFont="1" applyBorder="1" applyAlignment="1">
      <alignment horizontal="center" vertical="center"/>
    </xf>
    <xf numFmtId="0" fontId="20" fillId="0" borderId="15" xfId="0" applyFont="1" applyBorder="1" applyAlignment="1">
      <alignment horizontal="center" vertical="center"/>
    </xf>
    <xf numFmtId="0" fontId="20" fillId="0" borderId="39" xfId="0" applyFont="1" applyBorder="1" applyAlignment="1">
      <alignment horizontal="center" vertical="center"/>
    </xf>
    <xf numFmtId="0" fontId="21" fillId="0" borderId="5" xfId="0" applyFont="1" applyBorder="1" applyAlignment="1">
      <alignment horizontal="left" vertical="center" wrapText="1"/>
    </xf>
    <xf numFmtId="0" fontId="21" fillId="0" borderId="78" xfId="0" applyFont="1" applyBorder="1" applyAlignment="1">
      <alignment horizontal="center" vertical="center"/>
    </xf>
    <xf numFmtId="0" fontId="21" fillId="0" borderId="5" xfId="0" applyFont="1" applyBorder="1" applyAlignment="1" applyProtection="1">
      <alignment horizontal="center" vertical="center" wrapText="1"/>
      <protection locked="0"/>
    </xf>
    <xf numFmtId="164" fontId="58" fillId="0" borderId="14" xfId="0" applyNumberFormat="1" applyFont="1" applyBorder="1" applyAlignment="1">
      <alignment horizontal="center" vertical="center"/>
    </xf>
    <xf numFmtId="164" fontId="58" fillId="0" borderId="10" xfId="0" applyNumberFormat="1" applyFont="1" applyBorder="1" applyAlignment="1">
      <alignment horizontal="center" vertical="center"/>
    </xf>
    <xf numFmtId="0" fontId="21" fillId="0" borderId="11" xfId="0" applyFont="1" applyBorder="1" applyAlignment="1">
      <alignment horizontal="center" vertical="center"/>
    </xf>
    <xf numFmtId="2" fontId="12" fillId="0" borderId="11" xfId="0" applyNumberFormat="1" applyFont="1" applyBorder="1" applyAlignment="1">
      <alignment horizontal="center" vertical="center"/>
    </xf>
    <xf numFmtId="2" fontId="12" fillId="0" borderId="0" xfId="0" applyNumberFormat="1" applyFont="1" applyAlignment="1">
      <alignment horizontal="center" vertical="center"/>
    </xf>
    <xf numFmtId="2" fontId="12" fillId="0" borderId="12" xfId="0" applyNumberFormat="1" applyFont="1" applyBorder="1" applyAlignment="1">
      <alignment horizontal="center" vertical="center"/>
    </xf>
    <xf numFmtId="185" fontId="15" fillId="0" borderId="16" xfId="0" applyNumberFormat="1" applyFont="1" applyBorder="1" applyAlignment="1">
      <alignment horizontal="center" vertical="center"/>
    </xf>
    <xf numFmtId="0" fontId="0" fillId="0" borderId="12" xfId="0" applyBorder="1" applyAlignment="1">
      <alignment horizontal="center" vertical="center"/>
    </xf>
    <xf numFmtId="0" fontId="18" fillId="0" borderId="11" xfId="0" applyFont="1" applyBorder="1" applyAlignment="1">
      <alignment horizontal="center" vertical="center"/>
    </xf>
    <xf numFmtId="0" fontId="18" fillId="0" borderId="0" xfId="0" applyFont="1" applyAlignment="1">
      <alignment horizontal="center" vertical="center"/>
    </xf>
    <xf numFmtId="0" fontId="18" fillId="0" borderId="12" xfId="0" applyFont="1" applyBorder="1" applyAlignment="1">
      <alignment horizontal="center" vertical="center"/>
    </xf>
    <xf numFmtId="0" fontId="19" fillId="0" borderId="11" xfId="0" applyFont="1" applyBorder="1" applyAlignment="1">
      <alignment horizontal="center" vertical="center"/>
    </xf>
    <xf numFmtId="0" fontId="19" fillId="0" borderId="0" xfId="0" applyFont="1" applyAlignment="1">
      <alignment horizontal="center" vertical="center"/>
    </xf>
    <xf numFmtId="0" fontId="19" fillId="0" borderId="12" xfId="0" applyFont="1" applyBorder="1" applyAlignment="1">
      <alignment horizontal="center" vertical="center"/>
    </xf>
    <xf numFmtId="0" fontId="20" fillId="0" borderId="11" xfId="0" applyFont="1" applyBorder="1" applyAlignment="1">
      <alignment horizontal="center" vertical="center"/>
    </xf>
    <xf numFmtId="0" fontId="20" fillId="0" borderId="0" xfId="0" applyFont="1" applyAlignment="1">
      <alignment horizontal="center" vertical="center"/>
    </xf>
    <xf numFmtId="0" fontId="20" fillId="0" borderId="12" xfId="0" applyFont="1" applyBorder="1" applyAlignment="1">
      <alignment horizontal="center" vertical="center"/>
    </xf>
    <xf numFmtId="0" fontId="21" fillId="0" borderId="0" xfId="0" applyFont="1" applyAlignment="1">
      <alignment horizontal="center" vertical="center"/>
    </xf>
    <xf numFmtId="0" fontId="21" fillId="0" borderId="12" xfId="0" applyFont="1" applyBorder="1" applyAlignment="1">
      <alignment horizontal="center" vertical="center"/>
    </xf>
    <xf numFmtId="0" fontId="21" fillId="0" borderId="11" xfId="0" applyFont="1" applyBorder="1" applyAlignment="1">
      <alignment horizontal="left" vertical="center" wrapText="1"/>
    </xf>
    <xf numFmtId="0" fontId="21" fillId="0" borderId="11" xfId="0" applyFont="1" applyBorder="1" applyAlignment="1" applyProtection="1">
      <alignment horizontal="center" vertical="center"/>
      <protection locked="0"/>
    </xf>
    <xf numFmtId="2" fontId="21" fillId="0" borderId="12" xfId="0" applyNumberFormat="1" applyFont="1" applyBorder="1" applyAlignment="1">
      <alignment horizontal="right" vertical="center" shrinkToFit="1"/>
    </xf>
    <xf numFmtId="0" fontId="56" fillId="0" borderId="0" xfId="0" applyFont="1" applyAlignment="1">
      <alignment horizontal="center" vertical="center"/>
    </xf>
    <xf numFmtId="0" fontId="8" fillId="0" borderId="4" xfId="0" applyFont="1" applyBorder="1" applyAlignment="1">
      <alignment horizontal="center" vertical="center" wrapText="1" shrinkToFit="1"/>
    </xf>
    <xf numFmtId="0" fontId="43" fillId="18" borderId="79" xfId="0" applyFont="1" applyFill="1" applyBorder="1" applyAlignment="1" applyProtection="1">
      <alignment horizontal="center" shrinkToFit="1"/>
      <protection locked="0"/>
    </xf>
    <xf numFmtId="0" fontId="43" fillId="18" borderId="79" xfId="0" applyFont="1" applyFill="1" applyBorder="1" applyAlignment="1" applyProtection="1">
      <alignment horizontal="center" vertical="center" shrinkToFit="1"/>
      <protection locked="0"/>
    </xf>
    <xf numFmtId="0" fontId="43" fillId="18" borderId="80" xfId="0" applyFont="1" applyFill="1" applyBorder="1" applyAlignment="1" applyProtection="1">
      <alignment horizontal="center" vertical="center" shrinkToFit="1"/>
      <protection locked="0"/>
    </xf>
    <xf numFmtId="0" fontId="68" fillId="18" borderId="79" xfId="0" applyFont="1" applyFill="1" applyBorder="1" applyAlignment="1" applyProtection="1">
      <alignment horizontal="center" vertical="center" shrinkToFit="1"/>
      <protection locked="0"/>
    </xf>
    <xf numFmtId="0" fontId="8" fillId="3" borderId="79" xfId="0" applyFont="1" applyFill="1" applyBorder="1" applyAlignment="1">
      <alignment horizontal="center" vertical="center" shrinkToFit="1"/>
    </xf>
    <xf numFmtId="0" fontId="4" fillId="18" borderId="79" xfId="0" applyFont="1" applyFill="1" applyBorder="1" applyAlignment="1">
      <alignment horizontal="center" vertical="center" shrinkToFit="1"/>
    </xf>
    <xf numFmtId="0" fontId="1" fillId="9" borderId="79" xfId="0" applyFont="1" applyFill="1" applyBorder="1" applyAlignment="1">
      <alignment horizontal="center"/>
    </xf>
    <xf numFmtId="0" fontId="3" fillId="5" borderId="79" xfId="0" applyFont="1" applyFill="1" applyBorder="1" applyAlignment="1">
      <alignment horizontal="left" vertical="center" wrapText="1" shrinkToFit="1"/>
    </xf>
    <xf numFmtId="0" fontId="3" fillId="5" borderId="79" xfId="0" applyFont="1" applyFill="1" applyBorder="1" applyAlignment="1">
      <alignment vertical="center" wrapText="1" shrinkToFit="1"/>
    </xf>
    <xf numFmtId="0" fontId="3" fillId="5" borderId="79" xfId="0" applyFont="1" applyFill="1" applyBorder="1" applyAlignment="1">
      <alignment horizontal="left" vertical="center" shrinkToFit="1"/>
    </xf>
    <xf numFmtId="0" fontId="9" fillId="5" borderId="79" xfId="0" applyFont="1" applyFill="1" applyBorder="1" applyAlignment="1">
      <alignment horizontal="left" vertical="center" shrinkToFit="1"/>
    </xf>
    <xf numFmtId="0" fontId="1" fillId="9" borderId="80" xfId="0" applyFont="1" applyFill="1" applyBorder="1" applyAlignment="1">
      <alignment horizontal="center" vertical="center" shrinkToFit="1"/>
    </xf>
    <xf numFmtId="0" fontId="0" fillId="19" borderId="80" xfId="0" applyFill="1" applyBorder="1" applyAlignment="1">
      <alignment horizontal="center" vertical="center"/>
    </xf>
    <xf numFmtId="173" fontId="42" fillId="0" borderId="84" xfId="0" applyNumberFormat="1" applyFont="1" applyBorder="1" applyAlignment="1">
      <alignment horizontal="right"/>
    </xf>
    <xf numFmtId="174" fontId="42" fillId="0" borderId="84" xfId="0" applyNumberFormat="1" applyFont="1" applyBorder="1" applyAlignment="1">
      <alignment horizontal="left"/>
    </xf>
    <xf numFmtId="190" fontId="42" fillId="0" borderId="84" xfId="0" applyNumberFormat="1" applyFont="1" applyBorder="1" applyAlignment="1">
      <alignment horizontal="left"/>
    </xf>
    <xf numFmtId="0" fontId="42" fillId="0" borderId="84" xfId="0" applyFont="1" applyBorder="1" applyAlignment="1">
      <alignment horizontal="center"/>
    </xf>
    <xf numFmtId="0" fontId="4" fillId="18" borderId="0" xfId="0" applyFont="1" applyFill="1" applyAlignment="1" applyProtection="1">
      <alignment horizontal="center" vertical="top"/>
      <protection locked="0"/>
    </xf>
    <xf numFmtId="0" fontId="42" fillId="18" borderId="0" xfId="0" applyFont="1" applyFill="1"/>
    <xf numFmtId="10" fontId="4" fillId="18" borderId="0" xfId="3" applyNumberFormat="1" applyFont="1" applyFill="1" applyAlignment="1" applyProtection="1">
      <alignment horizontal="center" vertical="top"/>
      <protection locked="0"/>
    </xf>
    <xf numFmtId="9" fontId="4" fillId="18" borderId="0" xfId="3" applyFont="1" applyFill="1" applyAlignment="1" applyProtection="1">
      <alignment horizontal="center" vertical="top"/>
      <protection locked="0"/>
    </xf>
    <xf numFmtId="0" fontId="45" fillId="20" borderId="61" xfId="2" applyFont="1" applyFill="1" applyBorder="1" applyAlignment="1" applyProtection="1">
      <alignment horizontal="left"/>
      <protection hidden="1"/>
    </xf>
    <xf numFmtId="0" fontId="45" fillId="20" borderId="62" xfId="2" applyFont="1" applyFill="1" applyBorder="1" applyAlignment="1" applyProtection="1">
      <alignment horizontal="left"/>
      <protection hidden="1"/>
    </xf>
    <xf numFmtId="0" fontId="45" fillId="20" borderId="63" xfId="2" applyFont="1" applyFill="1" applyBorder="1" applyAlignment="1" applyProtection="1">
      <alignment horizontal="left"/>
      <protection hidden="1"/>
    </xf>
    <xf numFmtId="0" fontId="11" fillId="0" borderId="64" xfId="2" applyBorder="1" applyAlignment="1">
      <alignment horizontal="center" vertical="center" textRotation="90" shrinkToFit="1"/>
    </xf>
    <xf numFmtId="0" fontId="11" fillId="0" borderId="66" xfId="2" applyBorder="1" applyAlignment="1">
      <alignment horizontal="center" vertical="center" textRotation="90" shrinkToFit="1"/>
    </xf>
    <xf numFmtId="0" fontId="11" fillId="0" borderId="69" xfId="2" applyBorder="1" applyAlignment="1">
      <alignment horizontal="center" vertical="center" textRotation="90" shrinkToFit="1"/>
    </xf>
    <xf numFmtId="0" fontId="10" fillId="0" borderId="60" xfId="0" applyFont="1" applyBorder="1" applyAlignment="1" applyProtection="1">
      <alignment horizontal="center"/>
      <protection hidden="1"/>
    </xf>
    <xf numFmtId="0" fontId="10" fillId="0" borderId="68" xfId="0" applyFont="1" applyBorder="1" applyAlignment="1" applyProtection="1">
      <alignment horizontal="center"/>
      <protection hidden="1"/>
    </xf>
    <xf numFmtId="0" fontId="45" fillId="20" borderId="65" xfId="2" applyFont="1" applyFill="1" applyBorder="1" applyAlignment="1" applyProtection="1">
      <alignment horizontal="left"/>
      <protection hidden="1"/>
    </xf>
    <xf numFmtId="0" fontId="45" fillId="20" borderId="0" xfId="2" applyFont="1" applyFill="1" applyBorder="1" applyAlignment="1" applyProtection="1">
      <alignment horizontal="left"/>
      <protection hidden="1"/>
    </xf>
    <xf numFmtId="0" fontId="45" fillId="20" borderId="60" xfId="2" applyFont="1" applyFill="1" applyBorder="1" applyAlignment="1" applyProtection="1">
      <alignment horizontal="left"/>
      <protection hidden="1"/>
    </xf>
    <xf numFmtId="0" fontId="11" fillId="0" borderId="70" xfId="2" applyBorder="1" applyAlignment="1">
      <alignment horizontal="center" vertical="center" textRotation="90" shrinkToFit="1"/>
    </xf>
    <xf numFmtId="0" fontId="45" fillId="20" borderId="65" xfId="2" applyFont="1" applyFill="1" applyBorder="1" applyAlignment="1">
      <alignment horizontal="left"/>
    </xf>
    <xf numFmtId="0" fontId="45" fillId="20" borderId="0" xfId="2" applyFont="1" applyFill="1" applyBorder="1" applyAlignment="1">
      <alignment horizontal="left"/>
    </xf>
    <xf numFmtId="0" fontId="45" fillId="20" borderId="60" xfId="2" applyFont="1" applyFill="1" applyBorder="1" applyAlignment="1">
      <alignment horizontal="left"/>
    </xf>
    <xf numFmtId="0" fontId="11" fillId="0" borderId="72" xfId="2" applyBorder="1" applyAlignment="1">
      <alignment horizontal="center" vertical="center" textRotation="90" shrinkToFit="1"/>
    </xf>
    <xf numFmtId="0" fontId="10" fillId="0" borderId="60" xfId="0" applyFont="1" applyBorder="1" applyAlignment="1">
      <alignment horizontal="center"/>
    </xf>
    <xf numFmtId="0" fontId="10" fillId="0" borderId="68" xfId="0" applyFont="1" applyBorder="1" applyAlignment="1">
      <alignment horizontal="center"/>
    </xf>
    <xf numFmtId="0" fontId="9" fillId="2" borderId="61" xfId="0" applyFont="1" applyFill="1" applyBorder="1" applyAlignment="1">
      <alignment horizontal="center" shrinkToFit="1"/>
    </xf>
    <xf numFmtId="0" fontId="9" fillId="2" borderId="62" xfId="0" applyFont="1" applyFill="1" applyBorder="1" applyAlignment="1">
      <alignment horizontal="center" shrinkToFit="1"/>
    </xf>
    <xf numFmtId="0" fontId="42" fillId="0" borderId="0" xfId="0" applyFont="1" applyAlignment="1">
      <alignment horizontal="center"/>
    </xf>
    <xf numFmtId="189" fontId="0" fillId="0" borderId="0" xfId="0" applyNumberFormat="1" applyAlignment="1">
      <alignment horizontal="center" vertical="center"/>
    </xf>
    <xf numFmtId="189" fontId="0" fillId="0" borderId="22" xfId="0" applyNumberFormat="1" applyBorder="1" applyAlignment="1">
      <alignment horizontal="center" vertical="center"/>
    </xf>
    <xf numFmtId="189" fontId="0" fillId="0" borderId="21" xfId="0" applyNumberFormat="1" applyBorder="1" applyAlignment="1">
      <alignment horizontal="right" vertical="center"/>
    </xf>
    <xf numFmtId="189" fontId="0" fillId="0" borderId="0" xfId="0" applyNumberFormat="1" applyAlignment="1">
      <alignment horizontal="right" vertical="center"/>
    </xf>
    <xf numFmtId="189" fontId="40" fillId="0" borderId="0" xfId="0" applyNumberFormat="1" applyFont="1" applyAlignment="1">
      <alignment horizontal="left" vertical="top"/>
    </xf>
    <xf numFmtId="189" fontId="40" fillId="0" borderId="0" xfId="0" applyNumberFormat="1" applyFont="1" applyAlignment="1">
      <alignment horizontal="left"/>
    </xf>
    <xf numFmtId="189" fontId="40" fillId="0" borderId="0" xfId="0" applyNumberFormat="1" applyFont="1" applyAlignment="1">
      <alignment horizontal="right" vertical="top"/>
    </xf>
    <xf numFmtId="189" fontId="40" fillId="0" borderId="0" xfId="0" applyNumberFormat="1" applyFont="1" applyAlignment="1">
      <alignment horizontal="right"/>
    </xf>
    <xf numFmtId="0" fontId="28" fillId="10" borderId="55" xfId="0" applyFont="1" applyFill="1" applyBorder="1" applyAlignment="1">
      <alignment horizontal="center" textRotation="90" shrinkToFit="1"/>
    </xf>
    <xf numFmtId="0" fontId="28" fillId="10" borderId="47" xfId="0" applyFont="1" applyFill="1" applyBorder="1" applyAlignment="1">
      <alignment horizontal="center" textRotation="90" shrinkToFit="1"/>
    </xf>
    <xf numFmtId="0" fontId="0" fillId="0" borderId="0" xfId="0" applyAlignment="1">
      <alignment horizontal="center"/>
    </xf>
    <xf numFmtId="0" fontId="1" fillId="10" borderId="18" xfId="0" applyFont="1" applyFill="1" applyBorder="1" applyAlignment="1">
      <alignment horizontal="center" vertical="center"/>
    </xf>
    <xf numFmtId="0" fontId="1" fillId="10" borderId="23" xfId="0" applyFont="1" applyFill="1" applyBorder="1" applyAlignment="1">
      <alignment horizontal="center" vertical="center"/>
    </xf>
    <xf numFmtId="0" fontId="1" fillId="10" borderId="19" xfId="0" applyFont="1" applyFill="1" applyBorder="1" applyAlignment="1">
      <alignment horizontal="center" vertical="center"/>
    </xf>
    <xf numFmtId="189" fontId="0" fillId="0" borderId="0" xfId="0" applyNumberFormat="1" applyAlignment="1">
      <alignment horizontal="center"/>
    </xf>
    <xf numFmtId="189" fontId="41" fillId="0" borderId="0" xfId="0" applyNumberFormat="1" applyFont="1" applyAlignment="1">
      <alignment horizontal="center" shrinkToFit="1"/>
    </xf>
    <xf numFmtId="0" fontId="1" fillId="10" borderId="45" xfId="0" applyFont="1" applyFill="1" applyBorder="1" applyAlignment="1">
      <alignment horizontal="center" vertical="center"/>
    </xf>
    <xf numFmtId="0" fontId="1" fillId="10" borderId="46" xfId="0" applyFont="1" applyFill="1" applyBorder="1" applyAlignment="1">
      <alignment horizontal="center" vertical="center"/>
    </xf>
    <xf numFmtId="0" fontId="1" fillId="10" borderId="40" xfId="0" applyFont="1" applyFill="1" applyBorder="1" applyAlignment="1">
      <alignment horizontal="center" vertical="center"/>
    </xf>
    <xf numFmtId="189" fontId="0" fillId="0" borderId="21" xfId="0" applyNumberFormat="1" applyBorder="1" applyAlignment="1">
      <alignment horizontal="center" vertical="center"/>
    </xf>
    <xf numFmtId="189" fontId="0" fillId="0" borderId="0" xfId="0" applyNumberFormat="1" applyAlignment="1">
      <alignment horizontal="center" vertical="center" textRotation="90"/>
    </xf>
    <xf numFmtId="0" fontId="13" fillId="0" borderId="24" xfId="0" applyFont="1" applyBorder="1" applyAlignment="1" applyProtection="1">
      <alignment horizontal="right" vertical="center" shrinkToFit="1"/>
      <protection locked="0"/>
    </xf>
    <xf numFmtId="0" fontId="1" fillId="10" borderId="58" xfId="0" applyFont="1" applyFill="1" applyBorder="1" applyAlignment="1">
      <alignment horizontal="center"/>
    </xf>
    <xf numFmtId="0" fontId="1" fillId="10" borderId="43" xfId="0" applyFont="1" applyFill="1" applyBorder="1" applyAlignment="1">
      <alignment horizontal="center"/>
    </xf>
    <xf numFmtId="0" fontId="1" fillId="10" borderId="37" xfId="0" applyFont="1" applyFill="1" applyBorder="1" applyAlignment="1">
      <alignment horizontal="center"/>
    </xf>
    <xf numFmtId="0" fontId="1" fillId="10" borderId="41" xfId="0" applyFont="1" applyFill="1" applyBorder="1" applyAlignment="1">
      <alignment horizontal="center" vertical="center"/>
    </xf>
    <xf numFmtId="0" fontId="1" fillId="10" borderId="44" xfId="0" applyFont="1" applyFill="1" applyBorder="1" applyAlignment="1">
      <alignment horizontal="center" vertical="center"/>
    </xf>
    <xf numFmtId="0" fontId="1" fillId="10" borderId="42" xfId="0" applyFont="1" applyFill="1" applyBorder="1" applyAlignment="1">
      <alignment horizontal="center" vertical="center"/>
    </xf>
    <xf numFmtId="0" fontId="1" fillId="10" borderId="59" xfId="0" applyFont="1" applyFill="1" applyBorder="1" applyAlignment="1">
      <alignment horizontal="center" vertical="center"/>
    </xf>
    <xf numFmtId="189" fontId="0" fillId="0" borderId="52" xfId="0" applyNumberFormat="1" applyBorder="1" applyAlignment="1">
      <alignment horizontal="center" vertical="center" textRotation="90" shrinkToFit="1"/>
    </xf>
    <xf numFmtId="189" fontId="0" fillId="0" borderId="13" xfId="0" applyNumberFormat="1" applyBorder="1" applyAlignment="1">
      <alignment horizontal="center" vertical="center" textRotation="90" shrinkToFit="1"/>
    </xf>
    <xf numFmtId="189" fontId="0" fillId="0" borderId="53" xfId="0" applyNumberFormat="1" applyBorder="1" applyAlignment="1">
      <alignment horizontal="center" vertical="center" textRotation="90" shrinkToFit="1"/>
    </xf>
    <xf numFmtId="189" fontId="0" fillId="0" borderId="14" xfId="0" applyNumberFormat="1" applyBorder="1" applyAlignment="1">
      <alignment horizontal="center" vertical="center" textRotation="90" shrinkToFit="1"/>
    </xf>
    <xf numFmtId="189" fontId="0" fillId="0" borderId="19" xfId="0" applyNumberFormat="1" applyBorder="1" applyAlignment="1">
      <alignment horizontal="center" vertical="center" textRotation="90" shrinkToFit="1"/>
    </xf>
    <xf numFmtId="189" fontId="0" fillId="0" borderId="51" xfId="0" applyNumberFormat="1" applyBorder="1" applyAlignment="1">
      <alignment horizontal="center" vertical="center" textRotation="90" shrinkToFit="1"/>
    </xf>
    <xf numFmtId="189" fontId="0" fillId="0" borderId="23" xfId="0" applyNumberFormat="1" applyBorder="1" applyAlignment="1">
      <alignment horizontal="center" vertical="center" wrapText="1"/>
    </xf>
    <xf numFmtId="189" fontId="0" fillId="0" borderId="24" xfId="0" applyNumberFormat="1" applyBorder="1" applyAlignment="1">
      <alignment horizontal="center" vertical="center" wrapText="1"/>
    </xf>
    <xf numFmtId="189" fontId="0" fillId="0" borderId="23" xfId="0" applyNumberFormat="1" applyBorder="1" applyAlignment="1">
      <alignment horizontal="center" vertical="center"/>
    </xf>
    <xf numFmtId="189" fontId="0" fillId="0" borderId="24" xfId="0" applyNumberFormat="1" applyBorder="1" applyAlignment="1">
      <alignment horizontal="center" vertical="center"/>
    </xf>
    <xf numFmtId="0" fontId="1" fillId="10" borderId="0" xfId="0" applyFont="1" applyFill="1" applyAlignment="1">
      <alignment horizontal="center" vertical="center"/>
    </xf>
    <xf numFmtId="0" fontId="22" fillId="0" borderId="0" xfId="0" applyFont="1" applyAlignment="1">
      <alignment horizontal="center" vertical="center" wrapText="1" shrinkToFit="1"/>
    </xf>
    <xf numFmtId="0" fontId="63" fillId="0" borderId="0" xfId="0" applyFont="1" applyAlignment="1">
      <alignment horizontal="center" vertical="center" wrapText="1" shrinkToFit="1"/>
    </xf>
    <xf numFmtId="0" fontId="1" fillId="0" borderId="24" xfId="0" applyFont="1" applyBorder="1" applyAlignment="1">
      <alignment horizontal="left" vertical="center" shrinkToFit="1"/>
    </xf>
    <xf numFmtId="0" fontId="1" fillId="0" borderId="18" xfId="0" applyFont="1" applyBorder="1" applyAlignment="1">
      <alignment horizontal="center" vertical="center" textRotation="90"/>
    </xf>
    <xf numFmtId="0" fontId="1" fillId="0" borderId="54" xfId="0" applyFont="1" applyBorder="1" applyAlignment="1">
      <alignment horizontal="center" vertical="center" textRotation="90"/>
    </xf>
    <xf numFmtId="0" fontId="1" fillId="5" borderId="5" xfId="0" applyFont="1" applyFill="1" applyBorder="1" applyAlignment="1">
      <alignment horizontal="center"/>
    </xf>
    <xf numFmtId="0" fontId="1" fillId="5" borderId="6" xfId="0" applyFont="1" applyFill="1" applyBorder="1" applyAlignment="1">
      <alignment horizontal="center"/>
    </xf>
    <xf numFmtId="0" fontId="1" fillId="5" borderId="4" xfId="0" applyFont="1" applyFill="1" applyBorder="1" applyAlignment="1">
      <alignment horizontal="center"/>
    </xf>
    <xf numFmtId="0" fontId="0" fillId="0" borderId="0" xfId="0" applyAlignment="1">
      <alignment horizontal="center" vertical="center"/>
    </xf>
    <xf numFmtId="0" fontId="0" fillId="0" borderId="0" xfId="0" applyAlignment="1">
      <alignment horizontal="justify" wrapText="1"/>
    </xf>
    <xf numFmtId="0" fontId="0" fillId="0" borderId="0" xfId="0" applyAlignment="1">
      <alignment horizontal="left" wrapText="1"/>
    </xf>
    <xf numFmtId="169" fontId="59" fillId="0" borderId="0" xfId="0" quotePrefix="1" applyNumberFormat="1" applyFont="1" applyAlignment="1">
      <alignment horizontal="center" wrapText="1"/>
    </xf>
    <xf numFmtId="0" fontId="1" fillId="0" borderId="0" xfId="0" applyFont="1" applyAlignment="1">
      <alignment horizontal="left" vertical="top" wrapText="1" indent="1"/>
    </xf>
    <xf numFmtId="0" fontId="67" fillId="5" borderId="0" xfId="0" applyFont="1" applyFill="1" applyAlignment="1" applyProtection="1">
      <alignment horizontal="center" vertical="center" shrinkToFit="1"/>
      <protection locked="0"/>
    </xf>
    <xf numFmtId="191" fontId="64" fillId="5" borderId="81" xfId="0" quotePrefix="1" applyNumberFormat="1" applyFont="1" applyFill="1" applyBorder="1" applyAlignment="1">
      <alignment horizontal="left" vertical="center" indent="1" shrinkToFit="1"/>
    </xf>
    <xf numFmtId="191" fontId="64" fillId="5" borderId="82" xfId="0" quotePrefix="1" applyNumberFormat="1" applyFont="1" applyFill="1" applyBorder="1" applyAlignment="1">
      <alignment horizontal="left" vertical="center" indent="1" shrinkToFit="1"/>
    </xf>
    <xf numFmtId="191" fontId="64" fillId="5" borderId="83" xfId="0" quotePrefix="1" applyNumberFormat="1" applyFont="1" applyFill="1" applyBorder="1" applyAlignment="1">
      <alignment horizontal="left" vertical="center" indent="1" shrinkToFit="1"/>
    </xf>
    <xf numFmtId="0" fontId="58" fillId="0" borderId="0" xfId="0" applyFont="1" applyAlignment="1">
      <alignment horizontal="left" vertical="center" wrapText="1" indent="1"/>
    </xf>
    <xf numFmtId="183" fontId="24" fillId="0" borderId="21" xfId="0" applyNumberFormat="1" applyFont="1" applyBorder="1" applyAlignment="1">
      <alignment horizontal="center" vertical="center"/>
    </xf>
    <xf numFmtId="183" fontId="24" fillId="0" borderId="0" xfId="0" applyNumberFormat="1" applyFont="1" applyAlignment="1">
      <alignment horizontal="center" vertical="center"/>
    </xf>
    <xf numFmtId="184" fontId="3" fillId="0" borderId="21" xfId="0" applyNumberFormat="1" applyFont="1" applyBorder="1" applyAlignment="1">
      <alignment horizontal="center" vertical="center" shrinkToFit="1"/>
    </xf>
    <xf numFmtId="184" fontId="3" fillId="0" borderId="0" xfId="0" applyNumberFormat="1" applyFont="1" applyAlignment="1">
      <alignment horizontal="center" vertical="center" shrinkToFit="1"/>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29" fillId="0" borderId="0" xfId="0" applyFont="1" applyAlignment="1">
      <alignment horizontal="left" vertical="center" wrapText="1"/>
    </xf>
    <xf numFmtId="0" fontId="1" fillId="0" borderId="4" xfId="0" applyFont="1" applyBorder="1" applyAlignment="1">
      <alignment horizontal="center" shrinkToFit="1"/>
    </xf>
    <xf numFmtId="0" fontId="1" fillId="0" borderId="6" xfId="0" applyFont="1" applyBorder="1" applyAlignment="1">
      <alignment horizontal="center" shrinkToFit="1"/>
    </xf>
    <xf numFmtId="0" fontId="0" fillId="0" borderId="46" xfId="0" applyBorder="1" applyAlignment="1">
      <alignment horizontal="center"/>
    </xf>
    <xf numFmtId="0" fontId="0" fillId="0" borderId="24" xfId="0" applyBorder="1" applyAlignment="1">
      <alignment horizontal="center"/>
    </xf>
    <xf numFmtId="189" fontId="0" fillId="0" borderId="7" xfId="0" applyNumberFormat="1" applyBorder="1" applyAlignment="1">
      <alignment horizontal="center" vertical="center"/>
    </xf>
    <xf numFmtId="189" fontId="0" fillId="0" borderId="0" xfId="0" applyNumberFormat="1" applyAlignment="1">
      <alignment horizontal="justify" wrapText="1"/>
    </xf>
    <xf numFmtId="0" fontId="4" fillId="18" borderId="81" xfId="0" applyFont="1" applyFill="1" applyBorder="1" applyAlignment="1" applyProtection="1">
      <alignment horizontal="left" vertical="center" wrapText="1" indent="1"/>
      <protection locked="0"/>
    </xf>
    <xf numFmtId="0" fontId="4" fillId="18" borderId="82" xfId="0" applyFont="1" applyFill="1" applyBorder="1" applyAlignment="1" applyProtection="1">
      <alignment horizontal="left" vertical="center" wrapText="1" indent="1"/>
      <protection locked="0"/>
    </xf>
    <xf numFmtId="0" fontId="4" fillId="18" borderId="83" xfId="0" applyFont="1" applyFill="1" applyBorder="1" applyAlignment="1" applyProtection="1">
      <alignment horizontal="left" vertical="center" wrapText="1" indent="1"/>
      <protection locked="0"/>
    </xf>
    <xf numFmtId="0" fontId="61" fillId="0" borderId="0" xfId="0" applyFont="1" applyAlignment="1">
      <alignment horizontal="center" vertical="top" wrapText="1" shrinkToFit="1"/>
    </xf>
    <xf numFmtId="0" fontId="58" fillId="0" borderId="0" xfId="0" quotePrefix="1" applyFont="1" applyAlignment="1">
      <alignment horizontal="left" vertical="center" wrapText="1" indent="1"/>
    </xf>
    <xf numFmtId="0" fontId="3" fillId="5" borderId="81" xfId="0" applyFont="1" applyFill="1" applyBorder="1" applyAlignment="1">
      <alignment horizontal="right" vertical="center" wrapText="1" indent="1" shrinkToFit="1"/>
    </xf>
    <xf numFmtId="0" fontId="3" fillId="5" borderId="83" xfId="0" applyFont="1" applyFill="1" applyBorder="1" applyAlignment="1">
      <alignment horizontal="right" vertical="center" wrapText="1" indent="1" shrinkToFit="1"/>
    </xf>
    <xf numFmtId="0" fontId="1" fillId="0" borderId="55" xfId="0" applyFont="1" applyBorder="1" applyAlignment="1">
      <alignment horizontal="center" vertical="center" textRotation="90"/>
    </xf>
    <xf numFmtId="0" fontId="1" fillId="0" borderId="49" xfId="0" applyFont="1" applyBorder="1" applyAlignment="1">
      <alignment horizontal="center" vertical="center" textRotation="90"/>
    </xf>
    <xf numFmtId="0" fontId="1" fillId="0" borderId="47" xfId="0" applyFont="1" applyBorder="1" applyAlignment="1">
      <alignment horizontal="center" vertical="center" textRotation="90"/>
    </xf>
    <xf numFmtId="0" fontId="33" fillId="0" borderId="0" xfId="0" applyFont="1" applyAlignment="1">
      <alignment horizontal="center"/>
    </xf>
    <xf numFmtId="0" fontId="33" fillId="0" borderId="7" xfId="0" applyFont="1" applyBorder="1" applyAlignment="1">
      <alignment horizontal="center"/>
    </xf>
    <xf numFmtId="0" fontId="33" fillId="0" borderId="14" xfId="0" applyFont="1" applyBorder="1" applyAlignment="1">
      <alignment horizontal="center"/>
    </xf>
    <xf numFmtId="0" fontId="1" fillId="5" borderId="8" xfId="0" applyFont="1" applyFill="1" applyBorder="1" applyAlignment="1">
      <alignment horizontal="center"/>
    </xf>
    <xf numFmtId="0" fontId="1" fillId="5" borderId="9" xfId="0" applyFont="1" applyFill="1" applyBorder="1" applyAlignment="1">
      <alignment horizontal="center"/>
    </xf>
    <xf numFmtId="0" fontId="1" fillId="5" borderId="10" xfId="0" applyFont="1" applyFill="1" applyBorder="1" applyAlignment="1">
      <alignment horizontal="center"/>
    </xf>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0" borderId="31" xfId="0" applyFont="1" applyBorder="1" applyAlignment="1">
      <alignment horizontal="center" vertical="center"/>
    </xf>
    <xf numFmtId="0" fontId="1" fillId="5" borderId="7" xfId="0" applyFont="1" applyFill="1" applyBorder="1" applyAlignment="1">
      <alignment horizontal="center"/>
    </xf>
    <xf numFmtId="0" fontId="1" fillId="5" borderId="8" xfId="0" applyFont="1" applyFill="1" applyBorder="1" applyAlignment="1">
      <alignment horizontal="center" shrinkToFit="1"/>
    </xf>
    <xf numFmtId="0" fontId="1" fillId="5" borderId="10" xfId="0" applyFont="1" applyFill="1" applyBorder="1" applyAlignment="1">
      <alignment horizontal="center" shrinkToFit="1"/>
    </xf>
    <xf numFmtId="0" fontId="1" fillId="5" borderId="4" xfId="0" applyFont="1" applyFill="1" applyBorder="1" applyAlignment="1">
      <alignment horizontal="center" shrinkToFit="1"/>
    </xf>
    <xf numFmtId="0" fontId="1" fillId="5" borderId="5" xfId="0" applyFont="1" applyFill="1" applyBorder="1" applyAlignment="1">
      <alignment horizontal="center" shrinkToFit="1"/>
    </xf>
    <xf numFmtId="0" fontId="1" fillId="5" borderId="6" xfId="0" applyFont="1" applyFill="1" applyBorder="1" applyAlignment="1">
      <alignment horizontal="center" shrinkToFit="1"/>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9" fillId="0" borderId="0" xfId="0" applyFont="1" applyAlignment="1">
      <alignment horizontal="left" indent="1" shrinkToFit="1"/>
    </xf>
    <xf numFmtId="0" fontId="0" fillId="0" borderId="21" xfId="0" applyBorder="1" applyAlignment="1">
      <alignment horizontal="left"/>
    </xf>
    <xf numFmtId="0" fontId="0" fillId="0" borderId="0" xfId="0" applyAlignment="1">
      <alignment horizontal="left"/>
    </xf>
    <xf numFmtId="0" fontId="0" fillId="0" borderId="21"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xf>
    <xf numFmtId="0" fontId="0" fillId="0" borderId="0" xfId="0" applyAlignment="1">
      <alignment horizontal="left" vertical="top"/>
    </xf>
    <xf numFmtId="0" fontId="1" fillId="0" borderId="0" xfId="0" applyFont="1" applyAlignment="1">
      <alignment horizontal="left" vertical="top" wrapText="1"/>
    </xf>
    <xf numFmtId="0" fontId="0" fillId="0" borderId="21" xfId="0" applyBorder="1" applyAlignment="1">
      <alignment horizontal="left" wrapText="1"/>
    </xf>
    <xf numFmtId="0" fontId="0" fillId="0" borderId="54" xfId="0" applyBorder="1" applyAlignment="1">
      <alignment horizontal="left" wrapText="1"/>
    </xf>
    <xf numFmtId="0" fontId="0" fillId="0" borderId="7" xfId="0" applyBorder="1" applyAlignment="1">
      <alignment horizontal="left" wrapText="1"/>
    </xf>
    <xf numFmtId="0" fontId="1" fillId="10" borderId="21" xfId="0" applyFont="1" applyFill="1" applyBorder="1" applyAlignment="1">
      <alignment horizontal="center" vertical="center"/>
    </xf>
    <xf numFmtId="0" fontId="3" fillId="0" borderId="0" xfId="0" applyFont="1" applyAlignment="1">
      <alignment horizontal="left" vertical="top" wrapText="1"/>
    </xf>
    <xf numFmtId="0" fontId="9" fillId="0" borderId="73" xfId="0" applyFont="1" applyBorder="1" applyAlignment="1">
      <alignment horizontal="center" vertical="center" shrinkToFit="1"/>
    </xf>
    <xf numFmtId="0" fontId="9" fillId="0" borderId="74" xfId="0" applyFont="1" applyBorder="1" applyAlignment="1">
      <alignment horizontal="center" vertical="center" shrinkToFit="1"/>
    </xf>
    <xf numFmtId="0" fontId="9" fillId="0" borderId="75" xfId="0" applyFont="1" applyBorder="1" applyAlignment="1">
      <alignment horizontal="center" vertical="center" shrinkToFit="1"/>
    </xf>
    <xf numFmtId="0" fontId="0" fillId="7" borderId="7" xfId="0" applyFill="1" applyBorder="1" applyAlignment="1">
      <alignment horizontal="center" vertical="center" shrinkToFit="1"/>
    </xf>
    <xf numFmtId="0" fontId="9" fillId="7" borderId="7" xfId="0" applyFont="1" applyFill="1" applyBorder="1" applyAlignment="1">
      <alignment horizontal="center" vertical="center" shrinkToFit="1"/>
    </xf>
    <xf numFmtId="0" fontId="1" fillId="10" borderId="4" xfId="0" applyFont="1" applyFill="1" applyBorder="1" applyAlignment="1">
      <alignment horizontal="center"/>
    </xf>
    <xf numFmtId="0" fontId="1" fillId="10" borderId="5" xfId="0" applyFont="1" applyFill="1" applyBorder="1" applyAlignment="1">
      <alignment horizontal="center"/>
    </xf>
    <xf numFmtId="0" fontId="0" fillId="0" borderId="57" xfId="0" applyBorder="1" applyAlignment="1">
      <alignment horizontal="left" vertical="top" wrapText="1"/>
    </xf>
    <xf numFmtId="0" fontId="0" fillId="0" borderId="9" xfId="0" applyBorder="1" applyAlignment="1">
      <alignment horizontal="left" vertical="top" wrapText="1"/>
    </xf>
    <xf numFmtId="0" fontId="0" fillId="0" borderId="54" xfId="0" applyBorder="1" applyAlignment="1">
      <alignment horizontal="left" vertical="top" wrapText="1"/>
    </xf>
    <xf numFmtId="0" fontId="0" fillId="0" borderId="7" xfId="0" applyBorder="1" applyAlignment="1">
      <alignment horizontal="left" vertical="top" wrapText="1"/>
    </xf>
    <xf numFmtId="0" fontId="1" fillId="0" borderId="57" xfId="0" applyFont="1" applyBorder="1" applyAlignment="1">
      <alignment horizontal="left"/>
    </xf>
    <xf numFmtId="0" fontId="1" fillId="0" borderId="9" xfId="0" applyFont="1" applyBorder="1" applyAlignment="1">
      <alignment horizontal="left"/>
    </xf>
    <xf numFmtId="0" fontId="1" fillId="10" borderId="13" xfId="0" applyFont="1" applyFill="1" applyBorder="1" applyAlignment="1">
      <alignment horizontal="center"/>
    </xf>
    <xf numFmtId="0" fontId="1" fillId="10" borderId="7" xfId="0" applyFont="1" applyFill="1" applyBorder="1" applyAlignment="1">
      <alignment horizontal="center"/>
    </xf>
    <xf numFmtId="0" fontId="1" fillId="10" borderId="14" xfId="0" applyFont="1" applyFill="1" applyBorder="1" applyAlignment="1">
      <alignment horizontal="center"/>
    </xf>
    <xf numFmtId="0" fontId="1" fillId="10" borderId="8" xfId="0" applyFont="1" applyFill="1" applyBorder="1" applyAlignment="1">
      <alignment horizontal="right"/>
    </xf>
    <xf numFmtId="0" fontId="1" fillId="10" borderId="9" xfId="0" applyFont="1" applyFill="1" applyBorder="1" applyAlignment="1">
      <alignment horizontal="right"/>
    </xf>
    <xf numFmtId="0" fontId="0" fillId="5" borderId="0" xfId="0" applyFill="1" applyAlignment="1">
      <alignment horizontal="center" vertical="center" shrinkToFit="1"/>
    </xf>
  </cellXfs>
  <cellStyles count="4">
    <cellStyle name="Hipervínculo" xfId="2" builtinId="8"/>
    <cellStyle name="Normal" xfId="0" builtinId="0"/>
    <cellStyle name="Normal 2" xfId="1" xr:uid="{00000000-0005-0000-0000-000002000000}"/>
    <cellStyle name="Porcentaje" xfId="3" builtinId="5"/>
  </cellStyles>
  <dxfs count="259">
    <dxf>
      <fill>
        <patternFill patternType="none">
          <fgColor indexed="64"/>
          <bgColor auto="1"/>
        </patternFill>
      </fill>
    </dxf>
    <dxf>
      <font>
        <b val="0"/>
        <i val="0"/>
        <strike val="0"/>
        <condense val="0"/>
        <extend val="0"/>
        <outline val="0"/>
        <shadow val="0"/>
        <u val="none"/>
        <vertAlign val="baseline"/>
        <sz val="11"/>
        <color theme="1"/>
        <name val="Courier New"/>
        <scheme val="none"/>
      </font>
      <fill>
        <patternFill patternType="none">
          <fgColor indexed="64"/>
          <bgColor auto="1"/>
        </patternFill>
      </fill>
      <alignment horizontal="left" vertical="bottom" textRotation="0" wrapText="0" indent="0" justifyLastLine="0" shrinkToFit="0" readingOrder="0"/>
    </dxf>
    <dxf>
      <font>
        <b val="0"/>
      </font>
      <numFmt numFmtId="30" formatCode="@"/>
      <fill>
        <patternFill patternType="none">
          <fgColor indexed="64"/>
          <bgColor auto="1"/>
        </patternFill>
      </fill>
      <alignment horizontal="center" vertical="bottom" textRotation="0" wrapText="0" indent="0" justifyLastLine="0" shrinkToFit="0" readingOrder="0"/>
      <protection locked="0" hidden="0"/>
    </dxf>
    <dxf>
      <font>
        <b val="0"/>
      </font>
      <numFmt numFmtId="30" formatCode="@"/>
      <fill>
        <patternFill patternType="none">
          <fgColor indexed="64"/>
          <bgColor auto="1"/>
        </patternFill>
      </fill>
      <alignment horizontal="center" vertical="bottom" textRotation="0" wrapText="0" indent="0" justifyLastLine="0" shrinkToFit="0" readingOrder="0"/>
      <protection locked="0" hidden="0"/>
    </dxf>
    <dxf>
      <font>
        <b val="0"/>
      </font>
      <fill>
        <patternFill patternType="none">
          <fgColor indexed="64"/>
          <bgColor auto="1"/>
        </patternFill>
      </fill>
      <protection locked="0" hidden="0"/>
    </dxf>
    <dxf>
      <fill>
        <patternFill patternType="none">
          <fgColor indexed="64"/>
          <bgColor auto="1"/>
        </patternFill>
      </fill>
    </dxf>
    <dxf>
      <font>
        <b/>
        <i val="0"/>
        <strike val="0"/>
        <condense val="0"/>
        <extend val="0"/>
        <outline val="0"/>
        <shadow val="0"/>
        <u val="none"/>
        <vertAlign val="baseline"/>
        <sz val="11"/>
        <color theme="1"/>
        <name val="Calibri"/>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8"/>
        <color theme="1"/>
        <name val="Calibri"/>
        <scheme val="minor"/>
      </font>
      <numFmt numFmtId="0" formatCode="General"/>
      <alignment horizontal="right" vertical="bottom" textRotation="0" wrapText="0" indent="0" justifyLastLine="0" shrinkToFit="0" readingOrder="0"/>
    </dxf>
    <dxf>
      <font>
        <strike val="0"/>
        <outline val="0"/>
        <shadow val="0"/>
        <u val="none"/>
        <vertAlign val="baseline"/>
        <sz val="8"/>
        <color theme="1"/>
        <name val="Calibri"/>
        <scheme val="minor"/>
      </font>
      <numFmt numFmtId="0" formatCode="General"/>
      <alignment horizontal="right" vertical="bottom" textRotation="0" wrapText="0" indent="0" justifyLastLine="0" shrinkToFit="0" readingOrder="0"/>
    </dxf>
    <dxf>
      <font>
        <strike val="0"/>
        <outline val="0"/>
        <shadow val="0"/>
        <u val="none"/>
        <vertAlign val="baseline"/>
        <sz val="8"/>
        <color theme="1"/>
        <name val="Calibri"/>
        <scheme val="minor"/>
      </font>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1" formatCode="0.00\ &quot;kNm&quot;"/>
      <alignment horizontal="general" vertical="bottom" textRotation="0" wrapText="0" indent="0" justifyLastLine="0" shrinkToFit="1" readingOrder="0"/>
    </dxf>
    <dxf>
      <numFmt numFmtId="0" formatCode="General"/>
    </dxf>
    <dxf>
      <numFmt numFmtId="0" formatCode="General"/>
    </dxf>
    <dxf>
      <numFmt numFmtId="2" formatCode="0.00"/>
      <alignment horizontal="right" vertical="bottom" textRotation="0" wrapText="0" indent="1" justifyLastLine="0" shrinkToFit="1" readingOrder="0"/>
    </dxf>
    <dxf>
      <numFmt numFmtId="0" formatCode="General"/>
    </dxf>
    <dxf>
      <numFmt numFmtId="2" formatCode="0.00"/>
      <alignment horizontal="right" vertical="bottom" textRotation="0" wrapText="0" indent="1" justifyLastLine="0" shrinkToFit="1" readingOrder="0"/>
    </dxf>
    <dxf>
      <numFmt numFmtId="0" formatCode="General"/>
    </dxf>
    <dxf>
      <numFmt numFmtId="2" formatCode="0.00"/>
      <alignment horizontal="right" vertical="bottom" textRotation="0" wrapText="0" indent="1" justifyLastLine="0" shrinkToFit="1" readingOrder="0"/>
    </dxf>
    <dxf>
      <numFmt numFmtId="164" formatCode="@&quot; =&quot;"/>
    </dxf>
    <dxf>
      <alignment horizontal="right" vertical="bottom" textRotation="0" wrapText="0" relativeIndent="1" justifyLastLine="0" shrinkToFit="0" readingOrder="0"/>
    </dxf>
    <dxf>
      <font>
        <strike val="0"/>
        <color rgb="FFFF0000"/>
      </font>
      <fill>
        <patternFill>
          <bgColor rgb="FFFFFF00"/>
        </patternFill>
      </fill>
    </dxf>
    <dxf>
      <font>
        <color rgb="FF9C0006"/>
      </font>
      <fill>
        <patternFill>
          <bgColor rgb="FFFFC7CE"/>
        </patternFill>
      </fill>
    </dxf>
    <dxf>
      <font>
        <color rgb="FF9C0006"/>
      </font>
      <fill>
        <patternFill>
          <bgColor rgb="FFFFC7CE"/>
        </patternFill>
      </fill>
    </dxf>
    <dxf>
      <font>
        <b/>
        <i val="0"/>
        <strike val="0"/>
        <color rgb="FFFF0000"/>
      </font>
      <fill>
        <patternFill>
          <bgColor rgb="FFFFFF00"/>
        </patternFill>
      </fill>
    </dxf>
    <dxf>
      <numFmt numFmtId="170" formatCode="0\ &quot;Mpa&quot;"/>
      <alignment horizontal="center"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numFmt numFmtId="171" formatCode="0\ &quot;º&quot;"/>
      <alignment horizontal="center"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bottom style="thin">
          <color indexed="64"/>
        </bottom>
      </border>
    </dxf>
    <dxf>
      <alignment horizontal="center" vertical="bottom" textRotation="0" wrapText="0" indent="0" justifyLastLine="0" shrinkToFit="1" readingOrder="0"/>
    </dxf>
    <dxf>
      <border outline="0">
        <bottom style="thin">
          <color indexed="64"/>
        </bottom>
      </border>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theme="0"/>
      </font>
      <fill>
        <patternFill>
          <bgColor theme="0"/>
        </patternFill>
      </fill>
    </dxf>
    <dxf>
      <font>
        <b/>
        <strike val="0"/>
        <outline val="0"/>
        <shadow val="0"/>
        <u val="none"/>
        <vertAlign val="baseline"/>
        <sz val="10"/>
        <color rgb="FF005877"/>
        <name val="Calibri"/>
        <scheme val="minor"/>
      </font>
      <numFmt numFmtId="164" formatCode="@&quot; =&quot;"/>
      <alignment horizontal="center" vertical="center" textRotation="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1" indent="0" justifyLastLine="0" shrinkToFit="0" readingOrder="0"/>
      <border diagonalUp="0" diagonalDown="0">
        <left/>
        <right/>
        <top style="thin">
          <color indexed="64"/>
        </top>
        <bottom/>
      </border>
      <protection locked="0"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right/>
        <top style="thin">
          <color indexed="64"/>
        </top>
        <bottom/>
      </border>
      <protection locked="1" hidden="0"/>
    </dxf>
    <dxf>
      <font>
        <b/>
        <i val="0"/>
        <strike val="0"/>
        <condense val="0"/>
        <extend val="0"/>
        <outline val="0"/>
        <shadow val="0"/>
        <u val="none"/>
        <vertAlign val="baseline"/>
        <sz val="9"/>
        <color theme="4"/>
        <name val="Calibri"/>
        <scheme val="minor"/>
      </font>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medium">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alignment horizontal="center" vertical="center" textRotation="0" wrapText="0" indent="0" justifyLastLine="0" shrinkToFit="0" readingOrder="0"/>
      <border diagonalUp="0" diagonalDown="0">
        <left style="medium">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medium">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alignment horizontal="center" vertical="center" textRotation="0" wrapText="0" indent="0" justifyLastLine="0" shrinkToFit="0" readingOrder="0"/>
      <border diagonalUp="0" diagonalDown="0">
        <left style="medium">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medium">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alignment horizontal="center" vertical="center" textRotation="0" wrapText="0" indent="0" justifyLastLine="0" shrinkToFit="0" readingOrder="0"/>
      <border diagonalUp="0" diagonalDown="0">
        <left style="medium">
          <color indexed="64"/>
        </left>
        <right style="thin">
          <color indexed="64"/>
        </right>
        <top style="thin">
          <color indexed="64"/>
        </top>
        <bottom/>
        <vertical/>
        <horizontal/>
      </border>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1" readingOrder="0"/>
      <border>
        <left style="medium">
          <color indexed="64"/>
        </left>
      </border>
      <protection locked="1" hidden="0"/>
    </dxf>
    <dxf>
      <font>
        <b/>
        <i val="0"/>
        <strike val="0"/>
        <condense val="0"/>
        <extend val="0"/>
        <outline val="0"/>
        <shadow val="0"/>
        <u val="none"/>
        <vertAlign val="baseline"/>
        <sz val="9"/>
        <color theme="1"/>
        <name val="Calibri"/>
        <scheme val="minor"/>
      </font>
      <numFmt numFmtId="185" formatCode="0.0"/>
      <alignment horizontal="center" vertical="center" textRotation="0" wrapText="0" indent="0" justifyLastLine="0" shrinkToFit="0" readingOrder="0"/>
      <border diagonalUp="0" diagonalDown="0">
        <left style="thin">
          <color indexed="64"/>
        </left>
        <right style="medium">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9"/>
        <color theme="1"/>
        <name val="Calibri"/>
        <scheme val="minor"/>
      </font>
      <numFmt numFmtId="2" formatCode="0.00"/>
      <alignment horizontal="center" vertical="center" textRotation="0" wrapText="0" indent="0" justifyLastLine="0" shrinkToFit="0" readingOrder="0"/>
      <border diagonalUp="0" diagonalDown="0">
        <left style="medium">
          <color indexed="64"/>
        </left>
        <right style="thin">
          <color indexed="64"/>
        </right>
        <top style="thin">
          <color indexed="64"/>
        </top>
        <bottom/>
        <vertical/>
        <horizontal/>
      </border>
      <protection locked="1" hidden="0"/>
    </dxf>
    <dxf>
      <font>
        <b/>
      </font>
      <numFmt numFmtId="0" formatCode="General"/>
      <alignment horizontal="left" vertical="top" textRotation="0" wrapText="1" indent="0" justifyLastLine="0" shrinkToFit="1" readingOrder="0"/>
      <border diagonalUp="0" diagonalDown="0">
        <left/>
        <right style="medium">
          <color indexed="64"/>
        </right>
        <top style="thin">
          <color indexed="64"/>
        </top>
        <bottom/>
      </border>
      <protection locked="1" hidden="0"/>
    </dxf>
    <dxf>
      <font>
        <b val="0"/>
        <i val="0"/>
        <strike val="0"/>
        <condense val="0"/>
        <extend val="0"/>
        <outline val="0"/>
        <shadow val="0"/>
        <u val="none"/>
        <vertAlign val="baseline"/>
        <sz val="10"/>
        <color rgb="FF4472C4"/>
        <name val="Calibri"/>
        <scheme val="none"/>
      </font>
      <numFmt numFmtId="0" formatCode="General"/>
      <alignment horizontal="left" vertical="top" textRotation="0" wrapText="1" indent="0" justifyLastLine="0" shrinkToFit="1" readingOrder="0"/>
      <border diagonalUp="0" diagonalDown="0">
        <left/>
        <right style="medium">
          <color indexed="64"/>
        </right>
        <top style="thin">
          <color indexed="64"/>
        </top>
        <bottom/>
      </border>
      <protection locked="1" hidden="0"/>
    </dxf>
    <dxf>
      <border outline="0">
        <left style="medium">
          <color rgb="FF000000"/>
        </left>
        <right style="medium">
          <color rgb="FF000000"/>
        </right>
        <bottom style="medium">
          <color rgb="FF000000"/>
        </bottom>
      </border>
    </dxf>
    <dxf>
      <protection locked="1" hidden="0"/>
    </dxf>
    <dxf>
      <border outline="0">
        <bottom style="medium">
          <color rgb="FF000000"/>
        </bottom>
      </border>
    </dxf>
    <dxf>
      <font>
        <b val="0"/>
        <i val="0"/>
        <strike val="0"/>
        <condense val="0"/>
        <extend val="0"/>
        <outline val="0"/>
        <shadow val="0"/>
        <u val="none"/>
        <vertAlign val="baseline"/>
        <sz val="9"/>
        <color theme="1"/>
        <name val="Calibri"/>
        <scheme val="minor"/>
      </font>
      <numFmt numFmtId="164" formatCode="@&quot; =&quot;"/>
      <alignment horizontal="right" vertical="top" textRotation="0" wrapText="1" indent="0" justifyLastLine="0" shrinkToFit="0" readingOrder="0"/>
      <border diagonalUp="0" diagonalDown="0">
        <left style="thin">
          <color indexed="64"/>
        </left>
        <right style="thin">
          <color indexed="64"/>
        </right>
        <top/>
        <bottom/>
      </border>
      <protection locked="1" hidden="0"/>
    </dxf>
    <dxf>
      <font>
        <color rgb="FF9C0006"/>
      </font>
      <fill>
        <patternFill>
          <bgColor rgb="FFFFC7CE"/>
        </patternFill>
      </fill>
    </dxf>
    <dxf>
      <font>
        <b/>
        <i val="0"/>
        <strike val="0"/>
        <condense val="0"/>
        <extend val="0"/>
        <outline val="0"/>
        <shadow val="0"/>
        <u val="none"/>
        <vertAlign val="baseline"/>
        <sz val="9"/>
        <color theme="4"/>
        <name val="Calibri"/>
        <scheme val="minor"/>
      </font>
      <numFmt numFmtId="2" formatCode="0.00"/>
      <alignment horizontal="right" vertical="center" textRotation="0" wrapText="0" indent="0" justifyLastLine="0" shrinkToFit="1" readingOrder="0"/>
      <border diagonalUp="0" diagonalDown="0">
        <left/>
        <right style="thin">
          <color indexed="64"/>
        </right>
        <top/>
        <bottom/>
      </border>
      <protection locked="1" hidden="0"/>
    </dxf>
    <dxf>
      <font>
        <b/>
        <i val="0"/>
        <strike val="0"/>
        <condense val="0"/>
        <extend val="0"/>
        <outline val="0"/>
        <shadow val="0"/>
        <u val="none"/>
        <vertAlign val="baseline"/>
        <sz val="9"/>
        <color rgb="FF005877"/>
        <name val="Calibri"/>
        <scheme val="minor"/>
      </font>
      <numFmt numFmtId="0" formatCode="Genera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style="thin">
          <color indexed="64"/>
        </left>
        <right/>
        <top/>
        <bottom/>
      </border>
      <protection locked="0" hidden="0"/>
    </dxf>
    <dxf>
      <font>
        <b/>
        <i val="0"/>
        <strike val="0"/>
        <condense val="0"/>
        <extend val="0"/>
        <outline val="0"/>
        <shadow val="0"/>
        <u val="none"/>
        <vertAlign val="baseline"/>
        <sz val="9"/>
        <color theme="4"/>
        <name val="Calibri"/>
        <scheme val="minor"/>
      </font>
      <numFmt numFmtId="0" formatCode="General"/>
      <alignment horizontal="center" vertical="center" textRotation="0" wrapText="0" indent="0" justifyLastLine="0" shrinkToFit="0" readingOrder="0"/>
      <border diagonalUp="0" diagonalDown="0">
        <left/>
        <right style="thin">
          <color indexed="64"/>
        </right>
        <top/>
        <bottom/>
        <vertical/>
        <horizontal/>
      </border>
      <protection locked="1" hidden="0"/>
    </dxf>
    <dxf>
      <font>
        <b/>
        <i val="0"/>
        <strike val="0"/>
        <condense val="0"/>
        <extend val="0"/>
        <outline val="0"/>
        <shadow val="0"/>
        <u val="none"/>
        <vertAlign val="baseline"/>
        <sz val="9"/>
        <color theme="4"/>
        <name val="Calibri"/>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bottom/>
        <vertical/>
        <horizontal/>
      </border>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4"/>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B050"/>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7030A0"/>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theme="5" tint="-0.249977111117893"/>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bottom/>
        <vertical/>
        <horizontal/>
      </border>
      <protection locked="1" hidden="0"/>
    </dxf>
    <dxf>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protection locked="1" hidden="0"/>
    </dxf>
    <dxf>
      <fill>
        <patternFill patternType="none">
          <fgColor indexed="64"/>
          <bgColor auto="1"/>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bottom/>
        <vertical/>
        <horizontal/>
      </border>
      <protection locked="1" hidden="0"/>
    </dxf>
    <dxf>
      <font>
        <b/>
        <i val="0"/>
        <strike val="0"/>
        <condense val="0"/>
        <extend val="0"/>
        <outline val="0"/>
        <shadow val="0"/>
        <u val="none"/>
        <vertAlign val="baseline"/>
        <sz val="9"/>
        <color theme="1"/>
        <name val="Calibri"/>
        <scheme val="minor"/>
      </font>
      <numFmt numFmtId="185"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bottom/>
        <vertical/>
        <horizontal/>
      </border>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top/>
        <bottom/>
        <vertical/>
        <horizontal/>
      </border>
      <protection locked="1" hidden="0"/>
    </dxf>
    <dxf>
      <alignment horizontal="general" vertical="center" textRotation="0" wrapText="1" indent="0" justifyLastLine="0" shrinkToFit="0" readingOrder="0"/>
      <border diagonalUp="0" diagonalDown="0">
        <left/>
        <right style="thin">
          <color indexed="64"/>
        </right>
        <top/>
        <bottom/>
        <vertical/>
        <horizontal/>
      </border>
      <protection locked="0" hidden="0"/>
    </dxf>
    <dxf>
      <font>
        <b/>
        <i val="0"/>
        <strike val="0"/>
        <condense val="0"/>
        <extend val="0"/>
        <outline val="0"/>
        <shadow val="0"/>
        <u val="none"/>
        <vertAlign val="baseline"/>
        <sz val="9"/>
        <color theme="4"/>
        <name val="Calibri"/>
        <scheme val="minor"/>
      </font>
      <alignment horizontal="center" vertical="center" textRotation="0" wrapText="0" indent="0" justifyLastLine="0" shrinkToFit="0" readingOrder="0"/>
      <border diagonalUp="0" diagonalDown="0">
        <left style="thin">
          <color indexed="64"/>
        </left>
        <right/>
        <top/>
        <bottom/>
        <vertical/>
        <horizontal/>
      </border>
      <protection locked="1" hidden="0"/>
    </dxf>
    <dxf>
      <border outline="0">
        <left style="medium">
          <color indexed="64"/>
        </left>
        <right style="medium">
          <color indexed="64"/>
        </right>
        <bottom style="medium">
          <color indexed="64"/>
        </bottom>
      </border>
    </dxf>
    <dxf>
      <font>
        <b/>
        <i val="0"/>
        <strike val="0"/>
        <condense val="0"/>
        <extend val="0"/>
        <outline val="0"/>
        <shadow val="0"/>
        <u val="none"/>
        <vertAlign val="baseline"/>
        <sz val="9"/>
        <color theme="4"/>
        <name val="Calibri"/>
        <scheme val="minor"/>
      </font>
      <numFmt numFmtId="164" formatCode="@&quot; =&quot;"/>
      <alignment horizontal="center" vertical="center" textRotation="0" wrapText="0" indent="0" justifyLastLine="0" shrinkToFit="0" readingOrder="0"/>
      <protection locked="1" hidden="0"/>
    </dxf>
    <dxf>
      <border outline="0">
        <bottom style="medium">
          <color indexed="64"/>
        </bottom>
      </border>
    </dxf>
    <dxf>
      <font>
        <b val="0"/>
        <i val="0"/>
        <strike val="0"/>
        <condense val="0"/>
        <extend val="0"/>
        <outline val="0"/>
        <shadow val="0"/>
        <u val="none"/>
        <vertAlign val="baseline"/>
        <sz val="9"/>
        <color theme="1"/>
        <name val="Calibri"/>
        <scheme val="minor"/>
      </font>
      <numFmt numFmtId="164" formatCode="@&quot; =&quot;"/>
      <alignment horizontal="right" vertical="top" textRotation="0" wrapText="1" indent="0" justifyLastLine="0" shrinkToFit="0" readingOrder="0"/>
      <border diagonalUp="0" diagonalDown="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theme="0"/>
      </font>
      <fill>
        <patternFill>
          <fgColor theme="0"/>
          <bgColor theme="0"/>
        </patternFill>
      </fill>
    </dxf>
    <dxf>
      <font>
        <color theme="0"/>
      </font>
      <fill>
        <patternFill>
          <bgColor theme="0"/>
        </patternFill>
      </fill>
    </dxf>
    <dxf>
      <fill>
        <patternFill>
          <bgColor rgb="FFFFFF00"/>
        </patternFill>
      </fill>
    </dxf>
    <dxf>
      <font>
        <color rgb="FF9C0006"/>
      </font>
      <fill>
        <patternFill>
          <bgColor rgb="FFFFC7CE"/>
        </patternFill>
      </fill>
    </dxf>
    <dxf>
      <font>
        <color theme="0"/>
      </font>
      <fill>
        <patternFill>
          <bgColor theme="0"/>
        </patternFill>
      </fill>
    </dxf>
    <dxf>
      <font>
        <b/>
        <i val="0"/>
        <color theme="0"/>
      </font>
      <fill>
        <patternFill>
          <fgColor theme="0"/>
          <bgColor theme="0"/>
        </patternFill>
      </fill>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border>
        <left/>
        <right/>
        <top/>
        <bottom/>
      </border>
    </dxf>
    <dxf>
      <font>
        <color theme="0"/>
      </font>
      <fill>
        <patternFill>
          <bgColor theme="0"/>
        </patternFill>
      </fill>
      <border>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border>
        <left/>
        <right/>
        <top/>
        <vertical/>
        <horizontal/>
      </border>
    </dxf>
    <dxf>
      <border>
        <bottom style="thin">
          <color auto="1"/>
        </bottom>
        <vertical/>
        <horizontal/>
      </border>
    </dxf>
    <dxf>
      <font>
        <color theme="0"/>
      </font>
    </dxf>
  </dxfs>
  <tableStyles count="0" defaultTableStyle="TableStyleMedium2" defaultPivotStyle="PivotStyleLight16"/>
  <colors>
    <mruColors>
      <color rgb="FFE87B00"/>
      <color rgb="FF0058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 Type="http://schemas.openxmlformats.org/officeDocument/2006/relationships/hyperlink" Target="https://docs.google.com/spreadsheets/d/13DvMvhVkx12qg-r4tkzOiIfJDa5zrdOtAeIbpwYfeQk/edit?gid=738472719#gid=738472719" TargetMode="External"/></Relationships>
</file>

<file path=xl/drawings/drawing1.xml><?xml version="1.0" encoding="utf-8"?>
<xdr:wsDr xmlns:xdr="http://schemas.openxmlformats.org/drawingml/2006/spreadsheetDrawing" xmlns:a="http://schemas.openxmlformats.org/drawingml/2006/main">
  <xdr:twoCellAnchor>
    <xdr:from>
      <xdr:col>1</xdr:col>
      <xdr:colOff>36547</xdr:colOff>
      <xdr:row>0</xdr:row>
      <xdr:rowOff>24365</xdr:rowOff>
    </xdr:from>
    <xdr:to>
      <xdr:col>2</xdr:col>
      <xdr:colOff>207098</xdr:colOff>
      <xdr:row>0</xdr:row>
      <xdr:rowOff>261919</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8F41547F-3DF4-4F15-8CCD-E53A5B31871D}"/>
            </a:ext>
          </a:extLst>
        </xdr:cNvPr>
        <xdr:cNvSpPr/>
      </xdr:nvSpPr>
      <xdr:spPr>
        <a:xfrm>
          <a:off x="324414" y="24365"/>
          <a:ext cx="6524784" cy="2375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120317</xdr:colOff>
      <xdr:row>11</xdr:row>
      <xdr:rowOff>36098</xdr:rowOff>
    </xdr:from>
    <xdr:to>
      <xdr:col>19</xdr:col>
      <xdr:colOff>180486</xdr:colOff>
      <xdr:row>28</xdr:row>
      <xdr:rowOff>30152</xdr:rowOff>
    </xdr:to>
    <xdr:grpSp>
      <xdr:nvGrpSpPr>
        <xdr:cNvPr id="459" name="TODO">
          <a:extLst>
            <a:ext uri="{FF2B5EF4-FFF2-40B4-BE49-F238E27FC236}">
              <a16:creationId xmlns:a16="http://schemas.microsoft.com/office/drawing/2014/main" id="{56A11583-4381-CEFB-917B-ADA7E309F3BF}"/>
            </a:ext>
          </a:extLst>
        </xdr:cNvPr>
        <xdr:cNvGrpSpPr/>
      </xdr:nvGrpSpPr>
      <xdr:grpSpPr>
        <a:xfrm>
          <a:off x="238850" y="3287298"/>
          <a:ext cx="6050336" cy="3219854"/>
          <a:chOff x="96785" y="5591092"/>
          <a:chExt cx="6031161" cy="3254018"/>
        </a:xfrm>
      </xdr:grpSpPr>
      <xdr:grpSp>
        <xdr:nvGrpSpPr>
          <xdr:cNvPr id="181" name="APOYOS">
            <a:extLst>
              <a:ext uri="{FF2B5EF4-FFF2-40B4-BE49-F238E27FC236}">
                <a16:creationId xmlns:a16="http://schemas.microsoft.com/office/drawing/2014/main" id="{4EB5B530-14A1-9D27-79D0-7A911275B0BA}"/>
              </a:ext>
            </a:extLst>
          </xdr:cNvPr>
          <xdr:cNvGrpSpPr/>
        </xdr:nvGrpSpPr>
        <xdr:grpSpPr>
          <a:xfrm>
            <a:off x="347090" y="5779996"/>
            <a:ext cx="5780856" cy="3065114"/>
            <a:chOff x="349338" y="4548554"/>
            <a:chExt cx="5769648" cy="3075598"/>
          </a:xfrm>
        </xdr:grpSpPr>
        <xdr:grpSp>
          <xdr:nvGrpSpPr>
            <xdr:cNvPr id="36" name="NUDO A">
              <a:extLst>
                <a:ext uri="{FF2B5EF4-FFF2-40B4-BE49-F238E27FC236}">
                  <a16:creationId xmlns:a16="http://schemas.microsoft.com/office/drawing/2014/main" id="{09A0209A-55FC-39AF-8264-BF9793E5E72D}"/>
                </a:ext>
              </a:extLst>
            </xdr:cNvPr>
            <xdr:cNvGrpSpPr/>
          </xdr:nvGrpSpPr>
          <xdr:grpSpPr>
            <a:xfrm>
              <a:off x="568572" y="7016147"/>
              <a:ext cx="1562246" cy="595023"/>
              <a:chOff x="568155" y="7013335"/>
              <a:chExt cx="1564224" cy="593169"/>
            </a:xfrm>
          </xdr:grpSpPr>
          <xdr:grpSp>
            <xdr:nvGrpSpPr>
              <xdr:cNvPr id="4" name="R A">
                <a:extLst>
                  <a:ext uri="{FF2B5EF4-FFF2-40B4-BE49-F238E27FC236}">
                    <a16:creationId xmlns:a16="http://schemas.microsoft.com/office/drawing/2014/main" id="{CFA8B28A-88B6-F092-155B-FF9271E27364}"/>
                  </a:ext>
                </a:extLst>
              </xdr:cNvPr>
              <xdr:cNvGrpSpPr/>
            </xdr:nvGrpSpPr>
            <xdr:grpSpPr>
              <a:xfrm>
                <a:off x="722760" y="7089678"/>
                <a:ext cx="1409619" cy="516826"/>
                <a:chOff x="722590" y="7077320"/>
                <a:chExt cx="1408598" cy="515408"/>
              </a:xfrm>
            </xdr:grpSpPr>
            <xdr:sp macro="" textlink="RFv_A_Ver">
              <xdr:nvSpPr>
                <xdr:cNvPr id="3" name="RvA">
                  <a:extLst>
                    <a:ext uri="{FF2B5EF4-FFF2-40B4-BE49-F238E27FC236}">
                      <a16:creationId xmlns:a16="http://schemas.microsoft.com/office/drawing/2014/main" id="{C19D7349-29FE-4CE6-BAF3-23F61237B652}"/>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E8B313C-E1BA-4718-894F-AB4F756A8571}"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A_Ver">
              <xdr:nvSpPr>
                <xdr:cNvPr id="17" name="RhA">
                  <a:extLst>
                    <a:ext uri="{FF2B5EF4-FFF2-40B4-BE49-F238E27FC236}">
                      <a16:creationId xmlns:a16="http://schemas.microsoft.com/office/drawing/2014/main" id="{3103EA23-DE83-A017-E84B-25779A44F2BC}"/>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E3F3689-0B76-460C-BFE1-2F300B3EC73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A_Ver">
              <xdr:nvSpPr>
                <xdr:cNvPr id="16" name="RM_A">
                  <a:extLst>
                    <a:ext uri="{FF2B5EF4-FFF2-40B4-BE49-F238E27FC236}">
                      <a16:creationId xmlns:a16="http://schemas.microsoft.com/office/drawing/2014/main" id="{406E1DC1-5D31-C359-4614-7500B99B4AB5}"/>
                    </a:ext>
                  </a:extLst>
                </xdr:cNvPr>
                <xdr:cNvSpPr txBox="1"/>
              </xdr:nvSpPr>
              <xdr:spPr>
                <a:xfrm>
                  <a:off x="737776" y="7290331"/>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DD19867-7E7E-432C-9708-481E1639696B}"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31" name="Apoyo A">
                <a:extLst>
                  <a:ext uri="{FF2B5EF4-FFF2-40B4-BE49-F238E27FC236}">
                    <a16:creationId xmlns:a16="http://schemas.microsoft.com/office/drawing/2014/main" id="{67B9F75A-D19E-4E4E-5D33-9F8FA5BD182B}"/>
                  </a:ext>
                </a:extLst>
              </xdr:cNvPr>
              <xdr:cNvGrpSpPr/>
            </xdr:nvGrpSpPr>
            <xdr:grpSpPr>
              <a:xfrm>
                <a:off x="568155" y="7013335"/>
                <a:ext cx="471080" cy="441264"/>
                <a:chOff x="10283801" y="8286200"/>
                <a:chExt cx="470180" cy="441889"/>
              </a:xfrm>
            </xdr:grpSpPr>
            <xdr:grpSp>
              <xdr:nvGrpSpPr>
                <xdr:cNvPr id="443" name="Apoyo Móvil A">
                  <a:extLst>
                    <a:ext uri="{FF2B5EF4-FFF2-40B4-BE49-F238E27FC236}">
                      <a16:creationId xmlns:a16="http://schemas.microsoft.com/office/drawing/2014/main" id="{96370A32-75A8-2A62-894D-AA69C0775625}"/>
                    </a:ext>
                  </a:extLst>
                </xdr:cNvPr>
                <xdr:cNvGrpSpPr/>
              </xdr:nvGrpSpPr>
              <xdr:grpSpPr>
                <a:xfrm>
                  <a:off x="10284164" y="8440721"/>
                  <a:ext cx="469817" cy="287368"/>
                  <a:chOff x="10284164" y="8440721"/>
                  <a:chExt cx="469817" cy="287368"/>
                </a:xfrm>
              </xdr:grpSpPr>
              <xdr:sp macro="" textlink="$AF$15">
                <xdr:nvSpPr>
                  <xdr:cNvPr id="448" name="Suelo A">
                    <a:extLst>
                      <a:ext uri="{FF2B5EF4-FFF2-40B4-BE49-F238E27FC236}">
                        <a16:creationId xmlns:a16="http://schemas.microsoft.com/office/drawing/2014/main" id="{1EEBF388-93C6-E01B-2052-D661C7063E2F}"/>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8459142-F2CC-44E0-9A8B-4344B1323B2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5">
                <xdr:nvSpPr>
                  <xdr:cNvPr id="449" name="Ruedas A">
                    <a:extLst>
                      <a:ext uri="{FF2B5EF4-FFF2-40B4-BE49-F238E27FC236}">
                        <a16:creationId xmlns:a16="http://schemas.microsoft.com/office/drawing/2014/main" id="{9EAB8890-B543-2133-BF58-0FEE777C3B37}"/>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83326684-44B3-4F23-A21C-E295C3934E4C}"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444" name="Apoyo FIjo A">
                  <a:extLst>
                    <a:ext uri="{FF2B5EF4-FFF2-40B4-BE49-F238E27FC236}">
                      <a16:creationId xmlns:a16="http://schemas.microsoft.com/office/drawing/2014/main" id="{414A34A9-353C-854C-4615-04EC839DED23}"/>
                    </a:ext>
                  </a:extLst>
                </xdr:cNvPr>
                <xdr:cNvGrpSpPr/>
              </xdr:nvGrpSpPr>
              <xdr:grpSpPr>
                <a:xfrm>
                  <a:off x="10283857" y="8311526"/>
                  <a:ext cx="469817" cy="355491"/>
                  <a:chOff x="10283423" y="8314710"/>
                  <a:chExt cx="469817" cy="355491"/>
                </a:xfrm>
              </xdr:grpSpPr>
              <xdr:sp macro="" textlink="$AD$15">
                <xdr:nvSpPr>
                  <xdr:cNvPr id="446" name="Suelo A">
                    <a:extLst>
                      <a:ext uri="{FF2B5EF4-FFF2-40B4-BE49-F238E27FC236}">
                        <a16:creationId xmlns:a16="http://schemas.microsoft.com/office/drawing/2014/main" id="{CBEAB13F-A182-BAE6-75C5-B978A174C7C4}"/>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DCBF4EB-7F5B-4E92-8186-F991F436F90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5">
                <xdr:nvSpPr>
                  <xdr:cNvPr id="447" name="Triángulo A">
                    <a:extLst>
                      <a:ext uri="{FF2B5EF4-FFF2-40B4-BE49-F238E27FC236}">
                        <a16:creationId xmlns:a16="http://schemas.microsoft.com/office/drawing/2014/main" id="{D291651F-F43C-2193-D84B-913A3D319B4C}"/>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139FEE-B908-4500-8039-70BB201F70DC}"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5">
              <xdr:nvSpPr>
                <xdr:cNvPr id="445" name="Empotramiento A">
                  <a:extLst>
                    <a:ext uri="{FF2B5EF4-FFF2-40B4-BE49-F238E27FC236}">
                      <a16:creationId xmlns:a16="http://schemas.microsoft.com/office/drawing/2014/main" id="{72C5F84E-5F6C-26E8-59E9-30E231219847}"/>
                    </a:ext>
                  </a:extLst>
                </xdr:cNvPr>
                <xdr:cNvSpPr txBox="1"/>
              </xdr:nvSpPr>
              <xdr:spPr>
                <a:xfrm rot="10800000">
                  <a:off x="10283801" y="828620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F137D06-4B0A-45D1-ABFC-6933B36904D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37" name="NUDO B">
              <a:extLst>
                <a:ext uri="{FF2B5EF4-FFF2-40B4-BE49-F238E27FC236}">
                  <a16:creationId xmlns:a16="http://schemas.microsoft.com/office/drawing/2014/main" id="{C0E03D7B-72C7-9E32-CED9-49FF056B0D13}"/>
                </a:ext>
              </a:extLst>
            </xdr:cNvPr>
            <xdr:cNvGrpSpPr/>
          </xdr:nvGrpSpPr>
          <xdr:grpSpPr>
            <a:xfrm>
              <a:off x="567921" y="6323276"/>
              <a:ext cx="1534903" cy="622354"/>
              <a:chOff x="567504" y="6322937"/>
              <a:chExt cx="1536881" cy="619881"/>
            </a:xfrm>
          </xdr:grpSpPr>
          <xdr:grpSp>
            <xdr:nvGrpSpPr>
              <xdr:cNvPr id="5" name="R B">
                <a:extLst>
                  <a:ext uri="{FF2B5EF4-FFF2-40B4-BE49-F238E27FC236}">
                    <a16:creationId xmlns:a16="http://schemas.microsoft.com/office/drawing/2014/main" id="{551DB316-8F0F-4FBB-B2FD-5FD01CE2A9EC}"/>
                  </a:ext>
                </a:extLst>
              </xdr:cNvPr>
              <xdr:cNvGrpSpPr/>
            </xdr:nvGrpSpPr>
            <xdr:grpSpPr>
              <a:xfrm>
                <a:off x="694766" y="6425284"/>
                <a:ext cx="1409619" cy="517534"/>
                <a:chOff x="722590" y="7077320"/>
                <a:chExt cx="1408598" cy="515408"/>
              </a:xfrm>
            </xdr:grpSpPr>
            <xdr:sp macro="" textlink="RFv_B_Ver">
              <xdr:nvSpPr>
                <xdr:cNvPr id="6" name="RvB">
                  <a:extLst>
                    <a:ext uri="{FF2B5EF4-FFF2-40B4-BE49-F238E27FC236}">
                      <a16:creationId xmlns:a16="http://schemas.microsoft.com/office/drawing/2014/main" id="{21D581EA-A555-1A2C-3750-DF605F6A58A8}"/>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3DDF417-A6B9-4E31-A537-E8F30956D47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B_Ver">
              <xdr:nvSpPr>
                <xdr:cNvPr id="8" name="RhB">
                  <a:extLst>
                    <a:ext uri="{FF2B5EF4-FFF2-40B4-BE49-F238E27FC236}">
                      <a16:creationId xmlns:a16="http://schemas.microsoft.com/office/drawing/2014/main" id="{642E3CF4-71F8-391F-AB04-44714C7C7047}"/>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B3AC227-ECCD-4403-A07B-569E1307DD74}"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B_Ver">
              <xdr:nvSpPr>
                <xdr:cNvPr id="9" name="RM_B">
                  <a:extLst>
                    <a:ext uri="{FF2B5EF4-FFF2-40B4-BE49-F238E27FC236}">
                      <a16:creationId xmlns:a16="http://schemas.microsoft.com/office/drawing/2014/main" id="{AA91FDCE-F473-F221-A22A-9635FFA11002}"/>
                    </a:ext>
                  </a:extLst>
                </xdr:cNvPr>
                <xdr:cNvSpPr txBox="1"/>
              </xdr:nvSpPr>
              <xdr:spPr>
                <a:xfrm>
                  <a:off x="737776" y="728493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6F6C99A-FE88-439E-8422-64D1FA71E31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32" name="Apoyo B">
                <a:extLst>
                  <a:ext uri="{FF2B5EF4-FFF2-40B4-BE49-F238E27FC236}">
                    <a16:creationId xmlns:a16="http://schemas.microsoft.com/office/drawing/2014/main" id="{F11BDB51-2AC0-A701-D29F-ABC96B97AFB9}"/>
                  </a:ext>
                </a:extLst>
              </xdr:cNvPr>
              <xdr:cNvGrpSpPr/>
            </xdr:nvGrpSpPr>
            <xdr:grpSpPr>
              <a:xfrm>
                <a:off x="567504" y="6322937"/>
                <a:ext cx="471080" cy="441265"/>
                <a:chOff x="1241967" y="9263559"/>
                <a:chExt cx="471890" cy="446231"/>
              </a:xfrm>
            </xdr:grpSpPr>
            <xdr:grpSp>
              <xdr:nvGrpSpPr>
                <xdr:cNvPr id="436" name="Apoyo Móvil">
                  <a:extLst>
                    <a:ext uri="{FF2B5EF4-FFF2-40B4-BE49-F238E27FC236}">
                      <a16:creationId xmlns:a16="http://schemas.microsoft.com/office/drawing/2014/main" id="{ED8A4632-3B61-7272-2BDE-8E1C44E693A6}"/>
                    </a:ext>
                  </a:extLst>
                </xdr:cNvPr>
                <xdr:cNvGrpSpPr/>
              </xdr:nvGrpSpPr>
              <xdr:grpSpPr>
                <a:xfrm>
                  <a:off x="1242331" y="9419598"/>
                  <a:ext cx="471526" cy="290192"/>
                  <a:chOff x="10284164" y="8440721"/>
                  <a:chExt cx="469817" cy="287368"/>
                </a:xfrm>
              </xdr:grpSpPr>
              <xdr:sp macro="" textlink="$AF$16">
                <xdr:nvSpPr>
                  <xdr:cNvPr id="441" name="Suelo B">
                    <a:extLst>
                      <a:ext uri="{FF2B5EF4-FFF2-40B4-BE49-F238E27FC236}">
                        <a16:creationId xmlns:a16="http://schemas.microsoft.com/office/drawing/2014/main" id="{C3E1C3F2-0602-EEC7-7A95-12A5B0B844C9}"/>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128F775E-CA9E-47CC-AA86-9A63ABCFE5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6">
                <xdr:nvSpPr>
                  <xdr:cNvPr id="442" name="Ruedas B">
                    <a:extLst>
                      <a:ext uri="{FF2B5EF4-FFF2-40B4-BE49-F238E27FC236}">
                        <a16:creationId xmlns:a16="http://schemas.microsoft.com/office/drawing/2014/main" id="{60582901-0164-6311-74ED-A8BB1DECEC96}"/>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65BF773-AFA3-4DFA-827F-04230B71B3E8}"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437" name="Apoyo FIjo">
                  <a:extLst>
                    <a:ext uri="{FF2B5EF4-FFF2-40B4-BE49-F238E27FC236}">
                      <a16:creationId xmlns:a16="http://schemas.microsoft.com/office/drawing/2014/main" id="{2767B6B3-D175-D512-B1E8-A564F0EE9927}"/>
                    </a:ext>
                  </a:extLst>
                </xdr:cNvPr>
                <xdr:cNvGrpSpPr/>
              </xdr:nvGrpSpPr>
              <xdr:grpSpPr>
                <a:xfrm>
                  <a:off x="1242023" y="9289134"/>
                  <a:ext cx="471526" cy="358984"/>
                  <a:chOff x="10283423" y="8314710"/>
                  <a:chExt cx="469817" cy="355491"/>
                </a:xfrm>
              </xdr:grpSpPr>
              <xdr:sp macro="" textlink="$AD$16">
                <xdr:nvSpPr>
                  <xdr:cNvPr id="439" name="Suelo B">
                    <a:extLst>
                      <a:ext uri="{FF2B5EF4-FFF2-40B4-BE49-F238E27FC236}">
                        <a16:creationId xmlns:a16="http://schemas.microsoft.com/office/drawing/2014/main" id="{124A6FF6-2AD5-750C-436E-F25F97339048}"/>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1CA56A5-2D88-48DC-950F-84C4BF7FDC6F}"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6">
                <xdr:nvSpPr>
                  <xdr:cNvPr id="440" name="Triángulo B">
                    <a:extLst>
                      <a:ext uri="{FF2B5EF4-FFF2-40B4-BE49-F238E27FC236}">
                        <a16:creationId xmlns:a16="http://schemas.microsoft.com/office/drawing/2014/main" id="{3D15E753-AAD4-2EE8-C1FD-6885F8AD21D3}"/>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32292E-0DBF-4E4A-94E6-2554949C8E14}"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6">
              <xdr:nvSpPr>
                <xdr:cNvPr id="438" name="Empotramiento B">
                  <a:extLst>
                    <a:ext uri="{FF2B5EF4-FFF2-40B4-BE49-F238E27FC236}">
                      <a16:creationId xmlns:a16="http://schemas.microsoft.com/office/drawing/2014/main" id="{68EC90EF-4DC3-5860-0AEB-FE2D19E29840}"/>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38C2A7CC-074D-42AD-82C9-FF3CCB4530D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38" name="NUDO C">
              <a:extLst>
                <a:ext uri="{FF2B5EF4-FFF2-40B4-BE49-F238E27FC236}">
                  <a16:creationId xmlns:a16="http://schemas.microsoft.com/office/drawing/2014/main" id="{8400B000-2461-CBDE-123B-C662CFBF8899}"/>
                </a:ext>
              </a:extLst>
            </xdr:cNvPr>
            <xdr:cNvGrpSpPr/>
          </xdr:nvGrpSpPr>
          <xdr:grpSpPr>
            <a:xfrm>
              <a:off x="562836" y="5631200"/>
              <a:ext cx="1560866" cy="614856"/>
              <a:chOff x="562419" y="5632714"/>
              <a:chExt cx="1562844" cy="613003"/>
            </a:xfrm>
          </xdr:grpSpPr>
          <xdr:grpSp>
            <xdr:nvGrpSpPr>
              <xdr:cNvPr id="10" name="R C">
                <a:extLst>
                  <a:ext uri="{FF2B5EF4-FFF2-40B4-BE49-F238E27FC236}">
                    <a16:creationId xmlns:a16="http://schemas.microsoft.com/office/drawing/2014/main" id="{03B07D67-6BB0-462C-8CB7-98C7E101DA1C}"/>
                  </a:ext>
                </a:extLst>
              </xdr:cNvPr>
              <xdr:cNvGrpSpPr/>
            </xdr:nvGrpSpPr>
            <xdr:grpSpPr>
              <a:xfrm>
                <a:off x="715644" y="5728182"/>
                <a:ext cx="1409619" cy="517535"/>
                <a:chOff x="722590" y="7077320"/>
                <a:chExt cx="1408598" cy="515408"/>
              </a:xfrm>
            </xdr:grpSpPr>
            <xdr:sp macro="" textlink="RFv_C_Ver">
              <xdr:nvSpPr>
                <xdr:cNvPr id="11" name="RvC">
                  <a:extLst>
                    <a:ext uri="{FF2B5EF4-FFF2-40B4-BE49-F238E27FC236}">
                      <a16:creationId xmlns:a16="http://schemas.microsoft.com/office/drawing/2014/main" id="{7A47C419-88B2-6875-35A6-9B8B6D4A3012}"/>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F71FD0-933F-49A6-AA7D-F7729A44B52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C_Ver">
              <xdr:nvSpPr>
                <xdr:cNvPr id="12" name="RhC">
                  <a:extLst>
                    <a:ext uri="{FF2B5EF4-FFF2-40B4-BE49-F238E27FC236}">
                      <a16:creationId xmlns:a16="http://schemas.microsoft.com/office/drawing/2014/main" id="{EFDFE147-2939-6956-E53D-F000D832CBB6}"/>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8380F4F-E1C9-4DA7-8FFB-E33A324E813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C_Ver">
              <xdr:nvSpPr>
                <xdr:cNvPr id="13" name="RM_C">
                  <a:extLst>
                    <a:ext uri="{FF2B5EF4-FFF2-40B4-BE49-F238E27FC236}">
                      <a16:creationId xmlns:a16="http://schemas.microsoft.com/office/drawing/2014/main" id="{54C49A1B-9559-993D-444B-07EB3C7EE8AA}"/>
                    </a:ext>
                  </a:extLst>
                </xdr:cNvPr>
                <xdr:cNvSpPr txBox="1"/>
              </xdr:nvSpPr>
              <xdr:spPr>
                <a:xfrm>
                  <a:off x="737776" y="728493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2E395C6-D6B4-433C-BAF4-5739DD22426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19" name="Apoyo C">
                <a:extLst>
                  <a:ext uri="{FF2B5EF4-FFF2-40B4-BE49-F238E27FC236}">
                    <a16:creationId xmlns:a16="http://schemas.microsoft.com/office/drawing/2014/main" id="{2CB33B11-517C-A461-AB49-41CDC57CB3E8}"/>
                  </a:ext>
                </a:extLst>
              </xdr:cNvPr>
              <xdr:cNvGrpSpPr/>
            </xdr:nvGrpSpPr>
            <xdr:grpSpPr>
              <a:xfrm>
                <a:off x="562419" y="5632714"/>
                <a:ext cx="471080" cy="442190"/>
                <a:chOff x="1241967" y="9263559"/>
                <a:chExt cx="471890" cy="446231"/>
              </a:xfrm>
            </xdr:grpSpPr>
            <xdr:grpSp>
              <xdr:nvGrpSpPr>
                <xdr:cNvPr id="429" name="Apoyo Móvil">
                  <a:extLst>
                    <a:ext uri="{FF2B5EF4-FFF2-40B4-BE49-F238E27FC236}">
                      <a16:creationId xmlns:a16="http://schemas.microsoft.com/office/drawing/2014/main" id="{81B5A197-7DD5-5CAF-16FE-8324F6FD4851}"/>
                    </a:ext>
                  </a:extLst>
                </xdr:cNvPr>
                <xdr:cNvGrpSpPr/>
              </xdr:nvGrpSpPr>
              <xdr:grpSpPr>
                <a:xfrm>
                  <a:off x="1242331" y="9419598"/>
                  <a:ext cx="471526" cy="290192"/>
                  <a:chOff x="10284164" y="8440721"/>
                  <a:chExt cx="469817" cy="287368"/>
                </a:xfrm>
              </xdr:grpSpPr>
              <xdr:sp macro="" textlink="$AF$17">
                <xdr:nvSpPr>
                  <xdr:cNvPr id="434" name="Suelo C">
                    <a:extLst>
                      <a:ext uri="{FF2B5EF4-FFF2-40B4-BE49-F238E27FC236}">
                        <a16:creationId xmlns:a16="http://schemas.microsoft.com/office/drawing/2014/main" id="{78300C13-7398-B536-73B6-42E67D5E6DCB}"/>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5789EEC-6AD6-4E03-8554-4FBEA6B96AB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7">
                <xdr:nvSpPr>
                  <xdr:cNvPr id="435" name="Ruedas C">
                    <a:extLst>
                      <a:ext uri="{FF2B5EF4-FFF2-40B4-BE49-F238E27FC236}">
                        <a16:creationId xmlns:a16="http://schemas.microsoft.com/office/drawing/2014/main" id="{695074FA-CCFB-DC60-B551-E59A61571CC3}"/>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37A7308-AD41-4B34-B189-6FC78A7BF3B1}"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430" name="Apoyo FIjo">
                  <a:extLst>
                    <a:ext uri="{FF2B5EF4-FFF2-40B4-BE49-F238E27FC236}">
                      <a16:creationId xmlns:a16="http://schemas.microsoft.com/office/drawing/2014/main" id="{21931C11-7959-00AB-CD12-F6A5DE073CE1}"/>
                    </a:ext>
                  </a:extLst>
                </xdr:cNvPr>
                <xdr:cNvGrpSpPr/>
              </xdr:nvGrpSpPr>
              <xdr:grpSpPr>
                <a:xfrm>
                  <a:off x="1242023" y="9289134"/>
                  <a:ext cx="471526" cy="358984"/>
                  <a:chOff x="10283423" y="8314710"/>
                  <a:chExt cx="469817" cy="355491"/>
                </a:xfrm>
              </xdr:grpSpPr>
              <xdr:sp macro="" textlink="$AD$17">
                <xdr:nvSpPr>
                  <xdr:cNvPr id="432" name="Suelo C">
                    <a:extLst>
                      <a:ext uri="{FF2B5EF4-FFF2-40B4-BE49-F238E27FC236}">
                        <a16:creationId xmlns:a16="http://schemas.microsoft.com/office/drawing/2014/main" id="{2300B0F9-9D78-6C10-224B-C40152726D7B}"/>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DA315E5-8B79-402E-A0D0-8D846BA40ACF}"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7">
                <xdr:nvSpPr>
                  <xdr:cNvPr id="433" name="Triángulo C">
                    <a:extLst>
                      <a:ext uri="{FF2B5EF4-FFF2-40B4-BE49-F238E27FC236}">
                        <a16:creationId xmlns:a16="http://schemas.microsoft.com/office/drawing/2014/main" id="{08F4FD6E-9C46-332F-E965-F08B660DDBD6}"/>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166C4A-4822-4595-A321-258DA649474A}"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7">
              <xdr:nvSpPr>
                <xdr:cNvPr id="431" name="Empotramiento C">
                  <a:extLst>
                    <a:ext uri="{FF2B5EF4-FFF2-40B4-BE49-F238E27FC236}">
                      <a16:creationId xmlns:a16="http://schemas.microsoft.com/office/drawing/2014/main" id="{140F0B5B-337E-21F7-9A99-3BAD4A1B6440}"/>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F8FA6FA-6121-421B-BB98-9D90A493017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0" name="NUDO D">
              <a:extLst>
                <a:ext uri="{FF2B5EF4-FFF2-40B4-BE49-F238E27FC236}">
                  <a16:creationId xmlns:a16="http://schemas.microsoft.com/office/drawing/2014/main" id="{E7404125-7C8E-DCEC-73D4-1771C69F7F8F}"/>
                </a:ext>
              </a:extLst>
            </xdr:cNvPr>
            <xdr:cNvGrpSpPr/>
          </xdr:nvGrpSpPr>
          <xdr:grpSpPr>
            <a:xfrm>
              <a:off x="495577" y="4801718"/>
              <a:ext cx="1185036" cy="844438"/>
              <a:chOff x="1342988" y="4927946"/>
              <a:chExt cx="1183550" cy="848036"/>
            </a:xfrm>
          </xdr:grpSpPr>
          <xdr:grpSp>
            <xdr:nvGrpSpPr>
              <xdr:cNvPr id="166" name="R D">
                <a:extLst>
                  <a:ext uri="{FF2B5EF4-FFF2-40B4-BE49-F238E27FC236}">
                    <a16:creationId xmlns:a16="http://schemas.microsoft.com/office/drawing/2014/main" id="{C16CE2A7-895B-61F3-4A32-9798BCA66021}"/>
                  </a:ext>
                </a:extLst>
              </xdr:cNvPr>
              <xdr:cNvGrpSpPr/>
            </xdr:nvGrpSpPr>
            <xdr:grpSpPr>
              <a:xfrm>
                <a:off x="1342988" y="5324690"/>
                <a:ext cx="1183550" cy="451292"/>
                <a:chOff x="938654" y="6970859"/>
                <a:chExt cx="1184152" cy="446414"/>
              </a:xfrm>
            </xdr:grpSpPr>
            <xdr:sp macro="" textlink="RFv_D_Ver">
              <xdr:nvSpPr>
                <xdr:cNvPr id="175" name="RvD">
                  <a:extLst>
                    <a:ext uri="{FF2B5EF4-FFF2-40B4-BE49-F238E27FC236}">
                      <a16:creationId xmlns:a16="http://schemas.microsoft.com/office/drawing/2014/main" id="{1053E62B-060C-0E64-08FC-7BF4B983A629}"/>
                    </a:ext>
                  </a:extLst>
                </xdr:cNvPr>
                <xdr:cNvSpPr txBox="1"/>
              </xdr:nvSpPr>
              <xdr:spPr>
                <a:xfrm>
                  <a:off x="1148915" y="7097905"/>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6D1F760-711D-47CD-9C56-ECE3193C509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D_Ver">
              <xdr:nvSpPr>
                <xdr:cNvPr id="178" name="RhD">
                  <a:extLst>
                    <a:ext uri="{FF2B5EF4-FFF2-40B4-BE49-F238E27FC236}">
                      <a16:creationId xmlns:a16="http://schemas.microsoft.com/office/drawing/2014/main" id="{A5A82E40-AC74-31F5-6815-BEB7D04CC5A7}"/>
                    </a:ext>
                  </a:extLst>
                </xdr:cNvPr>
                <xdr:cNvSpPr txBox="1"/>
              </xdr:nvSpPr>
              <xdr:spPr>
                <a:xfrm>
                  <a:off x="1137957" y="7245532"/>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2292BA6-3922-4ECC-84D9-56F41F8EF4B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D_Ver">
              <xdr:nvSpPr>
                <xdr:cNvPr id="179" name="RM_D">
                  <a:extLst>
                    <a:ext uri="{FF2B5EF4-FFF2-40B4-BE49-F238E27FC236}">
                      <a16:creationId xmlns:a16="http://schemas.microsoft.com/office/drawing/2014/main" id="{EA3E1D36-85BB-0D43-CBBC-B9FE6A1554A8}"/>
                    </a:ext>
                  </a:extLst>
                </xdr:cNvPr>
                <xdr:cNvSpPr txBox="1"/>
              </xdr:nvSpPr>
              <xdr:spPr>
                <a:xfrm>
                  <a:off x="938654" y="6970859"/>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DADECE1C-6191-41C0-8371-D1D7D404B16D}"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167" name="Apoyo D">
                <a:extLst>
                  <a:ext uri="{FF2B5EF4-FFF2-40B4-BE49-F238E27FC236}">
                    <a16:creationId xmlns:a16="http://schemas.microsoft.com/office/drawing/2014/main" id="{4611330E-A249-8EFC-CD0B-5605CF348934}"/>
                  </a:ext>
                </a:extLst>
              </xdr:cNvPr>
              <xdr:cNvGrpSpPr/>
            </xdr:nvGrpSpPr>
            <xdr:grpSpPr>
              <a:xfrm>
                <a:off x="1392906" y="4927946"/>
                <a:ext cx="473544" cy="585768"/>
                <a:chOff x="1242023" y="9122731"/>
                <a:chExt cx="471834" cy="587059"/>
              </a:xfrm>
            </xdr:grpSpPr>
            <xdr:grpSp>
              <xdr:nvGrpSpPr>
                <xdr:cNvPr id="168" name="Apoyo Móvil">
                  <a:extLst>
                    <a:ext uri="{FF2B5EF4-FFF2-40B4-BE49-F238E27FC236}">
                      <a16:creationId xmlns:a16="http://schemas.microsoft.com/office/drawing/2014/main" id="{3F2712B3-038D-B0FB-5199-5CAF491560AE}"/>
                    </a:ext>
                  </a:extLst>
                </xdr:cNvPr>
                <xdr:cNvGrpSpPr/>
              </xdr:nvGrpSpPr>
              <xdr:grpSpPr>
                <a:xfrm>
                  <a:off x="1242331" y="9419598"/>
                  <a:ext cx="471526" cy="290192"/>
                  <a:chOff x="10284164" y="8440721"/>
                  <a:chExt cx="469817" cy="287368"/>
                </a:xfrm>
              </xdr:grpSpPr>
              <xdr:sp macro="" textlink="$AF$18">
                <xdr:nvSpPr>
                  <xdr:cNvPr id="173" name="Suelo D">
                    <a:extLst>
                      <a:ext uri="{FF2B5EF4-FFF2-40B4-BE49-F238E27FC236}">
                        <a16:creationId xmlns:a16="http://schemas.microsoft.com/office/drawing/2014/main" id="{A72A72C4-C750-897A-B0EB-8933E3923ABC}"/>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DB8F04AC-A3F2-41BD-9B96-EF5E10AC6BD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8">
                <xdr:nvSpPr>
                  <xdr:cNvPr id="174" name="Ruedas D">
                    <a:extLst>
                      <a:ext uri="{FF2B5EF4-FFF2-40B4-BE49-F238E27FC236}">
                        <a16:creationId xmlns:a16="http://schemas.microsoft.com/office/drawing/2014/main" id="{C61A11A0-1C2A-BB6A-1F57-C127F682BCD1}"/>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3ADEF0E-3955-41E6-A552-49C0FAA2B407}"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69" name="Apoyo FIjo">
                  <a:extLst>
                    <a:ext uri="{FF2B5EF4-FFF2-40B4-BE49-F238E27FC236}">
                      <a16:creationId xmlns:a16="http://schemas.microsoft.com/office/drawing/2014/main" id="{EA85DDC4-7BEE-C094-1814-32EB29D2E6C4}"/>
                    </a:ext>
                  </a:extLst>
                </xdr:cNvPr>
                <xdr:cNvGrpSpPr/>
              </xdr:nvGrpSpPr>
              <xdr:grpSpPr>
                <a:xfrm>
                  <a:off x="1242023" y="9289134"/>
                  <a:ext cx="471526" cy="358984"/>
                  <a:chOff x="10283423" y="8314710"/>
                  <a:chExt cx="469817" cy="355491"/>
                </a:xfrm>
              </xdr:grpSpPr>
              <xdr:sp macro="" textlink="$AD$18">
                <xdr:nvSpPr>
                  <xdr:cNvPr id="171" name="Suelo D">
                    <a:extLst>
                      <a:ext uri="{FF2B5EF4-FFF2-40B4-BE49-F238E27FC236}">
                        <a16:creationId xmlns:a16="http://schemas.microsoft.com/office/drawing/2014/main" id="{D96E970B-A1CB-D4B8-5504-86FCA1A12EAE}"/>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D0ED632-27A3-4CCA-9C01-131328E810D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8">
                <xdr:nvSpPr>
                  <xdr:cNvPr id="172" name="Triángulo D">
                    <a:extLst>
                      <a:ext uri="{FF2B5EF4-FFF2-40B4-BE49-F238E27FC236}">
                        <a16:creationId xmlns:a16="http://schemas.microsoft.com/office/drawing/2014/main" id="{1C100918-788B-8195-56C1-65FFC8A10230}"/>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9846CA-42FB-488F-A596-E1A7EC03323B}"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8">
              <xdr:nvSpPr>
                <xdr:cNvPr id="170" name="Empotramiento D">
                  <a:extLst>
                    <a:ext uri="{FF2B5EF4-FFF2-40B4-BE49-F238E27FC236}">
                      <a16:creationId xmlns:a16="http://schemas.microsoft.com/office/drawing/2014/main" id="{E4593BB4-6110-44F5-D7BA-03D3C6F86DF8}"/>
                    </a:ext>
                  </a:extLst>
                </xdr:cNvPr>
                <xdr:cNvSpPr txBox="1"/>
              </xdr:nvSpPr>
              <xdr:spPr>
                <a:xfrm rot="16200000">
                  <a:off x="1215784" y="9224492"/>
                  <a:ext cx="475919" cy="272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0A61E1F-9A90-4A8E-90FF-C017F9A5C601}"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39" name="NUDO E">
              <a:extLst>
                <a:ext uri="{FF2B5EF4-FFF2-40B4-BE49-F238E27FC236}">
                  <a16:creationId xmlns:a16="http://schemas.microsoft.com/office/drawing/2014/main" id="{69BF2509-B2BC-1C56-A606-472A81DAF57D}"/>
                </a:ext>
              </a:extLst>
            </xdr:cNvPr>
            <xdr:cNvGrpSpPr/>
          </xdr:nvGrpSpPr>
          <xdr:grpSpPr>
            <a:xfrm>
              <a:off x="349338" y="4818212"/>
              <a:ext cx="2147197" cy="679796"/>
              <a:chOff x="348943" y="4822201"/>
              <a:chExt cx="2150273" cy="677858"/>
            </a:xfrm>
          </xdr:grpSpPr>
          <xdr:grpSp>
            <xdr:nvGrpSpPr>
              <xdr:cNvPr id="14" name="R E">
                <a:extLst>
                  <a:ext uri="{FF2B5EF4-FFF2-40B4-BE49-F238E27FC236}">
                    <a16:creationId xmlns:a16="http://schemas.microsoft.com/office/drawing/2014/main" id="{1D506BFA-887E-4B8A-9150-BA5B7A026797}"/>
                  </a:ext>
                </a:extLst>
              </xdr:cNvPr>
              <xdr:cNvGrpSpPr/>
            </xdr:nvGrpSpPr>
            <xdr:grpSpPr>
              <a:xfrm>
                <a:off x="348943" y="4934553"/>
                <a:ext cx="2150273" cy="565506"/>
                <a:chOff x="96612" y="6730081"/>
                <a:chExt cx="2147875" cy="563264"/>
              </a:xfrm>
            </xdr:grpSpPr>
            <xdr:sp macro="" textlink="RFv_E_Ver">
              <xdr:nvSpPr>
                <xdr:cNvPr id="15" name="RvE">
                  <a:extLst>
                    <a:ext uri="{FF2B5EF4-FFF2-40B4-BE49-F238E27FC236}">
                      <a16:creationId xmlns:a16="http://schemas.microsoft.com/office/drawing/2014/main" id="{3217973A-FFCB-E55E-0AC6-34EF5983EFB0}"/>
                    </a:ext>
                  </a:extLst>
                </xdr:cNvPr>
                <xdr:cNvSpPr txBox="1"/>
              </xdr:nvSpPr>
              <xdr:spPr>
                <a:xfrm>
                  <a:off x="1223061" y="7110962"/>
                  <a:ext cx="1021426" cy="182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053569D-A283-49CD-A88B-FDADED0A90C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E_Ver">
              <xdr:nvSpPr>
                <xdr:cNvPr id="18" name="RhE">
                  <a:extLst>
                    <a:ext uri="{FF2B5EF4-FFF2-40B4-BE49-F238E27FC236}">
                      <a16:creationId xmlns:a16="http://schemas.microsoft.com/office/drawing/2014/main" id="{362678BC-A693-DF0C-DBF5-4165BE4B839E}"/>
                    </a:ext>
                  </a:extLst>
                </xdr:cNvPr>
                <xdr:cNvSpPr txBox="1"/>
              </xdr:nvSpPr>
              <xdr:spPr>
                <a:xfrm>
                  <a:off x="1268165" y="6958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502FA5E-8A8B-4963-9F63-70084A491D7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E_Ver">
              <xdr:nvSpPr>
                <xdr:cNvPr id="19" name="RM_E">
                  <a:extLst>
                    <a:ext uri="{FF2B5EF4-FFF2-40B4-BE49-F238E27FC236}">
                      <a16:creationId xmlns:a16="http://schemas.microsoft.com/office/drawing/2014/main" id="{BDA0449A-C0B0-8BCB-53B0-BB3AE1BE0E67}"/>
                    </a:ext>
                  </a:extLst>
                </xdr:cNvPr>
                <xdr:cNvSpPr txBox="1"/>
              </xdr:nvSpPr>
              <xdr:spPr>
                <a:xfrm>
                  <a:off x="96612" y="6730081"/>
                  <a:ext cx="97032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62916376-6E15-4EF2-9CCA-C87AD5EA7072}"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123" name="Apoyo E">
                <a:extLst>
                  <a:ext uri="{FF2B5EF4-FFF2-40B4-BE49-F238E27FC236}">
                    <a16:creationId xmlns:a16="http://schemas.microsoft.com/office/drawing/2014/main" id="{D891AC29-347E-0DA4-FE18-4CEA5A285A45}"/>
                  </a:ext>
                </a:extLst>
              </xdr:cNvPr>
              <xdr:cNvGrpSpPr/>
            </xdr:nvGrpSpPr>
            <xdr:grpSpPr>
              <a:xfrm>
                <a:off x="1241921" y="4822201"/>
                <a:ext cx="474310" cy="541771"/>
                <a:chOff x="1242023" y="9163066"/>
                <a:chExt cx="471834" cy="546724"/>
              </a:xfrm>
            </xdr:grpSpPr>
            <xdr:grpSp>
              <xdr:nvGrpSpPr>
                <xdr:cNvPr id="422" name="Apoyo Móvil">
                  <a:extLst>
                    <a:ext uri="{FF2B5EF4-FFF2-40B4-BE49-F238E27FC236}">
                      <a16:creationId xmlns:a16="http://schemas.microsoft.com/office/drawing/2014/main" id="{6FDF87EF-9584-A29F-DAD4-7846B7F94FF7}"/>
                    </a:ext>
                  </a:extLst>
                </xdr:cNvPr>
                <xdr:cNvGrpSpPr/>
              </xdr:nvGrpSpPr>
              <xdr:grpSpPr>
                <a:xfrm>
                  <a:off x="1242331" y="9419598"/>
                  <a:ext cx="471526" cy="290192"/>
                  <a:chOff x="10284164" y="8440721"/>
                  <a:chExt cx="469817" cy="287368"/>
                </a:xfrm>
              </xdr:grpSpPr>
              <xdr:sp macro="" textlink="$AF$20">
                <xdr:nvSpPr>
                  <xdr:cNvPr id="427" name="Suelo E">
                    <a:extLst>
                      <a:ext uri="{FF2B5EF4-FFF2-40B4-BE49-F238E27FC236}">
                        <a16:creationId xmlns:a16="http://schemas.microsoft.com/office/drawing/2014/main" id="{3CFDC6A0-882E-92D7-4DDB-B74B952989E0}"/>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5BDD28A-7B1F-40F7-B98D-0927F239D3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0">
                <xdr:nvSpPr>
                  <xdr:cNvPr id="428" name="Ruedas E">
                    <a:extLst>
                      <a:ext uri="{FF2B5EF4-FFF2-40B4-BE49-F238E27FC236}">
                        <a16:creationId xmlns:a16="http://schemas.microsoft.com/office/drawing/2014/main" id="{F0B3295F-42C4-A201-7BD2-85E4955AF8F4}"/>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882A2E9C-7DB3-4EAF-8E0E-C15A23B5E6D3}"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423" name="Apoyo FIjo">
                  <a:extLst>
                    <a:ext uri="{FF2B5EF4-FFF2-40B4-BE49-F238E27FC236}">
                      <a16:creationId xmlns:a16="http://schemas.microsoft.com/office/drawing/2014/main" id="{1C2D0BA0-B11D-0BCE-06E5-F1AF0395FE90}"/>
                    </a:ext>
                  </a:extLst>
                </xdr:cNvPr>
                <xdr:cNvGrpSpPr/>
              </xdr:nvGrpSpPr>
              <xdr:grpSpPr>
                <a:xfrm>
                  <a:off x="1242023" y="9289134"/>
                  <a:ext cx="471526" cy="358984"/>
                  <a:chOff x="10283423" y="8314710"/>
                  <a:chExt cx="469817" cy="355491"/>
                </a:xfrm>
              </xdr:grpSpPr>
              <xdr:sp macro="" textlink="$AD$20">
                <xdr:nvSpPr>
                  <xdr:cNvPr id="425" name="Suelo E">
                    <a:extLst>
                      <a:ext uri="{FF2B5EF4-FFF2-40B4-BE49-F238E27FC236}">
                        <a16:creationId xmlns:a16="http://schemas.microsoft.com/office/drawing/2014/main" id="{68536021-0FDC-C5ED-0A92-4D4AA6C6661F}"/>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6F0A6A2-C565-40A8-AB00-4C88D80615AC}"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0">
                <xdr:nvSpPr>
                  <xdr:cNvPr id="426" name="Triángulo E">
                    <a:extLst>
                      <a:ext uri="{FF2B5EF4-FFF2-40B4-BE49-F238E27FC236}">
                        <a16:creationId xmlns:a16="http://schemas.microsoft.com/office/drawing/2014/main" id="{72A14472-2AED-0315-F356-423240BFED66}"/>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FFE167-D198-4A3D-8369-D738AA06208A}"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0">
              <xdr:nvSpPr>
                <xdr:cNvPr id="424" name="Empotramiento E">
                  <a:extLst>
                    <a:ext uri="{FF2B5EF4-FFF2-40B4-BE49-F238E27FC236}">
                      <a16:creationId xmlns:a16="http://schemas.microsoft.com/office/drawing/2014/main" id="{71E9C14B-4AC8-CDBA-583D-D05B615FA4F5}"/>
                    </a:ext>
                  </a:extLst>
                </xdr:cNvPr>
                <xdr:cNvSpPr txBox="1"/>
              </xdr:nvSpPr>
              <xdr:spPr>
                <a:xfrm rot="16200000">
                  <a:off x="1239770" y="9264827"/>
                  <a:ext cx="475919" cy="272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D0F400B5-D164-4DE9-88AD-4DB8DA8E6B9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40" name="NUDO F">
              <a:extLst>
                <a:ext uri="{FF2B5EF4-FFF2-40B4-BE49-F238E27FC236}">
                  <a16:creationId xmlns:a16="http://schemas.microsoft.com/office/drawing/2014/main" id="{C8CFD51B-B745-1D47-4326-0497EAB3066A}"/>
                </a:ext>
              </a:extLst>
            </xdr:cNvPr>
            <xdr:cNvGrpSpPr/>
          </xdr:nvGrpSpPr>
          <xdr:grpSpPr>
            <a:xfrm>
              <a:off x="1064190" y="4808102"/>
              <a:ext cx="1348915" cy="706918"/>
              <a:chOff x="-316791" y="4674058"/>
              <a:chExt cx="1350892" cy="704352"/>
            </a:xfrm>
          </xdr:grpSpPr>
          <xdr:grpSp>
            <xdr:nvGrpSpPr>
              <xdr:cNvPr id="20" name="R F">
                <a:extLst>
                  <a:ext uri="{FF2B5EF4-FFF2-40B4-BE49-F238E27FC236}">
                    <a16:creationId xmlns:a16="http://schemas.microsoft.com/office/drawing/2014/main" id="{E52B086B-D5D5-4BE6-BE56-BA5EDB957391}"/>
                  </a:ext>
                </a:extLst>
              </xdr:cNvPr>
              <xdr:cNvGrpSpPr/>
            </xdr:nvGrpSpPr>
            <xdr:grpSpPr>
              <a:xfrm>
                <a:off x="-316791" y="4842435"/>
                <a:ext cx="1168444" cy="535975"/>
                <a:chOff x="-720606" y="6485809"/>
                <a:chExt cx="1167141" cy="533850"/>
              </a:xfrm>
            </xdr:grpSpPr>
            <xdr:sp macro="" textlink="RFv_F_Ver">
              <xdr:nvSpPr>
                <xdr:cNvPr id="21" name="RvF">
                  <a:extLst>
                    <a:ext uri="{FF2B5EF4-FFF2-40B4-BE49-F238E27FC236}">
                      <a16:creationId xmlns:a16="http://schemas.microsoft.com/office/drawing/2014/main" id="{511AD8EF-D3BE-0D69-DC85-77CE527377EC}"/>
                    </a:ext>
                  </a:extLst>
                </xdr:cNvPr>
                <xdr:cNvSpPr txBox="1"/>
              </xdr:nvSpPr>
              <xdr:spPr>
                <a:xfrm>
                  <a:off x="-527356" y="6850260"/>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C4F70B8-881F-4C70-8EF5-FF8F7FD575F4}"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F_Ver">
              <xdr:nvSpPr>
                <xdr:cNvPr id="22" name="RhF">
                  <a:extLst>
                    <a:ext uri="{FF2B5EF4-FFF2-40B4-BE49-F238E27FC236}">
                      <a16:creationId xmlns:a16="http://schemas.microsoft.com/office/drawing/2014/main" id="{7D3419ED-80A0-592A-8778-7FA275740C12}"/>
                    </a:ext>
                  </a:extLst>
                </xdr:cNvPr>
                <xdr:cNvSpPr txBox="1"/>
              </xdr:nvSpPr>
              <xdr:spPr>
                <a:xfrm>
                  <a:off x="-720606" y="6660427"/>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BE3F4DDD-5135-4F11-9C6A-B6AAB649208A}"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F_Ver">
              <xdr:nvSpPr>
                <xdr:cNvPr id="24" name="RM_F">
                  <a:extLst>
                    <a:ext uri="{FF2B5EF4-FFF2-40B4-BE49-F238E27FC236}">
                      <a16:creationId xmlns:a16="http://schemas.microsoft.com/office/drawing/2014/main" id="{963E7E4C-B8BE-0110-272E-0FA34CD0D363}"/>
                    </a:ext>
                  </a:extLst>
                </xdr:cNvPr>
                <xdr:cNvSpPr txBox="1"/>
              </xdr:nvSpPr>
              <xdr:spPr>
                <a:xfrm>
                  <a:off x="-705367" y="6485809"/>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5197EC8-A3D4-4548-A081-59F1136EFBC9}"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34" name="Apoyo F">
                <a:extLst>
                  <a:ext uri="{FF2B5EF4-FFF2-40B4-BE49-F238E27FC236}">
                    <a16:creationId xmlns:a16="http://schemas.microsoft.com/office/drawing/2014/main" id="{77D71613-6D5E-EC7E-6D19-32AC64FCDA97}"/>
                  </a:ext>
                </a:extLst>
              </xdr:cNvPr>
              <xdr:cNvGrpSpPr/>
            </xdr:nvGrpSpPr>
            <xdr:grpSpPr>
              <a:xfrm>
                <a:off x="562475" y="4674058"/>
                <a:ext cx="471626" cy="568158"/>
                <a:chOff x="562305" y="4670996"/>
                <a:chExt cx="470576" cy="565923"/>
              </a:xfrm>
            </xdr:grpSpPr>
            <xdr:grpSp>
              <xdr:nvGrpSpPr>
                <xdr:cNvPr id="30" name="Apoyo Movil F">
                  <a:extLst>
                    <a:ext uri="{FF2B5EF4-FFF2-40B4-BE49-F238E27FC236}">
                      <a16:creationId xmlns:a16="http://schemas.microsoft.com/office/drawing/2014/main" id="{C81425C5-76E8-DA8E-F81C-0F58859B5BF7}"/>
                    </a:ext>
                  </a:extLst>
                </xdr:cNvPr>
                <xdr:cNvGrpSpPr/>
              </xdr:nvGrpSpPr>
              <xdr:grpSpPr>
                <a:xfrm>
                  <a:off x="562612" y="4951098"/>
                  <a:ext cx="470269" cy="285821"/>
                  <a:chOff x="562612" y="4951098"/>
                  <a:chExt cx="470269" cy="285821"/>
                </a:xfrm>
              </xdr:grpSpPr>
              <xdr:sp macro="" textlink="$AF$21">
                <xdr:nvSpPr>
                  <xdr:cNvPr id="25" name="Suelo F">
                    <a:extLst>
                      <a:ext uri="{FF2B5EF4-FFF2-40B4-BE49-F238E27FC236}">
                        <a16:creationId xmlns:a16="http://schemas.microsoft.com/office/drawing/2014/main" id="{9BF83BAD-B715-40C1-91E5-9AB87FD7AA0C}"/>
                      </a:ext>
                    </a:extLst>
                  </xdr:cNvPr>
                  <xdr:cNvSpPr txBox="1"/>
                </xdr:nvSpPr>
                <xdr:spPr>
                  <a:xfrm rot="10800000">
                    <a:off x="562612" y="4966124"/>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7B9F4E3-EF39-4556-850E-E850623C5AD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1">
                <xdr:nvSpPr>
                  <xdr:cNvPr id="26" name="Ruedas F">
                    <a:extLst>
                      <a:ext uri="{FF2B5EF4-FFF2-40B4-BE49-F238E27FC236}">
                        <a16:creationId xmlns:a16="http://schemas.microsoft.com/office/drawing/2014/main" id="{A0CF17BA-960B-48E2-AF63-1FAC212A9C5B}"/>
                      </a:ext>
                    </a:extLst>
                  </xdr:cNvPr>
                  <xdr:cNvSpPr txBox="1"/>
                </xdr:nvSpPr>
                <xdr:spPr>
                  <a:xfrm>
                    <a:off x="562612" y="4951098"/>
                    <a:ext cx="470269" cy="271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815F02A-466D-4C94-963C-6BD4C8230FC8}"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33" name="Apoyo Fijo F">
                  <a:extLst>
                    <a:ext uri="{FF2B5EF4-FFF2-40B4-BE49-F238E27FC236}">
                      <a16:creationId xmlns:a16="http://schemas.microsoft.com/office/drawing/2014/main" id="{E2267CC3-543F-FFA1-6A41-742EEEE95EE9}"/>
                    </a:ext>
                  </a:extLst>
                </xdr:cNvPr>
                <xdr:cNvGrpSpPr/>
              </xdr:nvGrpSpPr>
              <xdr:grpSpPr>
                <a:xfrm>
                  <a:off x="562305" y="4822599"/>
                  <a:ext cx="470269" cy="353577"/>
                  <a:chOff x="562305" y="4822599"/>
                  <a:chExt cx="470269" cy="353577"/>
                </a:xfrm>
              </xdr:grpSpPr>
              <xdr:sp macro="" textlink="$AD$21">
                <xdr:nvSpPr>
                  <xdr:cNvPr id="27" name="Suelo F">
                    <a:extLst>
                      <a:ext uri="{FF2B5EF4-FFF2-40B4-BE49-F238E27FC236}">
                        <a16:creationId xmlns:a16="http://schemas.microsoft.com/office/drawing/2014/main" id="{F00136B6-B8CB-43D8-A030-1FCF58AA232A}"/>
                      </a:ext>
                    </a:extLst>
                  </xdr:cNvPr>
                  <xdr:cNvSpPr txBox="1"/>
                </xdr:nvSpPr>
                <xdr:spPr>
                  <a:xfrm rot="10800000">
                    <a:off x="562305" y="4905381"/>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3BC129F-6DFF-40CB-B401-408B2253637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1">
                <xdr:nvSpPr>
                  <xdr:cNvPr id="28" name="Triángulo F">
                    <a:extLst>
                      <a:ext uri="{FF2B5EF4-FFF2-40B4-BE49-F238E27FC236}">
                        <a16:creationId xmlns:a16="http://schemas.microsoft.com/office/drawing/2014/main" id="{79B62725-73DE-4ECB-8DCA-D3E4D4B5745E}"/>
                      </a:ext>
                    </a:extLst>
                  </xdr:cNvPr>
                  <xdr:cNvSpPr txBox="1"/>
                </xdr:nvSpPr>
                <xdr:spPr>
                  <a:xfrm>
                    <a:off x="655755" y="4822599"/>
                    <a:ext cx="286909" cy="271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EF0C8C-D5B4-4DE7-A435-23315FDFD4E9}"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1">
              <xdr:nvSpPr>
                <xdr:cNvPr id="29" name="Empotramiento F">
                  <a:extLst>
                    <a:ext uri="{FF2B5EF4-FFF2-40B4-BE49-F238E27FC236}">
                      <a16:creationId xmlns:a16="http://schemas.microsoft.com/office/drawing/2014/main" id="{A8DB72F8-78BD-4E03-918D-98816279E976}"/>
                    </a:ext>
                  </a:extLst>
                </xdr:cNvPr>
                <xdr:cNvSpPr txBox="1"/>
              </xdr:nvSpPr>
              <xdr:spPr>
                <a:xfrm rot="16200000">
                  <a:off x="544343" y="4770733"/>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3D38A89-1AE2-48E0-A48D-3C610B68CE7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58" name="NUDO G">
              <a:extLst>
                <a:ext uri="{FF2B5EF4-FFF2-40B4-BE49-F238E27FC236}">
                  <a16:creationId xmlns:a16="http://schemas.microsoft.com/office/drawing/2014/main" id="{3CF2ED11-B326-7ACF-E37C-74D2CC5C8085}"/>
                </a:ext>
              </a:extLst>
            </xdr:cNvPr>
            <xdr:cNvGrpSpPr/>
          </xdr:nvGrpSpPr>
          <xdr:grpSpPr>
            <a:xfrm>
              <a:off x="1954304" y="4548554"/>
              <a:ext cx="1187472" cy="606559"/>
              <a:chOff x="1955865" y="4553630"/>
              <a:chExt cx="1188753" cy="604910"/>
            </a:xfrm>
          </xdr:grpSpPr>
          <xdr:grpSp>
            <xdr:nvGrpSpPr>
              <xdr:cNvPr id="42" name="R G">
                <a:extLst>
                  <a:ext uri="{FF2B5EF4-FFF2-40B4-BE49-F238E27FC236}">
                    <a16:creationId xmlns:a16="http://schemas.microsoft.com/office/drawing/2014/main" id="{CA1C6AED-F1E0-2420-C8EB-001847E504FC}"/>
                  </a:ext>
                </a:extLst>
              </xdr:cNvPr>
              <xdr:cNvGrpSpPr/>
            </xdr:nvGrpSpPr>
            <xdr:grpSpPr>
              <a:xfrm>
                <a:off x="1955865" y="4553630"/>
                <a:ext cx="995532" cy="347846"/>
                <a:chOff x="-361245" y="6127876"/>
                <a:chExt cx="994422" cy="346472"/>
              </a:xfrm>
            </xdr:grpSpPr>
            <xdr:sp macro="" textlink="RFv_G_Ver">
              <xdr:nvSpPr>
                <xdr:cNvPr id="51" name="RvG">
                  <a:extLst>
                    <a:ext uri="{FF2B5EF4-FFF2-40B4-BE49-F238E27FC236}">
                      <a16:creationId xmlns:a16="http://schemas.microsoft.com/office/drawing/2014/main" id="{20E1E8DE-41F3-23FE-AAC5-D661A1D591DC}"/>
                    </a:ext>
                  </a:extLst>
                </xdr:cNvPr>
                <xdr:cNvSpPr txBox="1"/>
              </xdr:nvSpPr>
              <xdr:spPr>
                <a:xfrm>
                  <a:off x="-340714" y="612787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A22F03B0-E060-4148-A393-BAB67E80BA48}"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G_Ver">
              <xdr:nvSpPr>
                <xdr:cNvPr id="52" name="RhG">
                  <a:extLst>
                    <a:ext uri="{FF2B5EF4-FFF2-40B4-BE49-F238E27FC236}">
                      <a16:creationId xmlns:a16="http://schemas.microsoft.com/office/drawing/2014/main" id="{5ADEDC79-B253-E03D-2702-4633F813BEDC}"/>
                    </a:ext>
                  </a:extLst>
                </xdr:cNvPr>
                <xdr:cNvSpPr txBox="1"/>
              </xdr:nvSpPr>
              <xdr:spPr>
                <a:xfrm>
                  <a:off x="-341487" y="6240836"/>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0C5A9CF-F1FA-434C-982C-21DA449AA42F}"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G_Ver">
              <xdr:nvSpPr>
                <xdr:cNvPr id="53" name="RM_G">
                  <a:extLst>
                    <a:ext uri="{FF2B5EF4-FFF2-40B4-BE49-F238E27FC236}">
                      <a16:creationId xmlns:a16="http://schemas.microsoft.com/office/drawing/2014/main" id="{5C8E24F2-D5D9-92A5-2CD3-7359C9796DE8}"/>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212AAEC9-A654-4DDE-B587-F6ED2DD38D29}"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124" name="Apoyo G">
                <a:extLst>
                  <a:ext uri="{FF2B5EF4-FFF2-40B4-BE49-F238E27FC236}">
                    <a16:creationId xmlns:a16="http://schemas.microsoft.com/office/drawing/2014/main" id="{DD687029-5F73-5B92-6DE3-3EBF37131F69}"/>
                  </a:ext>
                </a:extLst>
              </xdr:cNvPr>
              <xdr:cNvGrpSpPr/>
            </xdr:nvGrpSpPr>
            <xdr:grpSpPr>
              <a:xfrm rot="10800000">
                <a:off x="2653917" y="4682168"/>
                <a:ext cx="490701" cy="476372"/>
                <a:chOff x="4712203" y="12978955"/>
                <a:chExt cx="490714" cy="481561"/>
              </a:xfrm>
            </xdr:grpSpPr>
            <xdr:grpSp>
              <xdr:nvGrpSpPr>
                <xdr:cNvPr id="415" name="Apoyo Móvil">
                  <a:extLst>
                    <a:ext uri="{FF2B5EF4-FFF2-40B4-BE49-F238E27FC236}">
                      <a16:creationId xmlns:a16="http://schemas.microsoft.com/office/drawing/2014/main" id="{E34DC887-EC1B-E9D1-C993-D2CA567ECE1C}"/>
                    </a:ext>
                  </a:extLst>
                </xdr:cNvPr>
                <xdr:cNvGrpSpPr/>
              </xdr:nvGrpSpPr>
              <xdr:grpSpPr>
                <a:xfrm>
                  <a:off x="4727383" y="13169289"/>
                  <a:ext cx="475534" cy="291227"/>
                  <a:chOff x="10290702" y="8453513"/>
                  <a:chExt cx="469817" cy="287372"/>
                </a:xfrm>
              </xdr:grpSpPr>
              <xdr:sp macro="" textlink="$AE$22">
                <xdr:nvSpPr>
                  <xdr:cNvPr id="420" name="Ruedas G">
                    <a:extLst>
                      <a:ext uri="{FF2B5EF4-FFF2-40B4-BE49-F238E27FC236}">
                        <a16:creationId xmlns:a16="http://schemas.microsoft.com/office/drawing/2014/main" id="{3706F831-A1EA-6643-C385-AA7731D790DD}"/>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FD29B93-2B99-4045-A3AC-CAC5BA3FE256}"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2">
                <xdr:nvSpPr>
                  <xdr:cNvPr id="421" name="Suelo G">
                    <a:extLst>
                      <a:ext uri="{FF2B5EF4-FFF2-40B4-BE49-F238E27FC236}">
                        <a16:creationId xmlns:a16="http://schemas.microsoft.com/office/drawing/2014/main" id="{5D612EB4-A1E7-F2EB-E641-63D28FF51FD9}"/>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8BAD46D-E3F6-4BC0-8025-9CBF20652A91}"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416" name="Apoyo FIjo">
                  <a:extLst>
                    <a:ext uri="{FF2B5EF4-FFF2-40B4-BE49-F238E27FC236}">
                      <a16:creationId xmlns:a16="http://schemas.microsoft.com/office/drawing/2014/main" id="{0B054CA9-DC35-FF98-D128-E9C6D6F3D63C}"/>
                    </a:ext>
                  </a:extLst>
                </xdr:cNvPr>
                <xdr:cNvGrpSpPr/>
              </xdr:nvGrpSpPr>
              <xdr:grpSpPr>
                <a:xfrm>
                  <a:off x="4726743" y="13031926"/>
                  <a:ext cx="475534" cy="354860"/>
                  <a:chOff x="10289636" y="8321106"/>
                  <a:chExt cx="469817" cy="350161"/>
                </a:xfrm>
              </xdr:grpSpPr>
              <xdr:sp macro="" textlink="$AC$22">
                <xdr:nvSpPr>
                  <xdr:cNvPr id="418" name="Triángulo G">
                    <a:extLst>
                      <a:ext uri="{FF2B5EF4-FFF2-40B4-BE49-F238E27FC236}">
                        <a16:creationId xmlns:a16="http://schemas.microsoft.com/office/drawing/2014/main" id="{A378A9D1-031B-DB20-F7F8-2AB54C20AEE8}"/>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AFC722-D6D2-4D24-8EA3-C7E72DC9B5DD}"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2">
                <xdr:nvSpPr>
                  <xdr:cNvPr id="419" name="Suelo G">
                    <a:extLst>
                      <a:ext uri="{FF2B5EF4-FFF2-40B4-BE49-F238E27FC236}">
                        <a16:creationId xmlns:a16="http://schemas.microsoft.com/office/drawing/2014/main" id="{D120D60C-DC5B-DDFB-0B77-3CDE10BF8F47}"/>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6DF9A95-4E89-4D61-935A-7082F22646A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2">
              <xdr:nvSpPr>
                <xdr:cNvPr id="417" name="Empotramiento G">
                  <a:extLst>
                    <a:ext uri="{FF2B5EF4-FFF2-40B4-BE49-F238E27FC236}">
                      <a16:creationId xmlns:a16="http://schemas.microsoft.com/office/drawing/2014/main" id="{DA57E0B6-410B-038E-9B13-673A955B132C}"/>
                    </a:ext>
                  </a:extLst>
                </xdr:cNvPr>
                <xdr:cNvSpPr txBox="1"/>
              </xdr:nvSpPr>
              <xdr:spPr>
                <a:xfrm rot="10800000">
                  <a:off x="4712203" y="12978955"/>
                  <a:ext cx="471015"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7C12813-F9E5-4F6A-AE48-92FBA8616C6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76" name="NUDO H">
              <a:extLst>
                <a:ext uri="{FF2B5EF4-FFF2-40B4-BE49-F238E27FC236}">
                  <a16:creationId xmlns:a16="http://schemas.microsoft.com/office/drawing/2014/main" id="{33626E92-D170-3B5B-8455-216986BF8864}"/>
                </a:ext>
              </a:extLst>
            </xdr:cNvPr>
            <xdr:cNvGrpSpPr/>
          </xdr:nvGrpSpPr>
          <xdr:grpSpPr>
            <a:xfrm>
              <a:off x="3347841" y="4819104"/>
              <a:ext cx="1386641" cy="692654"/>
              <a:chOff x="3351378" y="4823090"/>
              <a:chExt cx="1388619" cy="690800"/>
            </a:xfrm>
          </xdr:grpSpPr>
          <xdr:grpSp>
            <xdr:nvGrpSpPr>
              <xdr:cNvPr id="54" name="R H">
                <a:extLst>
                  <a:ext uri="{FF2B5EF4-FFF2-40B4-BE49-F238E27FC236}">
                    <a16:creationId xmlns:a16="http://schemas.microsoft.com/office/drawing/2014/main" id="{0990D6D9-7BCE-4DD5-91E2-C3840B7D91EC}"/>
                  </a:ext>
                </a:extLst>
              </xdr:cNvPr>
              <xdr:cNvGrpSpPr/>
            </xdr:nvGrpSpPr>
            <xdr:grpSpPr>
              <a:xfrm>
                <a:off x="3538909" y="4957474"/>
                <a:ext cx="1201088" cy="556416"/>
                <a:chOff x="1067815" y="6991833"/>
                <a:chExt cx="1199744" cy="554212"/>
              </a:xfrm>
            </xdr:grpSpPr>
            <xdr:sp macro="" textlink="RFv_H_Ver">
              <xdr:nvSpPr>
                <xdr:cNvPr id="55" name="RvH">
                  <a:extLst>
                    <a:ext uri="{FF2B5EF4-FFF2-40B4-BE49-F238E27FC236}">
                      <a16:creationId xmlns:a16="http://schemas.microsoft.com/office/drawing/2014/main" id="{1DA76EA0-4D38-39EA-1B81-BD0828852D09}"/>
                    </a:ext>
                  </a:extLst>
                </xdr:cNvPr>
                <xdr:cNvSpPr txBox="1"/>
              </xdr:nvSpPr>
              <xdr:spPr>
                <a:xfrm>
                  <a:off x="1067815" y="737664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35C6EA3-6491-482D-A6F0-29E54BA69E81}"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H_Ver">
              <xdr:nvSpPr>
                <xdr:cNvPr id="56" name="RhH">
                  <a:extLst>
                    <a:ext uri="{FF2B5EF4-FFF2-40B4-BE49-F238E27FC236}">
                      <a16:creationId xmlns:a16="http://schemas.microsoft.com/office/drawing/2014/main" id="{6313972A-E784-5F74-0717-FD4D097B4E51}"/>
                    </a:ext>
                  </a:extLst>
                </xdr:cNvPr>
                <xdr:cNvSpPr txBox="1"/>
              </xdr:nvSpPr>
              <xdr:spPr>
                <a:xfrm>
                  <a:off x="1294567" y="7189682"/>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203C94E-10F8-4669-8654-FC833F291F73}"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H_Ver">
              <xdr:nvSpPr>
                <xdr:cNvPr id="57" name="RM_H">
                  <a:extLst>
                    <a:ext uri="{FF2B5EF4-FFF2-40B4-BE49-F238E27FC236}">
                      <a16:creationId xmlns:a16="http://schemas.microsoft.com/office/drawing/2014/main" id="{5C5043D9-AE89-8AD4-6ECA-1EC543BD1996}"/>
                    </a:ext>
                  </a:extLst>
                </xdr:cNvPr>
                <xdr:cNvSpPr txBox="1"/>
              </xdr:nvSpPr>
              <xdr:spPr>
                <a:xfrm>
                  <a:off x="1277699" y="6991833"/>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ADF250C-B2FE-410B-8BDC-46FBD3A959D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75" name="Apoyo H">
                <a:extLst>
                  <a:ext uri="{FF2B5EF4-FFF2-40B4-BE49-F238E27FC236}">
                    <a16:creationId xmlns:a16="http://schemas.microsoft.com/office/drawing/2014/main" id="{C6F53BC5-D1E1-B181-B248-24EAD493863E}"/>
                  </a:ext>
                </a:extLst>
              </xdr:cNvPr>
              <xdr:cNvGrpSpPr/>
            </xdr:nvGrpSpPr>
            <xdr:grpSpPr>
              <a:xfrm>
                <a:off x="3351378" y="4823090"/>
                <a:ext cx="474401" cy="568299"/>
                <a:chOff x="3351378" y="4823090"/>
                <a:chExt cx="474401" cy="568299"/>
              </a:xfrm>
            </xdr:grpSpPr>
            <xdr:grpSp>
              <xdr:nvGrpSpPr>
                <xdr:cNvPr id="68" name="Apoyo Móvil">
                  <a:extLst>
                    <a:ext uri="{FF2B5EF4-FFF2-40B4-BE49-F238E27FC236}">
                      <a16:creationId xmlns:a16="http://schemas.microsoft.com/office/drawing/2014/main" id="{2D9606EB-6916-6E54-23EC-899F035ACF82}"/>
                    </a:ext>
                  </a:extLst>
                </xdr:cNvPr>
                <xdr:cNvGrpSpPr/>
              </xdr:nvGrpSpPr>
              <xdr:grpSpPr>
                <a:xfrm>
                  <a:off x="3352008" y="5103289"/>
                  <a:ext cx="473771" cy="288100"/>
                  <a:chOff x="9236846" y="8226342"/>
                  <a:chExt cx="469817" cy="287382"/>
                </a:xfrm>
              </xdr:grpSpPr>
              <xdr:sp macro="" textlink="$AE$23">
                <xdr:nvSpPr>
                  <xdr:cNvPr id="73" name="Ruedas H">
                    <a:extLst>
                      <a:ext uri="{FF2B5EF4-FFF2-40B4-BE49-F238E27FC236}">
                        <a16:creationId xmlns:a16="http://schemas.microsoft.com/office/drawing/2014/main" id="{93287857-EAEC-73CC-F838-0FD9979A9315}"/>
                      </a:ext>
                    </a:extLst>
                  </xdr:cNvPr>
                  <xdr:cNvSpPr txBox="1"/>
                </xdr:nvSpPr>
                <xdr:spPr>
                  <a:xfrm>
                    <a:off x="9236846" y="8226342"/>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47BD5C1-84C3-4C16-9260-01038DAF0581}"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3">
                <xdr:nvSpPr>
                  <xdr:cNvPr id="74" name="Suelo H">
                    <a:extLst>
                      <a:ext uri="{FF2B5EF4-FFF2-40B4-BE49-F238E27FC236}">
                        <a16:creationId xmlns:a16="http://schemas.microsoft.com/office/drawing/2014/main" id="{8FF4E016-CED0-BF65-A385-7D1F98647EE3}"/>
                      </a:ext>
                    </a:extLst>
                  </xdr:cNvPr>
                  <xdr:cNvSpPr txBox="1"/>
                </xdr:nvSpPr>
                <xdr:spPr>
                  <a:xfrm rot="10800000">
                    <a:off x="9236846" y="8241463"/>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A2B3BDC-EAB9-45C0-AB14-7825158325F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69" name="Apoyo FIjo">
                  <a:extLst>
                    <a:ext uri="{FF2B5EF4-FFF2-40B4-BE49-F238E27FC236}">
                      <a16:creationId xmlns:a16="http://schemas.microsoft.com/office/drawing/2014/main" id="{84D1C6D8-0ABE-40F4-5682-1211291108B6}"/>
                    </a:ext>
                  </a:extLst>
                </xdr:cNvPr>
                <xdr:cNvGrpSpPr/>
              </xdr:nvGrpSpPr>
              <xdr:grpSpPr>
                <a:xfrm>
                  <a:off x="3351378" y="4970300"/>
                  <a:ext cx="473771" cy="351026"/>
                  <a:chOff x="9235780" y="8096854"/>
                  <a:chExt cx="469817" cy="350150"/>
                </a:xfrm>
              </xdr:grpSpPr>
              <xdr:sp macro="" textlink="$AC$23">
                <xdr:nvSpPr>
                  <xdr:cNvPr id="71" name="Triángulo H">
                    <a:extLst>
                      <a:ext uri="{FF2B5EF4-FFF2-40B4-BE49-F238E27FC236}">
                        <a16:creationId xmlns:a16="http://schemas.microsoft.com/office/drawing/2014/main" id="{1948E4C2-6100-FAE5-2C30-2DBEC44BA655}"/>
                      </a:ext>
                    </a:extLst>
                  </xdr:cNvPr>
                  <xdr:cNvSpPr txBox="1"/>
                </xdr:nvSpPr>
                <xdr:spPr>
                  <a:xfrm>
                    <a:off x="9328097" y="8096854"/>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16E707-8B26-40AB-9B44-5DF3896E1FCC}"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3">
                <xdr:nvSpPr>
                  <xdr:cNvPr id="72" name="Suelo H">
                    <a:extLst>
                      <a:ext uri="{FF2B5EF4-FFF2-40B4-BE49-F238E27FC236}">
                        <a16:creationId xmlns:a16="http://schemas.microsoft.com/office/drawing/2014/main" id="{9A2DCD8F-A18F-48C3-9DFE-B97D60E6F02B}"/>
                      </a:ext>
                    </a:extLst>
                  </xdr:cNvPr>
                  <xdr:cNvSpPr txBox="1"/>
                </xdr:nvSpPr>
                <xdr:spPr>
                  <a:xfrm rot="10800000">
                    <a:off x="9235780" y="8174743"/>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E01BC87-B6CB-4D30-A836-D322B53FBD4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3">
              <xdr:nvSpPr>
                <xdr:cNvPr id="70" name="Empotramiento H">
                  <a:extLst>
                    <a:ext uri="{FF2B5EF4-FFF2-40B4-BE49-F238E27FC236}">
                      <a16:creationId xmlns:a16="http://schemas.microsoft.com/office/drawing/2014/main" id="{65CAE75B-12D6-82AB-F016-0852721CF60F}"/>
                    </a:ext>
                  </a:extLst>
                </xdr:cNvPr>
                <xdr:cNvSpPr txBox="1"/>
              </xdr:nvSpPr>
              <xdr:spPr>
                <a:xfrm rot="5400000">
                  <a:off x="3379693" y="4921320"/>
                  <a:ext cx="471003" cy="274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D72D5A2-C8D2-4F6F-B143-91532EFD7B7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81" name="NUDO I">
              <a:extLst>
                <a:ext uri="{FF2B5EF4-FFF2-40B4-BE49-F238E27FC236}">
                  <a16:creationId xmlns:a16="http://schemas.microsoft.com/office/drawing/2014/main" id="{049FCFB9-C1D1-64BA-97C1-E1DEE581F0FE}"/>
                </a:ext>
              </a:extLst>
            </xdr:cNvPr>
            <xdr:cNvGrpSpPr/>
          </xdr:nvGrpSpPr>
          <xdr:grpSpPr>
            <a:xfrm>
              <a:off x="4047167" y="4803316"/>
              <a:ext cx="1371590" cy="667488"/>
              <a:chOff x="4051492" y="4807918"/>
              <a:chExt cx="1373923" cy="665018"/>
            </a:xfrm>
          </xdr:grpSpPr>
          <xdr:grpSp>
            <xdr:nvGrpSpPr>
              <xdr:cNvPr id="80" name="R I">
                <a:extLst>
                  <a:ext uri="{FF2B5EF4-FFF2-40B4-BE49-F238E27FC236}">
                    <a16:creationId xmlns:a16="http://schemas.microsoft.com/office/drawing/2014/main" id="{28430B30-FAC7-458E-4B44-C413C01CBC8C}"/>
                  </a:ext>
                </a:extLst>
              </xdr:cNvPr>
              <xdr:cNvGrpSpPr/>
            </xdr:nvGrpSpPr>
            <xdr:grpSpPr>
              <a:xfrm>
                <a:off x="4224327" y="4916520"/>
                <a:ext cx="1201088" cy="556416"/>
                <a:chOff x="3351378" y="4823090"/>
                <a:chExt cx="1201088" cy="556416"/>
              </a:xfrm>
            </xdr:grpSpPr>
            <xdr:sp macro="" textlink="RFv_I_Ver">
              <xdr:nvSpPr>
                <xdr:cNvPr id="77" name="RvI">
                  <a:extLst>
                    <a:ext uri="{FF2B5EF4-FFF2-40B4-BE49-F238E27FC236}">
                      <a16:creationId xmlns:a16="http://schemas.microsoft.com/office/drawing/2014/main" id="{25161A99-2B38-465D-979B-CF5E3CB5852C}"/>
                    </a:ext>
                  </a:extLst>
                </xdr:cNvPr>
                <xdr:cNvSpPr txBox="1"/>
              </xdr:nvSpPr>
              <xdr:spPr>
                <a:xfrm>
                  <a:off x="3351378" y="5209433"/>
                  <a:ext cx="974982" cy="170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B8BE28D-6878-4137-9735-37ECF7F51BB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I_Ver">
              <xdr:nvSpPr>
                <xdr:cNvPr id="78" name="RhI">
                  <a:extLst>
                    <a:ext uri="{FF2B5EF4-FFF2-40B4-BE49-F238E27FC236}">
                      <a16:creationId xmlns:a16="http://schemas.microsoft.com/office/drawing/2014/main" id="{2E9BF181-89F6-4ED0-A46A-BDD0BE046EA8}"/>
                    </a:ext>
                  </a:extLst>
                </xdr:cNvPr>
                <xdr:cNvSpPr txBox="1"/>
              </xdr:nvSpPr>
              <xdr:spPr>
                <a:xfrm>
                  <a:off x="3578384" y="5021726"/>
                  <a:ext cx="974082" cy="17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9577CFE-4BDB-4D84-956C-B92598FEE1AB}"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I_Ver">
              <xdr:nvSpPr>
                <xdr:cNvPr id="79" name="RM_I">
                  <a:extLst>
                    <a:ext uri="{FF2B5EF4-FFF2-40B4-BE49-F238E27FC236}">
                      <a16:creationId xmlns:a16="http://schemas.microsoft.com/office/drawing/2014/main" id="{FDA5AEDC-37FB-4EEB-9F24-23C0AE0D1334}"/>
                    </a:ext>
                  </a:extLst>
                </xdr:cNvPr>
                <xdr:cNvSpPr txBox="1"/>
              </xdr:nvSpPr>
              <xdr:spPr>
                <a:xfrm>
                  <a:off x="3561497" y="4823090"/>
                  <a:ext cx="971410" cy="17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C55C455-A123-4AC6-AFA6-51B0C6C5DA38}"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25" name="Apoyo I">
                <a:extLst>
                  <a:ext uri="{FF2B5EF4-FFF2-40B4-BE49-F238E27FC236}">
                    <a16:creationId xmlns:a16="http://schemas.microsoft.com/office/drawing/2014/main" id="{6CEA9B83-76B5-B891-E1CC-317818DB8347}"/>
                  </a:ext>
                </a:extLst>
              </xdr:cNvPr>
              <xdr:cNvGrpSpPr/>
            </xdr:nvGrpSpPr>
            <xdr:grpSpPr>
              <a:xfrm>
                <a:off x="4051492" y="4807918"/>
                <a:ext cx="474409" cy="574092"/>
                <a:chOff x="4726743" y="12880171"/>
                <a:chExt cx="476174" cy="580345"/>
              </a:xfrm>
            </xdr:grpSpPr>
            <xdr:grpSp>
              <xdr:nvGrpSpPr>
                <xdr:cNvPr id="196" name="Apoyo Móvil">
                  <a:extLst>
                    <a:ext uri="{FF2B5EF4-FFF2-40B4-BE49-F238E27FC236}">
                      <a16:creationId xmlns:a16="http://schemas.microsoft.com/office/drawing/2014/main" id="{B666C4DF-F31D-8253-04C9-669D8B71488C}"/>
                    </a:ext>
                  </a:extLst>
                </xdr:cNvPr>
                <xdr:cNvGrpSpPr/>
              </xdr:nvGrpSpPr>
              <xdr:grpSpPr>
                <a:xfrm>
                  <a:off x="4727383" y="13169289"/>
                  <a:ext cx="475534" cy="291227"/>
                  <a:chOff x="10290702" y="8453513"/>
                  <a:chExt cx="469817" cy="287372"/>
                </a:xfrm>
              </xdr:grpSpPr>
              <xdr:sp macro="" textlink="$AE$24">
                <xdr:nvSpPr>
                  <xdr:cNvPr id="208" name="Ruedas I">
                    <a:extLst>
                      <a:ext uri="{FF2B5EF4-FFF2-40B4-BE49-F238E27FC236}">
                        <a16:creationId xmlns:a16="http://schemas.microsoft.com/office/drawing/2014/main" id="{C70BF8A4-7A27-880B-1CC9-567C208B3A43}"/>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F3687D0-AFEC-499F-B342-DE371DAE5EAF}"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4">
                <xdr:nvSpPr>
                  <xdr:cNvPr id="210" name="Suelo I">
                    <a:extLst>
                      <a:ext uri="{FF2B5EF4-FFF2-40B4-BE49-F238E27FC236}">
                        <a16:creationId xmlns:a16="http://schemas.microsoft.com/office/drawing/2014/main" id="{6FCA8EE1-C557-ECAA-4ABB-1C77E904137F}"/>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0BFA142-EBD0-419C-A6F8-BF8343ACBFFA}"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00" name="Apoyo FIjo">
                  <a:extLst>
                    <a:ext uri="{FF2B5EF4-FFF2-40B4-BE49-F238E27FC236}">
                      <a16:creationId xmlns:a16="http://schemas.microsoft.com/office/drawing/2014/main" id="{8025B49C-7503-E87F-0F0C-746C843856F5}"/>
                    </a:ext>
                  </a:extLst>
                </xdr:cNvPr>
                <xdr:cNvGrpSpPr/>
              </xdr:nvGrpSpPr>
              <xdr:grpSpPr>
                <a:xfrm>
                  <a:off x="4726743" y="13031926"/>
                  <a:ext cx="475534" cy="354860"/>
                  <a:chOff x="10289636" y="8321106"/>
                  <a:chExt cx="469817" cy="350161"/>
                </a:xfrm>
              </xdr:grpSpPr>
              <xdr:sp macro="" textlink="$AC$24">
                <xdr:nvSpPr>
                  <xdr:cNvPr id="205" name="Triángulo I">
                    <a:extLst>
                      <a:ext uri="{FF2B5EF4-FFF2-40B4-BE49-F238E27FC236}">
                        <a16:creationId xmlns:a16="http://schemas.microsoft.com/office/drawing/2014/main" id="{C15BACFE-7196-D4CA-8AD5-93CF20F26A62}"/>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6EAED6-7575-4F4B-88CC-14968C314DF6}"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4">
                <xdr:nvSpPr>
                  <xdr:cNvPr id="206" name="Suelo I">
                    <a:extLst>
                      <a:ext uri="{FF2B5EF4-FFF2-40B4-BE49-F238E27FC236}">
                        <a16:creationId xmlns:a16="http://schemas.microsoft.com/office/drawing/2014/main" id="{B6A448A6-2EBE-2304-507C-884778916DF9}"/>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5E3B90D-E44F-4106-BA66-600DBD043D5E}"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4">
              <xdr:nvSpPr>
                <xdr:cNvPr id="204" name="Empotramiento I">
                  <a:extLst>
                    <a:ext uri="{FF2B5EF4-FFF2-40B4-BE49-F238E27FC236}">
                      <a16:creationId xmlns:a16="http://schemas.microsoft.com/office/drawing/2014/main" id="{0A988590-2364-9B91-DA9C-8A83C5864620}"/>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32B7DEA5-5930-4551-BE32-4A6517693B64}"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16" name="NUDO J">
              <a:extLst>
                <a:ext uri="{FF2B5EF4-FFF2-40B4-BE49-F238E27FC236}">
                  <a16:creationId xmlns:a16="http://schemas.microsoft.com/office/drawing/2014/main" id="{695B8134-5ACD-9180-5408-BFDD304CB7B5}"/>
                </a:ext>
              </a:extLst>
            </xdr:cNvPr>
            <xdr:cNvGrpSpPr/>
          </xdr:nvGrpSpPr>
          <xdr:grpSpPr>
            <a:xfrm>
              <a:off x="2649423" y="5086337"/>
              <a:ext cx="1159290" cy="763017"/>
              <a:chOff x="1645564" y="4568464"/>
              <a:chExt cx="1156605" cy="764523"/>
            </a:xfrm>
          </xdr:grpSpPr>
          <xdr:grpSp>
            <xdr:nvGrpSpPr>
              <xdr:cNvPr id="103" name="R J">
                <a:extLst>
                  <a:ext uri="{FF2B5EF4-FFF2-40B4-BE49-F238E27FC236}">
                    <a16:creationId xmlns:a16="http://schemas.microsoft.com/office/drawing/2014/main" id="{B6B0A4FE-6610-EEED-B70A-075E9F271197}"/>
                  </a:ext>
                </a:extLst>
              </xdr:cNvPr>
              <xdr:cNvGrpSpPr/>
            </xdr:nvGrpSpPr>
            <xdr:grpSpPr>
              <a:xfrm>
                <a:off x="1809784" y="4568464"/>
                <a:ext cx="992385" cy="504169"/>
                <a:chOff x="500583" y="5976198"/>
                <a:chExt cx="994423" cy="497297"/>
              </a:xfrm>
            </xdr:grpSpPr>
            <xdr:sp macro="" textlink="RFv_J_Ver">
              <xdr:nvSpPr>
                <xdr:cNvPr id="112" name="RvJ">
                  <a:extLst>
                    <a:ext uri="{FF2B5EF4-FFF2-40B4-BE49-F238E27FC236}">
                      <a16:creationId xmlns:a16="http://schemas.microsoft.com/office/drawing/2014/main" id="{110732E4-D723-254E-452E-A57A9477AC3D}"/>
                    </a:ext>
                  </a:extLst>
                </xdr:cNvPr>
                <xdr:cNvSpPr txBox="1"/>
              </xdr:nvSpPr>
              <xdr:spPr>
                <a:xfrm>
                  <a:off x="521115" y="6142773"/>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5CF6B5A-A589-4543-AECD-026ED2AE84D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J_Ver">
              <xdr:nvSpPr>
                <xdr:cNvPr id="113" name="RhJ">
                  <a:extLst>
                    <a:ext uri="{FF2B5EF4-FFF2-40B4-BE49-F238E27FC236}">
                      <a16:creationId xmlns:a16="http://schemas.microsoft.com/office/drawing/2014/main" id="{BC3FF3FB-6DAF-D5D0-7504-2B71630B2E9F}"/>
                    </a:ext>
                  </a:extLst>
                </xdr:cNvPr>
                <xdr:cNvSpPr txBox="1"/>
              </xdr:nvSpPr>
              <xdr:spPr>
                <a:xfrm>
                  <a:off x="520342" y="597619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9D7BB1C-5538-45FC-B25A-212F923B841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J_Ver">
              <xdr:nvSpPr>
                <xdr:cNvPr id="114" name="RM_J">
                  <a:extLst>
                    <a:ext uri="{FF2B5EF4-FFF2-40B4-BE49-F238E27FC236}">
                      <a16:creationId xmlns:a16="http://schemas.microsoft.com/office/drawing/2014/main" id="{48133953-D524-0ED4-49AC-6ABF934D62B3}"/>
                    </a:ext>
                  </a:extLst>
                </xdr:cNvPr>
                <xdr:cNvSpPr txBox="1"/>
              </xdr:nvSpPr>
              <xdr:spPr>
                <a:xfrm>
                  <a:off x="500583" y="6301754"/>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9164DE3-A0D8-454B-8691-F80BBAF5E7A9}"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04" name="Apoyo J">
                <a:extLst>
                  <a:ext uri="{FF2B5EF4-FFF2-40B4-BE49-F238E27FC236}">
                    <a16:creationId xmlns:a16="http://schemas.microsoft.com/office/drawing/2014/main" id="{2D9A2607-4182-8874-B976-CF81496369F0}"/>
                  </a:ext>
                </a:extLst>
              </xdr:cNvPr>
              <xdr:cNvGrpSpPr/>
            </xdr:nvGrpSpPr>
            <xdr:grpSpPr>
              <a:xfrm rot="10800000">
                <a:off x="1645564" y="4851947"/>
                <a:ext cx="489141" cy="481040"/>
                <a:chOff x="4712203" y="12978955"/>
                <a:chExt cx="490714" cy="481561"/>
              </a:xfrm>
            </xdr:grpSpPr>
            <xdr:grpSp>
              <xdr:nvGrpSpPr>
                <xdr:cNvPr id="105" name="Apoyo Móvil">
                  <a:extLst>
                    <a:ext uri="{FF2B5EF4-FFF2-40B4-BE49-F238E27FC236}">
                      <a16:creationId xmlns:a16="http://schemas.microsoft.com/office/drawing/2014/main" id="{583AD60D-CD3D-EF67-9EAB-C807738603F9}"/>
                    </a:ext>
                  </a:extLst>
                </xdr:cNvPr>
                <xdr:cNvGrpSpPr/>
              </xdr:nvGrpSpPr>
              <xdr:grpSpPr>
                <a:xfrm>
                  <a:off x="4727383" y="13169289"/>
                  <a:ext cx="475534" cy="291227"/>
                  <a:chOff x="10290702" y="8453513"/>
                  <a:chExt cx="469817" cy="287372"/>
                </a:xfrm>
              </xdr:grpSpPr>
              <xdr:sp macro="" textlink="$AE$25">
                <xdr:nvSpPr>
                  <xdr:cNvPr id="110" name="Ruedas J">
                    <a:extLst>
                      <a:ext uri="{FF2B5EF4-FFF2-40B4-BE49-F238E27FC236}">
                        <a16:creationId xmlns:a16="http://schemas.microsoft.com/office/drawing/2014/main" id="{34774C3C-6CD4-2078-D292-1C88BBA342AC}"/>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240CFB4-2586-4B29-B058-9089243689F5}"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5">
                <xdr:nvSpPr>
                  <xdr:cNvPr id="111" name="Suelo J">
                    <a:extLst>
                      <a:ext uri="{FF2B5EF4-FFF2-40B4-BE49-F238E27FC236}">
                        <a16:creationId xmlns:a16="http://schemas.microsoft.com/office/drawing/2014/main" id="{D05900C0-10C2-2128-DA5E-5FD221CD3773}"/>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4BC4E1B-D96C-46B5-B0F7-2E4F89D387F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06" name="Apoyo FIjo">
                  <a:extLst>
                    <a:ext uri="{FF2B5EF4-FFF2-40B4-BE49-F238E27FC236}">
                      <a16:creationId xmlns:a16="http://schemas.microsoft.com/office/drawing/2014/main" id="{C86FE787-357B-8D33-E0D4-C80C4AD173A2}"/>
                    </a:ext>
                  </a:extLst>
                </xdr:cNvPr>
                <xdr:cNvGrpSpPr/>
              </xdr:nvGrpSpPr>
              <xdr:grpSpPr>
                <a:xfrm>
                  <a:off x="4726743" y="13031926"/>
                  <a:ext cx="475534" cy="354860"/>
                  <a:chOff x="10289636" y="8321106"/>
                  <a:chExt cx="469817" cy="350161"/>
                </a:xfrm>
              </xdr:grpSpPr>
              <xdr:sp macro="" textlink="$AC$25">
                <xdr:nvSpPr>
                  <xdr:cNvPr id="108" name="Triángulo J">
                    <a:extLst>
                      <a:ext uri="{FF2B5EF4-FFF2-40B4-BE49-F238E27FC236}">
                        <a16:creationId xmlns:a16="http://schemas.microsoft.com/office/drawing/2014/main" id="{4342CE6F-24BA-B625-2872-149F529BD106}"/>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CA26B1F-9BE3-4933-A0FC-1D9B95E6C8D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5">
                <xdr:nvSpPr>
                  <xdr:cNvPr id="109" name="Suelo J">
                    <a:extLst>
                      <a:ext uri="{FF2B5EF4-FFF2-40B4-BE49-F238E27FC236}">
                        <a16:creationId xmlns:a16="http://schemas.microsoft.com/office/drawing/2014/main" id="{30617410-B90D-4C0D-4134-3334CA623079}"/>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80DD02C-8EE3-4BE8-B495-BB258F1C1355}"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5">
              <xdr:nvSpPr>
                <xdr:cNvPr id="107" name="Empotramiento J">
                  <a:extLst>
                    <a:ext uri="{FF2B5EF4-FFF2-40B4-BE49-F238E27FC236}">
                      <a16:creationId xmlns:a16="http://schemas.microsoft.com/office/drawing/2014/main" id="{97B09003-C619-8981-A7D3-7660E64AE3ED}"/>
                    </a:ext>
                  </a:extLst>
                </xdr:cNvPr>
                <xdr:cNvSpPr txBox="1"/>
              </xdr:nvSpPr>
              <xdr:spPr>
                <a:xfrm rot="10800000">
                  <a:off x="4712203" y="12978955"/>
                  <a:ext cx="471015"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1D8474A-184F-4180-9512-247A823B299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82" name="NUDO K">
              <a:extLst>
                <a:ext uri="{FF2B5EF4-FFF2-40B4-BE49-F238E27FC236}">
                  <a16:creationId xmlns:a16="http://schemas.microsoft.com/office/drawing/2014/main" id="{08E14097-5F4F-2198-0B55-387D822F99C9}"/>
                </a:ext>
              </a:extLst>
            </xdr:cNvPr>
            <xdr:cNvGrpSpPr/>
          </xdr:nvGrpSpPr>
          <xdr:grpSpPr>
            <a:xfrm>
              <a:off x="1663386" y="6338426"/>
              <a:ext cx="1455112" cy="679456"/>
              <a:chOff x="1664650" y="6337467"/>
              <a:chExt cx="1456690" cy="677603"/>
            </a:xfrm>
          </xdr:grpSpPr>
          <xdr:grpSp>
            <xdr:nvGrpSpPr>
              <xdr:cNvPr id="59" name="R K">
                <a:extLst>
                  <a:ext uri="{FF2B5EF4-FFF2-40B4-BE49-F238E27FC236}">
                    <a16:creationId xmlns:a16="http://schemas.microsoft.com/office/drawing/2014/main" id="{C6F6D423-9E22-4EA9-97BC-D83590857DC2}"/>
                  </a:ext>
                </a:extLst>
              </xdr:cNvPr>
              <xdr:cNvGrpSpPr/>
            </xdr:nvGrpSpPr>
            <xdr:grpSpPr>
              <a:xfrm>
                <a:off x="1664650" y="6537483"/>
                <a:ext cx="1279157" cy="477587"/>
                <a:chOff x="-632890" y="5834419"/>
                <a:chExt cx="1277729" cy="475696"/>
              </a:xfrm>
            </xdr:grpSpPr>
            <xdr:sp macro="" textlink="RFv_K_Ver">
              <xdr:nvSpPr>
                <xdr:cNvPr id="60" name="RvK">
                  <a:extLst>
                    <a:ext uri="{FF2B5EF4-FFF2-40B4-BE49-F238E27FC236}">
                      <a16:creationId xmlns:a16="http://schemas.microsoft.com/office/drawing/2014/main" id="{6572A259-FAE6-7D4E-A1AF-C8166137E1BF}"/>
                    </a:ext>
                  </a:extLst>
                </xdr:cNvPr>
                <xdr:cNvSpPr txBox="1"/>
              </xdr:nvSpPr>
              <xdr:spPr>
                <a:xfrm>
                  <a:off x="-329052" y="614071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7074C0BA-F6DF-46A1-A66B-0566679C27CF}"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K_Ver">
              <xdr:nvSpPr>
                <xdr:cNvPr id="61" name="RhK">
                  <a:extLst>
                    <a:ext uri="{FF2B5EF4-FFF2-40B4-BE49-F238E27FC236}">
                      <a16:creationId xmlns:a16="http://schemas.microsoft.com/office/drawing/2014/main" id="{0B4F3847-3340-8813-89CA-B0E41A02B6A3}"/>
                    </a:ext>
                  </a:extLst>
                </xdr:cNvPr>
                <xdr:cNvSpPr txBox="1"/>
              </xdr:nvSpPr>
              <xdr:spPr>
                <a:xfrm>
                  <a:off x="-358989" y="5977054"/>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B7EFA94D-7D33-40DE-BF7B-89CC7550CFBB}"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K_Ver">
              <xdr:nvSpPr>
                <xdr:cNvPr id="62" name="RM_K">
                  <a:extLst>
                    <a:ext uri="{FF2B5EF4-FFF2-40B4-BE49-F238E27FC236}">
                      <a16:creationId xmlns:a16="http://schemas.microsoft.com/office/drawing/2014/main" id="{6D9572C7-7C7C-E5C2-96A1-2390ADE2B6DC}"/>
                    </a:ext>
                  </a:extLst>
                </xdr:cNvPr>
                <xdr:cNvSpPr txBox="1"/>
              </xdr:nvSpPr>
              <xdr:spPr>
                <a:xfrm>
                  <a:off x="-632890" y="5834419"/>
                  <a:ext cx="1274053" cy="1784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6F0A68DF-3DE7-4379-9CB0-6CCE766D5CA8}"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126" name="Apoyo K">
                <a:extLst>
                  <a:ext uri="{FF2B5EF4-FFF2-40B4-BE49-F238E27FC236}">
                    <a16:creationId xmlns:a16="http://schemas.microsoft.com/office/drawing/2014/main" id="{11D3DA3F-23D2-D4DE-B812-AB576D96E8D1}"/>
                  </a:ext>
                </a:extLst>
              </xdr:cNvPr>
              <xdr:cNvGrpSpPr/>
            </xdr:nvGrpSpPr>
            <xdr:grpSpPr>
              <a:xfrm>
                <a:off x="2649826" y="6337467"/>
                <a:ext cx="471514" cy="441265"/>
                <a:chOff x="1241967" y="9263559"/>
                <a:chExt cx="471890" cy="446231"/>
              </a:xfrm>
            </xdr:grpSpPr>
            <xdr:grpSp>
              <xdr:nvGrpSpPr>
                <xdr:cNvPr id="177" name="Apoyo Móvil">
                  <a:extLst>
                    <a:ext uri="{FF2B5EF4-FFF2-40B4-BE49-F238E27FC236}">
                      <a16:creationId xmlns:a16="http://schemas.microsoft.com/office/drawing/2014/main" id="{15CEFB02-A049-DDBF-8E22-0D7F749847C6}"/>
                    </a:ext>
                  </a:extLst>
                </xdr:cNvPr>
                <xdr:cNvGrpSpPr/>
              </xdr:nvGrpSpPr>
              <xdr:grpSpPr>
                <a:xfrm>
                  <a:off x="1242331" y="9419598"/>
                  <a:ext cx="471526" cy="290192"/>
                  <a:chOff x="10284164" y="8440721"/>
                  <a:chExt cx="469817" cy="287368"/>
                </a:xfrm>
              </xdr:grpSpPr>
              <xdr:sp macro="" textlink="$AF$26">
                <xdr:nvSpPr>
                  <xdr:cNvPr id="194" name="Suelo K">
                    <a:extLst>
                      <a:ext uri="{FF2B5EF4-FFF2-40B4-BE49-F238E27FC236}">
                        <a16:creationId xmlns:a16="http://schemas.microsoft.com/office/drawing/2014/main" id="{3598B4BC-9150-A34C-29BE-AAEBB6C252D7}"/>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7A8A3CC-3FEC-41D6-B0B4-6809D2213C4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6">
                <xdr:nvSpPr>
                  <xdr:cNvPr id="195" name="Ruedas K">
                    <a:extLst>
                      <a:ext uri="{FF2B5EF4-FFF2-40B4-BE49-F238E27FC236}">
                        <a16:creationId xmlns:a16="http://schemas.microsoft.com/office/drawing/2014/main" id="{F4EBD23A-75FC-3072-D82C-79B48DD4E054}"/>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87CF1FA-9AEF-4DCE-AACD-B02C32A0372B}"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90" name="Apoyo FIjo">
                  <a:extLst>
                    <a:ext uri="{FF2B5EF4-FFF2-40B4-BE49-F238E27FC236}">
                      <a16:creationId xmlns:a16="http://schemas.microsoft.com/office/drawing/2014/main" id="{3EA85DD6-4344-196F-C0B6-01DAFEF2E3CA}"/>
                    </a:ext>
                  </a:extLst>
                </xdr:cNvPr>
                <xdr:cNvGrpSpPr/>
              </xdr:nvGrpSpPr>
              <xdr:grpSpPr>
                <a:xfrm>
                  <a:off x="1242023" y="9289134"/>
                  <a:ext cx="471526" cy="358984"/>
                  <a:chOff x="10283423" y="8314710"/>
                  <a:chExt cx="469817" cy="355491"/>
                </a:xfrm>
              </xdr:grpSpPr>
              <xdr:sp macro="" textlink="$AD$26">
                <xdr:nvSpPr>
                  <xdr:cNvPr id="192" name="Suelo K">
                    <a:extLst>
                      <a:ext uri="{FF2B5EF4-FFF2-40B4-BE49-F238E27FC236}">
                        <a16:creationId xmlns:a16="http://schemas.microsoft.com/office/drawing/2014/main" id="{BA8C15D0-26A3-DF96-DBA0-5C6F4989D593}"/>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DD81FF8-235A-4243-8CA6-7B051713D17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6">
                <xdr:nvSpPr>
                  <xdr:cNvPr id="193" name="Triángulo K">
                    <a:extLst>
                      <a:ext uri="{FF2B5EF4-FFF2-40B4-BE49-F238E27FC236}">
                        <a16:creationId xmlns:a16="http://schemas.microsoft.com/office/drawing/2014/main" id="{16AF1D3B-CB62-A69C-DA6D-6A9BE864558A}"/>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742F80-D433-43EB-AFD2-ACCCC79E17A4}"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6">
              <xdr:nvSpPr>
                <xdr:cNvPr id="191" name="Empotramiento K">
                  <a:extLst>
                    <a:ext uri="{FF2B5EF4-FFF2-40B4-BE49-F238E27FC236}">
                      <a16:creationId xmlns:a16="http://schemas.microsoft.com/office/drawing/2014/main" id="{A81F2FB1-571C-E7A0-447B-DF3C2FF62AB9}"/>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1CCED8E-E548-42EE-9DC0-28242874174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37" name="NUDO L">
              <a:extLst>
                <a:ext uri="{FF2B5EF4-FFF2-40B4-BE49-F238E27FC236}">
                  <a16:creationId xmlns:a16="http://schemas.microsoft.com/office/drawing/2014/main" id="{D8D32850-4181-FEED-3358-A66B4744CA0A}"/>
                </a:ext>
              </a:extLst>
            </xdr:cNvPr>
            <xdr:cNvGrpSpPr/>
          </xdr:nvGrpSpPr>
          <xdr:grpSpPr>
            <a:xfrm>
              <a:off x="3333279" y="6211145"/>
              <a:ext cx="1384927" cy="688924"/>
              <a:chOff x="4888025" y="6380579"/>
              <a:chExt cx="1384670" cy="692431"/>
            </a:xfrm>
          </xdr:grpSpPr>
          <xdr:grpSp>
            <xdr:nvGrpSpPr>
              <xdr:cNvPr id="118" name="R L">
                <a:extLst>
                  <a:ext uri="{FF2B5EF4-FFF2-40B4-BE49-F238E27FC236}">
                    <a16:creationId xmlns:a16="http://schemas.microsoft.com/office/drawing/2014/main" id="{F84C6DBA-13A9-C2CB-68B3-C00D689EE0FD}"/>
                  </a:ext>
                </a:extLst>
              </xdr:cNvPr>
              <xdr:cNvGrpSpPr/>
            </xdr:nvGrpSpPr>
            <xdr:grpSpPr>
              <a:xfrm>
                <a:off x="5075852" y="6508802"/>
                <a:ext cx="1196843" cy="564208"/>
                <a:chOff x="-576925" y="6302607"/>
                <a:chExt cx="1193853" cy="557114"/>
              </a:xfrm>
            </xdr:grpSpPr>
            <xdr:sp macro="" textlink="RFv_L_Ver">
              <xdr:nvSpPr>
                <xdr:cNvPr id="134" name="RvL">
                  <a:extLst>
                    <a:ext uri="{FF2B5EF4-FFF2-40B4-BE49-F238E27FC236}">
                      <a16:creationId xmlns:a16="http://schemas.microsoft.com/office/drawing/2014/main" id="{F2A9B29C-AD58-4531-032B-4988F35788A6}"/>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B0590FF-2B56-448E-91C0-243749A0BA0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L_Ver">
              <xdr:nvSpPr>
                <xdr:cNvPr id="135" name="RhL">
                  <a:extLst>
                    <a:ext uri="{FF2B5EF4-FFF2-40B4-BE49-F238E27FC236}">
                      <a16:creationId xmlns:a16="http://schemas.microsoft.com/office/drawing/2014/main" id="{2585ACED-622C-DB30-0B43-75AB758A9CEF}"/>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D3C64C9-32C2-4A20-94A5-812357B229FC}"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L_Ver">
              <xdr:nvSpPr>
                <xdr:cNvPr id="136" name="RM_L">
                  <a:extLst>
                    <a:ext uri="{FF2B5EF4-FFF2-40B4-BE49-F238E27FC236}">
                      <a16:creationId xmlns:a16="http://schemas.microsoft.com/office/drawing/2014/main" id="{25563816-AFDE-CF6E-2812-61C7F823D908}"/>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1B44410-E70E-4146-9072-02B877BD98CA}"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20" name="Apoyo L">
                <a:extLst>
                  <a:ext uri="{FF2B5EF4-FFF2-40B4-BE49-F238E27FC236}">
                    <a16:creationId xmlns:a16="http://schemas.microsoft.com/office/drawing/2014/main" id="{F5C96C85-F1B8-BE66-2A7E-F6E8DB4E716F}"/>
                  </a:ext>
                </a:extLst>
              </xdr:cNvPr>
              <xdr:cNvGrpSpPr/>
            </xdr:nvGrpSpPr>
            <xdr:grpSpPr>
              <a:xfrm>
                <a:off x="4888025" y="6380579"/>
                <a:ext cx="477673" cy="579093"/>
                <a:chOff x="4726743" y="12880171"/>
                <a:chExt cx="476174" cy="580345"/>
              </a:xfrm>
            </xdr:grpSpPr>
            <xdr:grpSp>
              <xdr:nvGrpSpPr>
                <xdr:cNvPr id="121" name="Apoyo Móvil">
                  <a:extLst>
                    <a:ext uri="{FF2B5EF4-FFF2-40B4-BE49-F238E27FC236}">
                      <a16:creationId xmlns:a16="http://schemas.microsoft.com/office/drawing/2014/main" id="{D2E77CAD-EAA9-6DDD-B0F2-025ADDC971A4}"/>
                    </a:ext>
                  </a:extLst>
                </xdr:cNvPr>
                <xdr:cNvGrpSpPr/>
              </xdr:nvGrpSpPr>
              <xdr:grpSpPr>
                <a:xfrm>
                  <a:off x="4727383" y="13169289"/>
                  <a:ext cx="475534" cy="291227"/>
                  <a:chOff x="10290702" y="8453513"/>
                  <a:chExt cx="469817" cy="287372"/>
                </a:xfrm>
              </xdr:grpSpPr>
              <xdr:sp macro="" textlink="$AE$27">
                <xdr:nvSpPr>
                  <xdr:cNvPr id="132" name="Ruedas L">
                    <a:extLst>
                      <a:ext uri="{FF2B5EF4-FFF2-40B4-BE49-F238E27FC236}">
                        <a16:creationId xmlns:a16="http://schemas.microsoft.com/office/drawing/2014/main" id="{9E464F7B-1B02-807D-1EDC-E48D8B24329F}"/>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2CF46B3-5A4D-46DD-B9CD-7CD74FF1DEAD}"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7">
                <xdr:nvSpPr>
                  <xdr:cNvPr id="133" name="Suelo L">
                    <a:extLst>
                      <a:ext uri="{FF2B5EF4-FFF2-40B4-BE49-F238E27FC236}">
                        <a16:creationId xmlns:a16="http://schemas.microsoft.com/office/drawing/2014/main" id="{ADAC2B88-B62F-F429-66EF-2B65B916846A}"/>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12F9D5E-705A-4F69-BFD3-01DC16BE457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22" name="Apoyo FIjo">
                  <a:extLst>
                    <a:ext uri="{FF2B5EF4-FFF2-40B4-BE49-F238E27FC236}">
                      <a16:creationId xmlns:a16="http://schemas.microsoft.com/office/drawing/2014/main" id="{5876BD9A-59AF-829C-B109-A7B31DC30191}"/>
                    </a:ext>
                  </a:extLst>
                </xdr:cNvPr>
                <xdr:cNvGrpSpPr/>
              </xdr:nvGrpSpPr>
              <xdr:grpSpPr>
                <a:xfrm>
                  <a:off x="4726743" y="13031926"/>
                  <a:ext cx="475534" cy="354860"/>
                  <a:chOff x="10289636" y="8321106"/>
                  <a:chExt cx="469817" cy="350161"/>
                </a:xfrm>
              </xdr:grpSpPr>
              <xdr:sp macro="" textlink="$AC$27">
                <xdr:nvSpPr>
                  <xdr:cNvPr id="129" name="Triángulo L">
                    <a:extLst>
                      <a:ext uri="{FF2B5EF4-FFF2-40B4-BE49-F238E27FC236}">
                        <a16:creationId xmlns:a16="http://schemas.microsoft.com/office/drawing/2014/main" id="{F37B850A-4999-F629-D61A-09EE7248267C}"/>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B0D419-8180-448A-9F84-D32851FD9A3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7">
                <xdr:nvSpPr>
                  <xdr:cNvPr id="131" name="Suelo L">
                    <a:extLst>
                      <a:ext uri="{FF2B5EF4-FFF2-40B4-BE49-F238E27FC236}">
                        <a16:creationId xmlns:a16="http://schemas.microsoft.com/office/drawing/2014/main" id="{6B8B093C-D7DB-808B-20E4-858832E0C83C}"/>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A3DCDCE-52A3-4302-82CB-AEB12CB4FDC8}"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7">
              <xdr:nvSpPr>
                <xdr:cNvPr id="127" name="Empotramiento L">
                  <a:extLst>
                    <a:ext uri="{FF2B5EF4-FFF2-40B4-BE49-F238E27FC236}">
                      <a16:creationId xmlns:a16="http://schemas.microsoft.com/office/drawing/2014/main" id="{3E024340-F087-39E3-9D0F-D2CDB15EEE38}"/>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B4C4C3C3-29E9-463C-9E03-21A2F37D275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64" name="NUDO M">
              <a:extLst>
                <a:ext uri="{FF2B5EF4-FFF2-40B4-BE49-F238E27FC236}">
                  <a16:creationId xmlns:a16="http://schemas.microsoft.com/office/drawing/2014/main" id="{79277696-83AC-3308-5820-876BE88F5277}"/>
                </a:ext>
              </a:extLst>
            </xdr:cNvPr>
            <xdr:cNvGrpSpPr/>
          </xdr:nvGrpSpPr>
          <xdr:grpSpPr>
            <a:xfrm>
              <a:off x="4044332" y="6210534"/>
              <a:ext cx="1383199" cy="688924"/>
              <a:chOff x="3484802" y="6367216"/>
              <a:chExt cx="1384670" cy="692431"/>
            </a:xfrm>
          </xdr:grpSpPr>
          <xdr:grpSp>
            <xdr:nvGrpSpPr>
              <xdr:cNvPr id="139" name="R M">
                <a:extLst>
                  <a:ext uri="{FF2B5EF4-FFF2-40B4-BE49-F238E27FC236}">
                    <a16:creationId xmlns:a16="http://schemas.microsoft.com/office/drawing/2014/main" id="{F02B0512-F266-0B6E-F165-85D1EF2A6DF4}"/>
                  </a:ext>
                </a:extLst>
              </xdr:cNvPr>
              <xdr:cNvGrpSpPr/>
            </xdr:nvGrpSpPr>
            <xdr:grpSpPr>
              <a:xfrm>
                <a:off x="3672629" y="6495439"/>
                <a:ext cx="1196843" cy="564208"/>
                <a:chOff x="-576925" y="6302607"/>
                <a:chExt cx="1193853" cy="557114"/>
              </a:xfrm>
            </xdr:grpSpPr>
            <xdr:sp macro="" textlink="RFv_M_Ver">
              <xdr:nvSpPr>
                <xdr:cNvPr id="155" name="RvM">
                  <a:extLst>
                    <a:ext uri="{FF2B5EF4-FFF2-40B4-BE49-F238E27FC236}">
                      <a16:creationId xmlns:a16="http://schemas.microsoft.com/office/drawing/2014/main" id="{4260A34B-84E3-8CE4-8314-E2D6D7FE5ADF}"/>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C763009-B44D-43BA-803C-23EA2F8F9D7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M_Ver">
              <xdr:nvSpPr>
                <xdr:cNvPr id="162" name="RhM">
                  <a:extLst>
                    <a:ext uri="{FF2B5EF4-FFF2-40B4-BE49-F238E27FC236}">
                      <a16:creationId xmlns:a16="http://schemas.microsoft.com/office/drawing/2014/main" id="{D6B94C67-8F79-E0E0-03CC-133684B3A2A2}"/>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21B6BF8-0869-402F-B1BC-BF10660A688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M_Ver">
              <xdr:nvSpPr>
                <xdr:cNvPr id="163" name="RM_M">
                  <a:extLst>
                    <a:ext uri="{FF2B5EF4-FFF2-40B4-BE49-F238E27FC236}">
                      <a16:creationId xmlns:a16="http://schemas.microsoft.com/office/drawing/2014/main" id="{73DECAA9-EF7F-22BE-CE4B-0625E82E40F3}"/>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A231CDE-7E71-4BE8-8C0A-62922B424363}"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40" name="Apoyo M">
                <a:extLst>
                  <a:ext uri="{FF2B5EF4-FFF2-40B4-BE49-F238E27FC236}">
                    <a16:creationId xmlns:a16="http://schemas.microsoft.com/office/drawing/2014/main" id="{CE26ED6D-CC52-B28A-CA79-4015E0D0EF39}"/>
                  </a:ext>
                </a:extLst>
              </xdr:cNvPr>
              <xdr:cNvGrpSpPr/>
            </xdr:nvGrpSpPr>
            <xdr:grpSpPr>
              <a:xfrm>
                <a:off x="3484802" y="6367216"/>
                <a:ext cx="477673" cy="579093"/>
                <a:chOff x="4726743" y="12880171"/>
                <a:chExt cx="476174" cy="580345"/>
              </a:xfrm>
            </xdr:grpSpPr>
            <xdr:grpSp>
              <xdr:nvGrpSpPr>
                <xdr:cNvPr id="141" name="Apoyo Móvil">
                  <a:extLst>
                    <a:ext uri="{FF2B5EF4-FFF2-40B4-BE49-F238E27FC236}">
                      <a16:creationId xmlns:a16="http://schemas.microsoft.com/office/drawing/2014/main" id="{F9FF790B-E67F-C4B2-D3C2-34867523C224}"/>
                    </a:ext>
                  </a:extLst>
                </xdr:cNvPr>
                <xdr:cNvGrpSpPr/>
              </xdr:nvGrpSpPr>
              <xdr:grpSpPr>
                <a:xfrm>
                  <a:off x="4727383" y="13169289"/>
                  <a:ext cx="475534" cy="291227"/>
                  <a:chOff x="10290702" y="8453513"/>
                  <a:chExt cx="469817" cy="287372"/>
                </a:xfrm>
              </xdr:grpSpPr>
              <xdr:sp macro="" textlink="$AE$28">
                <xdr:nvSpPr>
                  <xdr:cNvPr id="153" name="Ruedas M">
                    <a:extLst>
                      <a:ext uri="{FF2B5EF4-FFF2-40B4-BE49-F238E27FC236}">
                        <a16:creationId xmlns:a16="http://schemas.microsoft.com/office/drawing/2014/main" id="{6964B111-6FCE-11FD-1828-A72ECFFC50CD}"/>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E78A466-9CC8-47C7-BC80-C7883BAD72C3}"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8">
                <xdr:nvSpPr>
                  <xdr:cNvPr id="154" name="Suelo M">
                    <a:extLst>
                      <a:ext uri="{FF2B5EF4-FFF2-40B4-BE49-F238E27FC236}">
                        <a16:creationId xmlns:a16="http://schemas.microsoft.com/office/drawing/2014/main" id="{C63CFEB7-960D-C621-BF48-48A1D3BBA45D}"/>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B246354D-7C3F-4CAA-A9F4-0DF56103C73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42" name="Apoyo FIjo">
                  <a:extLst>
                    <a:ext uri="{FF2B5EF4-FFF2-40B4-BE49-F238E27FC236}">
                      <a16:creationId xmlns:a16="http://schemas.microsoft.com/office/drawing/2014/main" id="{C5F11ABE-F6BC-539D-E6E6-0C12727BA1A6}"/>
                    </a:ext>
                  </a:extLst>
                </xdr:cNvPr>
                <xdr:cNvGrpSpPr/>
              </xdr:nvGrpSpPr>
              <xdr:grpSpPr>
                <a:xfrm>
                  <a:off x="4726743" y="13031926"/>
                  <a:ext cx="475534" cy="354860"/>
                  <a:chOff x="10289636" y="8321106"/>
                  <a:chExt cx="469817" cy="350161"/>
                </a:xfrm>
              </xdr:grpSpPr>
              <xdr:sp macro="" textlink="$AC$28">
                <xdr:nvSpPr>
                  <xdr:cNvPr id="151" name="Triángulo M">
                    <a:extLst>
                      <a:ext uri="{FF2B5EF4-FFF2-40B4-BE49-F238E27FC236}">
                        <a16:creationId xmlns:a16="http://schemas.microsoft.com/office/drawing/2014/main" id="{93EABCEF-522D-AA6E-9318-BCC0534A3607}"/>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F285E5-BD5A-469C-B700-94AB636128AD}"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8">
                <xdr:nvSpPr>
                  <xdr:cNvPr id="152" name="Suelo M">
                    <a:extLst>
                      <a:ext uri="{FF2B5EF4-FFF2-40B4-BE49-F238E27FC236}">
                        <a16:creationId xmlns:a16="http://schemas.microsoft.com/office/drawing/2014/main" id="{78A570B3-456D-F573-F036-22EC55B03E83}"/>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94B72B0-DB91-4851-9CC0-43A7C7EAE15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8">
              <xdr:nvSpPr>
                <xdr:cNvPr id="143" name="Empotramiento M">
                  <a:extLst>
                    <a:ext uri="{FF2B5EF4-FFF2-40B4-BE49-F238E27FC236}">
                      <a16:creationId xmlns:a16="http://schemas.microsoft.com/office/drawing/2014/main" id="{26ECE297-EF14-6E72-C602-AA86348B7672}"/>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E0F30D1-C7D9-4A22-B829-FA415160E83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83" name="NUDO N">
              <a:extLst>
                <a:ext uri="{FF2B5EF4-FFF2-40B4-BE49-F238E27FC236}">
                  <a16:creationId xmlns:a16="http://schemas.microsoft.com/office/drawing/2014/main" id="{64F98095-96BE-C1B6-B910-7C65FABCEDE3}"/>
                </a:ext>
              </a:extLst>
            </xdr:cNvPr>
            <xdr:cNvGrpSpPr/>
          </xdr:nvGrpSpPr>
          <xdr:grpSpPr>
            <a:xfrm>
              <a:off x="4736759" y="6224508"/>
              <a:ext cx="1382227" cy="688924"/>
              <a:chOff x="4742274" y="6224169"/>
              <a:chExt cx="1382752" cy="686451"/>
            </a:xfrm>
          </xdr:grpSpPr>
          <xdr:grpSp>
            <xdr:nvGrpSpPr>
              <xdr:cNvPr id="63" name="R N">
                <a:extLst>
                  <a:ext uri="{FF2B5EF4-FFF2-40B4-BE49-F238E27FC236}">
                    <a16:creationId xmlns:a16="http://schemas.microsoft.com/office/drawing/2014/main" id="{59088093-B013-4978-8A95-3FA8BFEBE5EC}"/>
                  </a:ext>
                </a:extLst>
              </xdr:cNvPr>
              <xdr:cNvGrpSpPr/>
            </xdr:nvGrpSpPr>
            <xdr:grpSpPr>
              <a:xfrm>
                <a:off x="4929841" y="6351285"/>
                <a:ext cx="1195185" cy="559335"/>
                <a:chOff x="-576925" y="6302607"/>
                <a:chExt cx="1193853" cy="557114"/>
              </a:xfrm>
            </xdr:grpSpPr>
            <xdr:sp macro="" textlink="RFv_N_Ver">
              <xdr:nvSpPr>
                <xdr:cNvPr id="64" name="RvN">
                  <a:extLst>
                    <a:ext uri="{FF2B5EF4-FFF2-40B4-BE49-F238E27FC236}">
                      <a16:creationId xmlns:a16="http://schemas.microsoft.com/office/drawing/2014/main" id="{7EFE4BB3-7C3B-A006-257D-93D7989CE965}"/>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886EDB3-D369-4EBD-AEC7-1F324470783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N_Ver">
              <xdr:nvSpPr>
                <xdr:cNvPr id="65" name="RhN">
                  <a:extLst>
                    <a:ext uri="{FF2B5EF4-FFF2-40B4-BE49-F238E27FC236}">
                      <a16:creationId xmlns:a16="http://schemas.microsoft.com/office/drawing/2014/main" id="{B170BC86-F20A-AA89-387C-9B36B38CD67F}"/>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6F86A9B-712C-4894-9DD2-B89E616C91D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N_Ver">
              <xdr:nvSpPr>
                <xdr:cNvPr id="66" name="RM_N">
                  <a:extLst>
                    <a:ext uri="{FF2B5EF4-FFF2-40B4-BE49-F238E27FC236}">
                      <a16:creationId xmlns:a16="http://schemas.microsoft.com/office/drawing/2014/main" id="{A954B0B2-A3D9-1526-5593-84ADC6592681}"/>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4450F07-C13A-4AB7-8C22-CBB562DF05F8}"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28" name="Apoyo N">
                <a:extLst>
                  <a:ext uri="{FF2B5EF4-FFF2-40B4-BE49-F238E27FC236}">
                    <a16:creationId xmlns:a16="http://schemas.microsoft.com/office/drawing/2014/main" id="{A20A63CE-F7CB-2D85-7360-3715D106BA17}"/>
                  </a:ext>
                </a:extLst>
              </xdr:cNvPr>
              <xdr:cNvGrpSpPr/>
            </xdr:nvGrpSpPr>
            <xdr:grpSpPr>
              <a:xfrm>
                <a:off x="4742274" y="6224169"/>
                <a:ext cx="477011" cy="574092"/>
                <a:chOff x="4726743" y="12880171"/>
                <a:chExt cx="476174" cy="580345"/>
              </a:xfrm>
            </xdr:grpSpPr>
            <xdr:grpSp>
              <xdr:nvGrpSpPr>
                <xdr:cNvPr id="156" name="Apoyo Móvil">
                  <a:extLst>
                    <a:ext uri="{FF2B5EF4-FFF2-40B4-BE49-F238E27FC236}">
                      <a16:creationId xmlns:a16="http://schemas.microsoft.com/office/drawing/2014/main" id="{55FEE298-E4BD-8A7C-3641-B4E348248D4C}"/>
                    </a:ext>
                  </a:extLst>
                </xdr:cNvPr>
                <xdr:cNvGrpSpPr/>
              </xdr:nvGrpSpPr>
              <xdr:grpSpPr>
                <a:xfrm>
                  <a:off x="4727383" y="13169289"/>
                  <a:ext cx="475534" cy="291227"/>
                  <a:chOff x="10290702" y="8453513"/>
                  <a:chExt cx="469817" cy="287372"/>
                </a:xfrm>
              </xdr:grpSpPr>
              <xdr:sp macro="" textlink="$AE$29">
                <xdr:nvSpPr>
                  <xdr:cNvPr id="161" name="Ruedas N">
                    <a:extLst>
                      <a:ext uri="{FF2B5EF4-FFF2-40B4-BE49-F238E27FC236}">
                        <a16:creationId xmlns:a16="http://schemas.microsoft.com/office/drawing/2014/main" id="{3D6F82D6-D8F2-DBAE-720A-F3CC3A59B8C7}"/>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3C49818-DE30-4C8A-9126-1C4FEBC65539}"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9">
                <xdr:nvSpPr>
                  <xdr:cNvPr id="176" name="Suelo N">
                    <a:extLst>
                      <a:ext uri="{FF2B5EF4-FFF2-40B4-BE49-F238E27FC236}">
                        <a16:creationId xmlns:a16="http://schemas.microsoft.com/office/drawing/2014/main" id="{DD23A4A1-6201-63FE-9837-773CB21CF4E7}"/>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A4E30AC-4D54-4B6F-83C5-F6F18D0F14F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57" name="Apoyo FIjo">
                  <a:extLst>
                    <a:ext uri="{FF2B5EF4-FFF2-40B4-BE49-F238E27FC236}">
                      <a16:creationId xmlns:a16="http://schemas.microsoft.com/office/drawing/2014/main" id="{99D216DB-A720-C310-9412-FED73A270DD8}"/>
                    </a:ext>
                  </a:extLst>
                </xdr:cNvPr>
                <xdr:cNvGrpSpPr/>
              </xdr:nvGrpSpPr>
              <xdr:grpSpPr>
                <a:xfrm>
                  <a:off x="4726743" y="13031926"/>
                  <a:ext cx="475534" cy="354860"/>
                  <a:chOff x="10289636" y="8321106"/>
                  <a:chExt cx="469817" cy="350161"/>
                </a:xfrm>
              </xdr:grpSpPr>
              <xdr:sp macro="" textlink="$AC$29">
                <xdr:nvSpPr>
                  <xdr:cNvPr id="159" name="Triángulo N">
                    <a:extLst>
                      <a:ext uri="{FF2B5EF4-FFF2-40B4-BE49-F238E27FC236}">
                        <a16:creationId xmlns:a16="http://schemas.microsoft.com/office/drawing/2014/main" id="{E97D0A3F-DFDA-E882-69B9-C885F2644F43}"/>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7D8DCE-E58F-41BB-9615-EB56E9CB7751}"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9">
                <xdr:nvSpPr>
                  <xdr:cNvPr id="160" name="Suelo N">
                    <a:extLst>
                      <a:ext uri="{FF2B5EF4-FFF2-40B4-BE49-F238E27FC236}">
                        <a16:creationId xmlns:a16="http://schemas.microsoft.com/office/drawing/2014/main" id="{0E0C2E16-72A8-8367-C43F-F8A9F1C4DA40}"/>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6808C00-545A-44A2-8B09-A893562F590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9">
              <xdr:nvSpPr>
                <xdr:cNvPr id="158" name="Empotramiento N">
                  <a:extLst>
                    <a:ext uri="{FF2B5EF4-FFF2-40B4-BE49-F238E27FC236}">
                      <a16:creationId xmlns:a16="http://schemas.microsoft.com/office/drawing/2014/main" id="{80064230-7DC1-B4F5-2BA9-8C6B28EC08E4}"/>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87748AC-FCC4-4D07-B1AB-FEB28A9D5114}"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01" name="NUDO O">
              <a:extLst>
                <a:ext uri="{FF2B5EF4-FFF2-40B4-BE49-F238E27FC236}">
                  <a16:creationId xmlns:a16="http://schemas.microsoft.com/office/drawing/2014/main" id="{BA9EBD7F-1B18-D764-3570-2714E44DB17F}"/>
                </a:ext>
              </a:extLst>
            </xdr:cNvPr>
            <xdr:cNvGrpSpPr/>
          </xdr:nvGrpSpPr>
          <xdr:grpSpPr>
            <a:xfrm>
              <a:off x="3320201" y="7036864"/>
              <a:ext cx="1876975" cy="587288"/>
              <a:chOff x="3315459" y="7053645"/>
              <a:chExt cx="1876013" cy="591593"/>
            </a:xfrm>
          </xdr:grpSpPr>
          <xdr:grpSp>
            <xdr:nvGrpSpPr>
              <xdr:cNvPr id="97" name="R O">
                <a:extLst>
                  <a:ext uri="{FF2B5EF4-FFF2-40B4-BE49-F238E27FC236}">
                    <a16:creationId xmlns:a16="http://schemas.microsoft.com/office/drawing/2014/main" id="{234C91D0-9DB2-4585-AF14-D0ED995DA47D}"/>
                  </a:ext>
                </a:extLst>
              </xdr:cNvPr>
              <xdr:cNvGrpSpPr/>
            </xdr:nvGrpSpPr>
            <xdr:grpSpPr>
              <a:xfrm>
                <a:off x="3315459" y="7247927"/>
                <a:ext cx="1876013" cy="397311"/>
                <a:chOff x="-55801" y="7087099"/>
                <a:chExt cx="1876363" cy="391557"/>
              </a:xfrm>
            </xdr:grpSpPr>
            <xdr:sp macro="" textlink="RFv_O_Ver">
              <xdr:nvSpPr>
                <xdr:cNvPr id="98" name="RvO">
                  <a:extLst>
                    <a:ext uri="{FF2B5EF4-FFF2-40B4-BE49-F238E27FC236}">
                      <a16:creationId xmlns:a16="http://schemas.microsoft.com/office/drawing/2014/main" id="{DAC79D3B-2FA1-42A5-0F8B-DCE0A3F70D81}"/>
                    </a:ext>
                  </a:extLst>
                </xdr:cNvPr>
                <xdr:cNvSpPr txBox="1"/>
              </xdr:nvSpPr>
              <xdr:spPr>
                <a:xfrm>
                  <a:off x="-1825" y="7309257"/>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AE10C883-DAEC-48C6-A9D5-BB2C2B741D76}"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O_Ver">
              <xdr:nvSpPr>
                <xdr:cNvPr id="99" name="RhO">
                  <a:extLst>
                    <a:ext uri="{FF2B5EF4-FFF2-40B4-BE49-F238E27FC236}">
                      <a16:creationId xmlns:a16="http://schemas.microsoft.com/office/drawing/2014/main" id="{24486B3C-4E9F-47AB-AE59-82485BD3490A}"/>
                    </a:ext>
                  </a:extLst>
                </xdr:cNvPr>
                <xdr:cNvSpPr txBox="1"/>
              </xdr:nvSpPr>
              <xdr:spPr>
                <a:xfrm>
                  <a:off x="-55801" y="7087099"/>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094463D-6F7F-4257-8B44-C4AD8D28477C}"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O_Ver">
              <xdr:nvSpPr>
                <xdr:cNvPr id="100" name="RM_O">
                  <a:extLst>
                    <a:ext uri="{FF2B5EF4-FFF2-40B4-BE49-F238E27FC236}">
                      <a16:creationId xmlns:a16="http://schemas.microsoft.com/office/drawing/2014/main" id="{3BEC6B27-5E11-0966-5BBC-CD041BC7FB03}"/>
                    </a:ext>
                  </a:extLst>
                </xdr:cNvPr>
                <xdr:cNvSpPr txBox="1"/>
              </xdr:nvSpPr>
              <xdr:spPr>
                <a:xfrm>
                  <a:off x="850239" y="711219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0746AACC-F734-4FD5-BE0D-A66A1A16B704}"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30" name="Apoyo O">
                <a:extLst>
                  <a:ext uri="{FF2B5EF4-FFF2-40B4-BE49-F238E27FC236}">
                    <a16:creationId xmlns:a16="http://schemas.microsoft.com/office/drawing/2014/main" id="{889D0DFC-6005-2A57-8B31-550A55CFCCC8}"/>
                  </a:ext>
                </a:extLst>
              </xdr:cNvPr>
              <xdr:cNvGrpSpPr/>
            </xdr:nvGrpSpPr>
            <xdr:grpSpPr>
              <a:xfrm>
                <a:off x="4035140" y="7053645"/>
                <a:ext cx="470962" cy="447395"/>
                <a:chOff x="1241967" y="9263559"/>
                <a:chExt cx="471890" cy="446201"/>
              </a:xfrm>
            </xdr:grpSpPr>
            <xdr:grpSp>
              <xdr:nvGrpSpPr>
                <xdr:cNvPr id="144" name="Apoyo Móvil">
                  <a:extLst>
                    <a:ext uri="{FF2B5EF4-FFF2-40B4-BE49-F238E27FC236}">
                      <a16:creationId xmlns:a16="http://schemas.microsoft.com/office/drawing/2014/main" id="{2A38325E-7811-F87D-E9F6-90A5B7BDCC71}"/>
                    </a:ext>
                  </a:extLst>
                </xdr:cNvPr>
                <xdr:cNvGrpSpPr/>
              </xdr:nvGrpSpPr>
              <xdr:grpSpPr>
                <a:xfrm>
                  <a:off x="1242331" y="9419552"/>
                  <a:ext cx="471526" cy="290208"/>
                  <a:chOff x="10284165" y="8440687"/>
                  <a:chExt cx="469817" cy="287384"/>
                </a:xfrm>
              </xdr:grpSpPr>
              <xdr:sp macro="" textlink="$AF$30">
                <xdr:nvSpPr>
                  <xdr:cNvPr id="149" name="Suelo O">
                    <a:extLst>
                      <a:ext uri="{FF2B5EF4-FFF2-40B4-BE49-F238E27FC236}">
                        <a16:creationId xmlns:a16="http://schemas.microsoft.com/office/drawing/2014/main" id="{54A4AD97-D27D-4393-F240-68C8A5F0304F}"/>
                      </a:ext>
                    </a:extLst>
                  </xdr:cNvPr>
                  <xdr:cNvSpPr txBox="1"/>
                </xdr:nvSpPr>
                <xdr:spPr>
                  <a:xfrm rot="10800000">
                    <a:off x="10284165" y="8455811"/>
                    <a:ext cx="469817" cy="272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EE8C2A1-74A3-4774-836F-823CA4CC4E7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30">
                <xdr:nvSpPr>
                  <xdr:cNvPr id="150" name="Ruedas O">
                    <a:extLst>
                      <a:ext uri="{FF2B5EF4-FFF2-40B4-BE49-F238E27FC236}">
                        <a16:creationId xmlns:a16="http://schemas.microsoft.com/office/drawing/2014/main" id="{B36E64AF-F756-6889-DA69-376B2D73043F}"/>
                      </a:ext>
                    </a:extLst>
                  </xdr:cNvPr>
                  <xdr:cNvSpPr txBox="1"/>
                </xdr:nvSpPr>
                <xdr:spPr>
                  <a:xfrm>
                    <a:off x="10284165" y="8440687"/>
                    <a:ext cx="469817" cy="27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FC3E696-B4C5-4092-91C3-CA76DDF6C47C}"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45" name="Apoyo FIjo">
                  <a:extLst>
                    <a:ext uri="{FF2B5EF4-FFF2-40B4-BE49-F238E27FC236}">
                      <a16:creationId xmlns:a16="http://schemas.microsoft.com/office/drawing/2014/main" id="{2BE1C63B-6A65-76A3-CCFA-E37BC61C32E1}"/>
                    </a:ext>
                  </a:extLst>
                </xdr:cNvPr>
                <xdr:cNvGrpSpPr/>
              </xdr:nvGrpSpPr>
              <xdr:grpSpPr>
                <a:xfrm>
                  <a:off x="1242023" y="9289134"/>
                  <a:ext cx="471526" cy="358984"/>
                  <a:chOff x="10283423" y="8314710"/>
                  <a:chExt cx="469817" cy="355491"/>
                </a:xfrm>
              </xdr:grpSpPr>
              <xdr:sp macro="" textlink="$AD$30">
                <xdr:nvSpPr>
                  <xdr:cNvPr id="147" name="Suelo O">
                    <a:extLst>
                      <a:ext uri="{FF2B5EF4-FFF2-40B4-BE49-F238E27FC236}">
                        <a16:creationId xmlns:a16="http://schemas.microsoft.com/office/drawing/2014/main" id="{639868C9-82F3-2869-0150-1470BBA38975}"/>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E06FE54-1113-40C4-BD17-F88845924B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30">
                <xdr:nvSpPr>
                  <xdr:cNvPr id="148" name="Triángulo O">
                    <a:extLst>
                      <a:ext uri="{FF2B5EF4-FFF2-40B4-BE49-F238E27FC236}">
                        <a16:creationId xmlns:a16="http://schemas.microsoft.com/office/drawing/2014/main" id="{B79FADEF-5E14-DA35-6ADD-4F26CB2BC93C}"/>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F436A5-337A-4E68-9879-A72302E588F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30">
              <xdr:nvSpPr>
                <xdr:cNvPr id="146" name="Empotramiento O">
                  <a:extLst>
                    <a:ext uri="{FF2B5EF4-FFF2-40B4-BE49-F238E27FC236}">
                      <a16:creationId xmlns:a16="http://schemas.microsoft.com/office/drawing/2014/main" id="{DCAC2FFE-CFD5-F626-0CDE-0F0013A5F4AD}"/>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13DD8D3-BE3E-470F-A8F4-B496E3F3CAA5}"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grpSp>
        <xdr:nvGrpSpPr>
          <xdr:cNvPr id="96" name="ESTRUCTURA">
            <a:extLst>
              <a:ext uri="{FF2B5EF4-FFF2-40B4-BE49-F238E27FC236}">
                <a16:creationId xmlns:a16="http://schemas.microsoft.com/office/drawing/2014/main" id="{E9A42C03-D383-B5EC-8669-509AA17CDA61}"/>
              </a:ext>
            </a:extLst>
          </xdr:cNvPr>
          <xdr:cNvGrpSpPr/>
        </xdr:nvGrpSpPr>
        <xdr:grpSpPr>
          <a:xfrm>
            <a:off x="96785" y="5591092"/>
            <a:ext cx="4947500" cy="2820986"/>
            <a:chOff x="96785" y="5580656"/>
            <a:chExt cx="4939231" cy="2845350"/>
          </a:xfrm>
        </xdr:grpSpPr>
        <xdr:grpSp>
          <xdr:nvGrpSpPr>
            <xdr:cNvPr id="94" name="AB">
              <a:extLst>
                <a:ext uri="{FF2B5EF4-FFF2-40B4-BE49-F238E27FC236}">
                  <a16:creationId xmlns:a16="http://schemas.microsoft.com/office/drawing/2014/main" id="{B8B6E114-7F73-1997-FC59-74DE1948DFFB}"/>
                </a:ext>
              </a:extLst>
            </xdr:cNvPr>
            <xdr:cNvGrpSpPr/>
          </xdr:nvGrpSpPr>
          <xdr:grpSpPr>
            <a:xfrm>
              <a:off x="96785" y="7577763"/>
              <a:ext cx="751918" cy="836724"/>
              <a:chOff x="96785" y="7577763"/>
              <a:chExt cx="751918" cy="836724"/>
            </a:xfrm>
          </xdr:grpSpPr>
          <xdr:sp macro="" textlink="$Y$15">
            <xdr:nvSpPr>
              <xdr:cNvPr id="695" name="Barra AB">
                <a:extLst>
                  <a:ext uri="{FF2B5EF4-FFF2-40B4-BE49-F238E27FC236}">
                    <a16:creationId xmlns:a16="http://schemas.microsoft.com/office/drawing/2014/main" id="{34E925EB-83DE-B83D-1A12-E005F829DA97}"/>
                  </a:ext>
                </a:extLst>
              </xdr:cNvPr>
              <xdr:cNvSpPr txBox="1"/>
            </xdr:nvSpPr>
            <xdr:spPr>
              <a:xfrm rot="16200000">
                <a:off x="420962" y="7931694"/>
                <a:ext cx="708099" cy="1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199A997-BF91-48FD-92F0-E50BD19F794A}"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697" name="Cota">
                <a:extLst>
                  <a:ext uri="{FF2B5EF4-FFF2-40B4-BE49-F238E27FC236}">
                    <a16:creationId xmlns:a16="http://schemas.microsoft.com/office/drawing/2014/main" id="{171DDE16-588B-AAA3-5807-76132CEC6931}"/>
                  </a:ext>
                </a:extLst>
              </xdr:cNvPr>
              <xdr:cNvGrpSpPr/>
            </xdr:nvGrpSpPr>
            <xdr:grpSpPr>
              <a:xfrm>
                <a:off x="96785" y="7577763"/>
                <a:ext cx="594232" cy="836724"/>
                <a:chOff x="10021477" y="7645975"/>
                <a:chExt cx="594182" cy="843363"/>
              </a:xfrm>
            </xdr:grpSpPr>
            <xdr:sp macro="" textlink="$AA$15">
              <xdr:nvSpPr>
                <xdr:cNvPr id="699" name="Vertical BA">
                  <a:extLst>
                    <a:ext uri="{FF2B5EF4-FFF2-40B4-BE49-F238E27FC236}">
                      <a16:creationId xmlns:a16="http://schemas.microsoft.com/office/drawing/2014/main" id="{C80AF6F9-B75C-CFAC-AB7E-85D2ADB57049}"/>
                    </a:ext>
                  </a:extLst>
                </xdr:cNvPr>
                <xdr:cNvSpPr txBox="1"/>
              </xdr:nvSpPr>
              <xdr:spPr>
                <a:xfrm>
                  <a:off x="10103075"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4693C7F9-C5C4-4D9B-8B20-6D20BE3F0E04}"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AB_Ver">
              <xdr:nvSpPr>
                <xdr:cNvPr id="700" name="L_AB">
                  <a:extLst>
                    <a:ext uri="{FF2B5EF4-FFF2-40B4-BE49-F238E27FC236}">
                      <a16:creationId xmlns:a16="http://schemas.microsoft.com/office/drawing/2014/main" id="{A0F72646-A153-D12B-AE3D-2A8822F561E9}"/>
                    </a:ext>
                  </a:extLst>
                </xdr:cNvPr>
                <xdr:cNvSpPr txBox="1"/>
              </xdr:nvSpPr>
              <xdr:spPr>
                <a:xfrm rot="16200000">
                  <a:off x="977676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0BBCFF5-3C36-4CFD-AAB0-79507C53DED4}" type="TxLink">
                    <a:rPr lang="en-US" sz="900" b="0" i="0" u="none" strike="noStrike">
                      <a:solidFill>
                        <a:srgbClr val="000000"/>
                      </a:solidFill>
                      <a:latin typeface="Calibri"/>
                      <a:ea typeface="Calibri"/>
                      <a:cs typeface="Calibri"/>
                    </a:rPr>
                    <a:pPr algn="ctr"/>
                    <a:t> </a:t>
                  </a:fld>
                  <a:endParaRPr lang="es-ES" sz="1100"/>
                </a:p>
              </xdr:txBody>
            </xdr:sp>
            <xdr:sp macro="" textlink="$Z$15">
              <xdr:nvSpPr>
                <xdr:cNvPr id="701" name="Flecha AB">
                  <a:extLst>
                    <a:ext uri="{FF2B5EF4-FFF2-40B4-BE49-F238E27FC236}">
                      <a16:creationId xmlns:a16="http://schemas.microsoft.com/office/drawing/2014/main" id="{AFD4DD04-0CB0-582A-7169-6ECA5C7AF477}"/>
                    </a:ext>
                  </a:extLst>
                </xdr:cNvPr>
                <xdr:cNvSpPr txBox="1"/>
              </xdr:nvSpPr>
              <xdr:spPr>
                <a:xfrm rot="16200000">
                  <a:off x="9836444" y="7904551"/>
                  <a:ext cx="713169" cy="34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F22FE89-DF16-4C88-803D-A5EB2F15DE5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5">
              <xdr:nvSpPr>
                <xdr:cNvPr id="702" name="Vertical AB">
                  <a:extLst>
                    <a:ext uri="{FF2B5EF4-FFF2-40B4-BE49-F238E27FC236}">
                      <a16:creationId xmlns:a16="http://schemas.microsoft.com/office/drawing/2014/main" id="{98B95110-49DE-5A3B-103E-64F8FC047BB2}"/>
                    </a:ext>
                  </a:extLst>
                </xdr:cNvPr>
                <xdr:cNvSpPr txBox="1"/>
              </xdr:nvSpPr>
              <xdr:spPr>
                <a:xfrm>
                  <a:off x="10099504" y="8337373"/>
                  <a:ext cx="507963"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34732A0-EBB4-48DC-AA26-4C5D2E0E94E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5">
            <xdr:nvSpPr>
              <xdr:cNvPr id="698" name="A">
                <a:extLst>
                  <a:ext uri="{FF2B5EF4-FFF2-40B4-BE49-F238E27FC236}">
                    <a16:creationId xmlns:a16="http://schemas.microsoft.com/office/drawing/2014/main" id="{711CF2A4-CCA7-BA46-1C9C-72E3CCC79C3B}"/>
                  </a:ext>
                </a:extLst>
              </xdr:cNvPr>
              <xdr:cNvSpPr txBox="1"/>
            </xdr:nvSpPr>
            <xdr:spPr>
              <a:xfrm>
                <a:off x="669116" y="8223599"/>
                <a:ext cx="80324" cy="156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C941F89-CD4D-4DCC-BBBA-EAADF87ECBB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93" name="BC">
              <a:extLst>
                <a:ext uri="{FF2B5EF4-FFF2-40B4-BE49-F238E27FC236}">
                  <a16:creationId xmlns:a16="http://schemas.microsoft.com/office/drawing/2014/main" id="{6885A58A-377E-7970-7A4A-E2B5DE6B47DA}"/>
                </a:ext>
              </a:extLst>
            </xdr:cNvPr>
            <xdr:cNvGrpSpPr/>
          </xdr:nvGrpSpPr>
          <xdr:grpSpPr>
            <a:xfrm>
              <a:off x="125083" y="6875559"/>
              <a:ext cx="722173" cy="843871"/>
              <a:chOff x="125083" y="6875559"/>
              <a:chExt cx="722173" cy="843871"/>
            </a:xfrm>
          </xdr:grpSpPr>
          <xdr:sp macro="" textlink="$Y$16">
            <xdr:nvSpPr>
              <xdr:cNvPr id="679" name="Barra BC">
                <a:extLst>
                  <a:ext uri="{FF2B5EF4-FFF2-40B4-BE49-F238E27FC236}">
                    <a16:creationId xmlns:a16="http://schemas.microsoft.com/office/drawing/2014/main" id="{AFE81300-E4EE-8833-F508-690ECF9BC28B}"/>
                  </a:ext>
                </a:extLst>
              </xdr:cNvPr>
              <xdr:cNvSpPr txBox="1"/>
            </xdr:nvSpPr>
            <xdr:spPr>
              <a:xfrm rot="16200000">
                <a:off x="418378" y="7232140"/>
                <a:ext cx="710051" cy="147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1BFEBF3-7E32-471E-A9EE-1ECD42AA8637}"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681" name="Cota">
                <a:extLst>
                  <a:ext uri="{FF2B5EF4-FFF2-40B4-BE49-F238E27FC236}">
                    <a16:creationId xmlns:a16="http://schemas.microsoft.com/office/drawing/2014/main" id="{88DFCB27-32B3-7637-1831-681EF7CBA2CC}"/>
                  </a:ext>
                </a:extLst>
              </xdr:cNvPr>
              <xdr:cNvGrpSpPr/>
            </xdr:nvGrpSpPr>
            <xdr:grpSpPr>
              <a:xfrm>
                <a:off x="125083" y="6875559"/>
                <a:ext cx="564148" cy="839000"/>
                <a:chOff x="10052795" y="7646008"/>
                <a:chExt cx="562869" cy="843332"/>
              </a:xfrm>
            </xdr:grpSpPr>
            <xdr:sp macro="" textlink="AA16">
              <xdr:nvSpPr>
                <xdr:cNvPr id="683" name="Vertical BC">
                  <a:extLst>
                    <a:ext uri="{FF2B5EF4-FFF2-40B4-BE49-F238E27FC236}">
                      <a16:creationId xmlns:a16="http://schemas.microsoft.com/office/drawing/2014/main" id="{219CD2B9-E135-8B80-A114-B9A79B06F454}"/>
                    </a:ext>
                  </a:extLst>
                </xdr:cNvPr>
                <xdr:cNvSpPr txBox="1"/>
              </xdr:nvSpPr>
              <xdr:spPr>
                <a:xfrm>
                  <a:off x="10103080" y="7646008"/>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92B0F44-3B9B-45BB-8E26-687B3FFF21A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BC_Ver">
              <xdr:nvSpPr>
                <xdr:cNvPr id="684" name="L_BC">
                  <a:extLst>
                    <a:ext uri="{FF2B5EF4-FFF2-40B4-BE49-F238E27FC236}">
                      <a16:creationId xmlns:a16="http://schemas.microsoft.com/office/drawing/2014/main" id="{810B4772-DC17-DD51-E75E-7147B68AF5E7}"/>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2C3CA30-478C-4FDB-B934-6699CEB01075}" type="TxLink">
                    <a:rPr lang="en-US" sz="900" b="0" i="0" u="none" strike="noStrike">
                      <a:solidFill>
                        <a:srgbClr val="000000"/>
                      </a:solidFill>
                      <a:latin typeface="Calibri"/>
                      <a:ea typeface="Calibri"/>
                      <a:cs typeface="Calibri"/>
                    </a:rPr>
                    <a:pPr algn="ctr"/>
                    <a:t> </a:t>
                  </a:fld>
                  <a:endParaRPr lang="es-ES" sz="1100"/>
                </a:p>
              </xdr:txBody>
            </xdr:sp>
            <xdr:sp macro="" textlink="Z16">
              <xdr:nvSpPr>
                <xdr:cNvPr id="685" name="Flecha BC">
                  <a:extLst>
                    <a:ext uri="{FF2B5EF4-FFF2-40B4-BE49-F238E27FC236}">
                      <a16:creationId xmlns:a16="http://schemas.microsoft.com/office/drawing/2014/main" id="{275C9959-4C06-93BD-3304-A956A5729B16}"/>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E876628-044B-4069-B4C2-FBE1B43B5F65}"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6">
              <xdr:nvSpPr>
                <xdr:cNvPr id="686" name="Vertical BC">
                  <a:extLst>
                    <a:ext uri="{FF2B5EF4-FFF2-40B4-BE49-F238E27FC236}">
                      <a16:creationId xmlns:a16="http://schemas.microsoft.com/office/drawing/2014/main" id="{56B1F378-15A2-76AB-76A2-D83593CBDA26}"/>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4E0B917-C290-42D9-9BFB-BAD109477DDA}"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6">
            <xdr:nvSpPr>
              <xdr:cNvPr id="682" name="B">
                <a:extLst>
                  <a:ext uri="{FF2B5EF4-FFF2-40B4-BE49-F238E27FC236}">
                    <a16:creationId xmlns:a16="http://schemas.microsoft.com/office/drawing/2014/main" id="{23833AAF-62B8-D2FB-21F0-299E0E019647}"/>
                  </a:ext>
                </a:extLst>
              </xdr:cNvPr>
              <xdr:cNvSpPr txBox="1"/>
            </xdr:nvSpPr>
            <xdr:spPr>
              <a:xfrm>
                <a:off x="681274" y="7562505"/>
                <a:ext cx="80500" cy="156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6E508EC-DE81-48AB-8D07-568C3049B8ED}"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92" name="CD">
              <a:extLst>
                <a:ext uri="{FF2B5EF4-FFF2-40B4-BE49-F238E27FC236}">
                  <a16:creationId xmlns:a16="http://schemas.microsoft.com/office/drawing/2014/main" id="{993DEB76-2309-986A-089B-5A9283E983CF}"/>
                </a:ext>
              </a:extLst>
            </xdr:cNvPr>
            <xdr:cNvGrpSpPr/>
          </xdr:nvGrpSpPr>
          <xdr:grpSpPr>
            <a:xfrm>
              <a:off x="125896" y="6178983"/>
              <a:ext cx="722172" cy="841615"/>
              <a:chOff x="125896" y="6178983"/>
              <a:chExt cx="722172" cy="841615"/>
            </a:xfrm>
          </xdr:grpSpPr>
          <xdr:sp macro="" textlink="Y17">
            <xdr:nvSpPr>
              <xdr:cNvPr id="663" name="Barra CD">
                <a:extLst>
                  <a:ext uri="{FF2B5EF4-FFF2-40B4-BE49-F238E27FC236}">
                    <a16:creationId xmlns:a16="http://schemas.microsoft.com/office/drawing/2014/main" id="{DFBF12A7-6EE1-843F-FA8C-59C5A35E352D}"/>
                  </a:ext>
                </a:extLst>
              </xdr:cNvPr>
              <xdr:cNvSpPr txBox="1"/>
            </xdr:nvSpPr>
            <xdr:spPr>
              <a:xfrm rot="16200000">
                <a:off x="419185" y="6531370"/>
                <a:ext cx="710061" cy="147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5B82EDE-687B-4126-A474-EAAA6659AF20}"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665" name="Cota">
                <a:extLst>
                  <a:ext uri="{FF2B5EF4-FFF2-40B4-BE49-F238E27FC236}">
                    <a16:creationId xmlns:a16="http://schemas.microsoft.com/office/drawing/2014/main" id="{1492B0ED-5A9F-8A8B-F7BF-3836C9550130}"/>
                  </a:ext>
                </a:extLst>
              </xdr:cNvPr>
              <xdr:cNvGrpSpPr/>
            </xdr:nvGrpSpPr>
            <xdr:grpSpPr>
              <a:xfrm>
                <a:off x="125896" y="6178983"/>
                <a:ext cx="564147" cy="841615"/>
                <a:chOff x="10052796" y="7648551"/>
                <a:chExt cx="562868" cy="845947"/>
              </a:xfrm>
            </xdr:grpSpPr>
            <xdr:sp macro="" textlink="AA17">
              <xdr:nvSpPr>
                <xdr:cNvPr id="667" name="Vertical CD">
                  <a:extLst>
                    <a:ext uri="{FF2B5EF4-FFF2-40B4-BE49-F238E27FC236}">
                      <a16:creationId xmlns:a16="http://schemas.microsoft.com/office/drawing/2014/main" id="{0307462B-437C-56A0-B4F8-108466A0675D}"/>
                    </a:ext>
                  </a:extLst>
                </xdr:cNvPr>
                <xdr:cNvSpPr txBox="1"/>
              </xdr:nvSpPr>
              <xdr:spPr>
                <a:xfrm>
                  <a:off x="10103080" y="7648551"/>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27739F2-016D-422A-9C6E-EC93482D870D}"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CE_Ver">
              <xdr:nvSpPr>
                <xdr:cNvPr id="668" name="L_CD">
                  <a:extLst>
                    <a:ext uri="{FF2B5EF4-FFF2-40B4-BE49-F238E27FC236}">
                      <a16:creationId xmlns:a16="http://schemas.microsoft.com/office/drawing/2014/main" id="{93F68A43-46D5-F8CE-E400-EBD055E8082D}"/>
                    </a:ext>
                  </a:extLst>
                </xdr:cNvPr>
                <xdr:cNvSpPr txBox="1"/>
              </xdr:nvSpPr>
              <xdr:spPr>
                <a:xfrm rot="16200000">
                  <a:off x="9776748" y="8005393"/>
                  <a:ext cx="698095"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E453D3E-DE0B-4111-8339-EC6074A0874E}" type="TxLink">
                    <a:rPr lang="en-US" sz="900" b="0" i="0" u="none" strike="noStrike">
                      <a:solidFill>
                        <a:srgbClr val="000000"/>
                      </a:solidFill>
                      <a:latin typeface="Calibri"/>
                      <a:ea typeface="Calibri"/>
                      <a:cs typeface="Calibri"/>
                    </a:rPr>
                    <a:pPr algn="ctr"/>
                    <a:t> </a:t>
                  </a:fld>
                  <a:endParaRPr lang="es-ES" sz="1100"/>
                </a:p>
              </xdr:txBody>
            </xdr:sp>
            <xdr:sp macro="" textlink="Z17">
              <xdr:nvSpPr>
                <xdr:cNvPr id="669" name="Flecha CD">
                  <a:extLst>
                    <a:ext uri="{FF2B5EF4-FFF2-40B4-BE49-F238E27FC236}">
                      <a16:creationId xmlns:a16="http://schemas.microsoft.com/office/drawing/2014/main" id="{F2B6674F-3A64-8F84-3245-6B24F9506F9E}"/>
                    </a:ext>
                  </a:extLst>
                </xdr:cNvPr>
                <xdr:cNvSpPr txBox="1"/>
              </xdr:nvSpPr>
              <xdr:spPr>
                <a:xfrm rot="16200000">
                  <a:off x="9836441" y="8005001"/>
                  <a:ext cx="713170"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C3ACD96-30BC-4EBE-8D42-BC65F92FBA14}"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7">
              <xdr:nvSpPr>
                <xdr:cNvPr id="670" name="Vertical CD">
                  <a:extLst>
                    <a:ext uri="{FF2B5EF4-FFF2-40B4-BE49-F238E27FC236}">
                      <a16:creationId xmlns:a16="http://schemas.microsoft.com/office/drawing/2014/main" id="{FD6BAB94-48E1-E214-6859-6FDFF9951267}"/>
                    </a:ext>
                  </a:extLst>
                </xdr:cNvPr>
                <xdr:cNvSpPr txBox="1"/>
              </xdr:nvSpPr>
              <xdr:spPr>
                <a:xfrm>
                  <a:off x="10099514" y="8342533"/>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BD950AB-3F2E-4A3C-9589-E0BCD1938A34}"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7">
            <xdr:nvSpPr>
              <xdr:cNvPr id="666" name="C">
                <a:extLst>
                  <a:ext uri="{FF2B5EF4-FFF2-40B4-BE49-F238E27FC236}">
                    <a16:creationId xmlns:a16="http://schemas.microsoft.com/office/drawing/2014/main" id="{C86E8143-962B-C84F-D1F2-2ABCF6CEBA55}"/>
                  </a:ext>
                </a:extLst>
              </xdr:cNvPr>
              <xdr:cNvSpPr txBox="1"/>
            </xdr:nvSpPr>
            <xdr:spPr>
              <a:xfrm>
                <a:off x="682086" y="6839887"/>
                <a:ext cx="80500" cy="156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75C3138-160E-47C4-A70A-DD1A5CEF95B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90" name="CE">
              <a:extLst>
                <a:ext uri="{FF2B5EF4-FFF2-40B4-BE49-F238E27FC236}">
                  <a16:creationId xmlns:a16="http://schemas.microsoft.com/office/drawing/2014/main" id="{0532BAC9-C53C-43A7-A169-725D40602A35}"/>
                </a:ext>
              </a:extLst>
            </xdr:cNvPr>
            <xdr:cNvGrpSpPr/>
          </xdr:nvGrpSpPr>
          <xdr:grpSpPr>
            <a:xfrm>
              <a:off x="668240" y="6403653"/>
              <a:ext cx="919793" cy="356043"/>
              <a:chOff x="668240" y="6403653"/>
              <a:chExt cx="919793" cy="356043"/>
            </a:xfrm>
          </xdr:grpSpPr>
          <xdr:sp macro="" textlink="$Y$19">
            <xdr:nvSpPr>
              <xdr:cNvPr id="651" name="Barra CD'">
                <a:extLst>
                  <a:ext uri="{FF2B5EF4-FFF2-40B4-BE49-F238E27FC236}">
                    <a16:creationId xmlns:a16="http://schemas.microsoft.com/office/drawing/2014/main" id="{186340EF-3675-034D-9675-707DA46302FC}"/>
                  </a:ext>
                </a:extLst>
              </xdr:cNvPr>
              <xdr:cNvSpPr txBox="1"/>
            </xdr:nvSpPr>
            <xdr:spPr>
              <a:xfrm rot="18900000">
                <a:off x="668240" y="6613352"/>
                <a:ext cx="716383" cy="146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27EDB3EC-E12E-4F9F-A36B-54E124C4C4D9}" type="TxLink">
                  <a:rPr lang="en-US" sz="2200" b="1" i="0" u="none" strike="noStrike">
                    <a:solidFill>
                      <a:srgbClr val="000000"/>
                    </a:solidFill>
                    <a:latin typeface="Calibri"/>
                    <a:ea typeface="Calibri"/>
                    <a:cs typeface="Calibri"/>
                  </a:rPr>
                  <a:pPr algn="l"/>
                  <a:t> </a:t>
                </a:fld>
                <a:endParaRPr lang="es-ES" sz="1400" b="1">
                  <a:solidFill>
                    <a:srgbClr val="0070C0"/>
                  </a:solidFill>
                </a:endParaRPr>
              </a:p>
            </xdr:txBody>
          </xdr:sp>
          <xdr:sp macro="" textlink="$Y$19">
            <xdr:nvSpPr>
              <xdr:cNvPr id="652" name="Barra D'E">
                <a:extLst>
                  <a:ext uri="{FF2B5EF4-FFF2-40B4-BE49-F238E27FC236}">
                    <a16:creationId xmlns:a16="http://schemas.microsoft.com/office/drawing/2014/main" id="{AD96BEBD-9339-8D36-68B7-0A6AD9545A7D}"/>
                  </a:ext>
                </a:extLst>
              </xdr:cNvPr>
              <xdr:cNvSpPr txBox="1"/>
            </xdr:nvSpPr>
            <xdr:spPr>
              <a:xfrm rot="18900000">
                <a:off x="879884" y="6403653"/>
                <a:ext cx="708149" cy="147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EB5840AD-129D-4C98-BB51-5AEB72AC0C98}" type="TxLink">
                  <a:rPr lang="en-US" sz="2200" b="1" i="0" u="none" strike="noStrike">
                    <a:solidFill>
                      <a:srgbClr val="000000"/>
                    </a:solidFill>
                    <a:latin typeface="Calibri"/>
                    <a:ea typeface="Calibri"/>
                    <a:cs typeface="Calibri"/>
                  </a:rPr>
                  <a:pPr algn="r"/>
                  <a:t> </a:t>
                </a:fld>
                <a:endParaRPr lang="es-ES" sz="1400" b="1">
                  <a:solidFill>
                    <a:srgbClr val="0070C0"/>
                  </a:solidFill>
                </a:endParaRPr>
              </a:p>
            </xdr:txBody>
          </xdr:sp>
          <xdr:sp macro="" textlink="$V$19">
            <xdr:nvSpPr>
              <xdr:cNvPr id="656" name="D'">
                <a:extLst>
                  <a:ext uri="{FF2B5EF4-FFF2-40B4-BE49-F238E27FC236}">
                    <a16:creationId xmlns:a16="http://schemas.microsoft.com/office/drawing/2014/main" id="{9EF7DD58-0CCF-DAFF-70BA-B93A3D30BD1F}"/>
                  </a:ext>
                </a:extLst>
              </xdr:cNvPr>
              <xdr:cNvSpPr txBox="1"/>
            </xdr:nvSpPr>
            <xdr:spPr>
              <a:xfrm>
                <a:off x="1188100" y="6553728"/>
                <a:ext cx="100235" cy="142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EE2547F-BA36-40FD-A49C-1E87E91C19C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84" name="DE">
              <a:extLst>
                <a:ext uri="{FF2B5EF4-FFF2-40B4-BE49-F238E27FC236}">
                  <a16:creationId xmlns:a16="http://schemas.microsoft.com/office/drawing/2014/main" id="{419D9FD5-2D1A-9252-BF40-C8D81A23170B}"/>
                </a:ext>
              </a:extLst>
            </xdr:cNvPr>
            <xdr:cNvGrpSpPr/>
          </xdr:nvGrpSpPr>
          <xdr:grpSpPr>
            <a:xfrm>
              <a:off x="731773" y="5581666"/>
              <a:ext cx="837188" cy="802404"/>
              <a:chOff x="735805" y="5573602"/>
              <a:chExt cx="837188" cy="800387"/>
            </a:xfrm>
          </xdr:grpSpPr>
          <xdr:sp macro="" textlink="$Y$18">
            <xdr:nvSpPr>
              <xdr:cNvPr id="635" name="Barra DE">
                <a:extLst>
                  <a:ext uri="{FF2B5EF4-FFF2-40B4-BE49-F238E27FC236}">
                    <a16:creationId xmlns:a16="http://schemas.microsoft.com/office/drawing/2014/main" id="{51CC0976-C0A0-82C1-36E2-9C28B838FA1C}"/>
                  </a:ext>
                </a:extLst>
              </xdr:cNvPr>
              <xdr:cNvSpPr txBox="1"/>
            </xdr:nvSpPr>
            <xdr:spPr>
              <a:xfrm>
                <a:off x="790890" y="6144885"/>
                <a:ext cx="708490" cy="146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6F2301B-D37C-414D-9ADF-9C98E762B20A}"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637" name="Cota">
                <a:extLst>
                  <a:ext uri="{FF2B5EF4-FFF2-40B4-BE49-F238E27FC236}">
                    <a16:creationId xmlns:a16="http://schemas.microsoft.com/office/drawing/2014/main" id="{0028D423-AF1D-4B02-6A9B-51C201D22303}"/>
                  </a:ext>
                </a:extLst>
              </xdr:cNvPr>
              <xdr:cNvGrpSpPr/>
            </xdr:nvGrpSpPr>
            <xdr:grpSpPr>
              <a:xfrm rot="5400000">
                <a:off x="873889" y="5435518"/>
                <a:ext cx="561020" cy="837188"/>
                <a:chOff x="10052795" y="7645975"/>
                <a:chExt cx="562869" cy="843365"/>
              </a:xfrm>
            </xdr:grpSpPr>
            <xdr:sp macro="" textlink="AA18">
              <xdr:nvSpPr>
                <xdr:cNvPr id="639" name="Vertical DE">
                  <a:extLst>
                    <a:ext uri="{FF2B5EF4-FFF2-40B4-BE49-F238E27FC236}">
                      <a16:creationId xmlns:a16="http://schemas.microsoft.com/office/drawing/2014/main" id="{D3E7F131-9D8D-7D55-618E-D0C166F5EF95}"/>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355E5C9-0FEF-4C2D-A8EF-D84941B196C5}"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DE_Ver">
              <xdr:nvSpPr>
                <xdr:cNvPr id="640" name="L_DE">
                  <a:extLst>
                    <a:ext uri="{FF2B5EF4-FFF2-40B4-BE49-F238E27FC236}">
                      <a16:creationId xmlns:a16="http://schemas.microsoft.com/office/drawing/2014/main" id="{236D3A08-FCBF-98CF-BE28-901F64ECA118}"/>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2555706-2595-48C6-9B3E-7C38C2B65A03}" type="TxLink">
                    <a:rPr lang="en-US" sz="900" b="0" i="0" u="none" strike="noStrike">
                      <a:solidFill>
                        <a:srgbClr val="000000"/>
                      </a:solidFill>
                      <a:latin typeface="Calibri"/>
                      <a:ea typeface="Calibri"/>
                      <a:cs typeface="Calibri"/>
                    </a:rPr>
                    <a:pPr algn="ctr"/>
                    <a:t> </a:t>
                  </a:fld>
                  <a:endParaRPr lang="es-ES" sz="1100"/>
                </a:p>
              </xdr:txBody>
            </xdr:sp>
            <xdr:sp macro="" textlink="$Z$18">
              <xdr:nvSpPr>
                <xdr:cNvPr id="641" name="Flecha DE">
                  <a:extLst>
                    <a:ext uri="{FF2B5EF4-FFF2-40B4-BE49-F238E27FC236}">
                      <a16:creationId xmlns:a16="http://schemas.microsoft.com/office/drawing/2014/main" id="{A410C18F-3485-97F0-C4CC-F95F25BE8119}"/>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BC9EBCE-CAD1-4450-9902-0DBE415055E1}"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8">
              <xdr:nvSpPr>
                <xdr:cNvPr id="642" name="Vertical DE">
                  <a:extLst>
                    <a:ext uri="{FF2B5EF4-FFF2-40B4-BE49-F238E27FC236}">
                      <a16:creationId xmlns:a16="http://schemas.microsoft.com/office/drawing/2014/main" id="{60462A22-6A6E-08F5-7A8E-6D19982D3D39}"/>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E615C7E-5925-4A57-A88B-E17A858BE48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8">
            <xdr:nvSpPr>
              <xdr:cNvPr id="638" name="D">
                <a:extLst>
                  <a:ext uri="{FF2B5EF4-FFF2-40B4-BE49-F238E27FC236}">
                    <a16:creationId xmlns:a16="http://schemas.microsoft.com/office/drawing/2014/main" id="{443CA0D0-2097-AB71-937E-90C9A939A23B}"/>
                  </a:ext>
                </a:extLst>
              </xdr:cNvPr>
              <xdr:cNvSpPr txBox="1"/>
            </xdr:nvSpPr>
            <xdr:spPr>
              <a:xfrm>
                <a:off x="832707" y="6218381"/>
                <a:ext cx="80554" cy="155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A132369-0CDF-415B-B5C7-B3D7EE5D57BD}"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67" name="EF">
              <a:extLst>
                <a:ext uri="{FF2B5EF4-FFF2-40B4-BE49-F238E27FC236}">
                  <a16:creationId xmlns:a16="http://schemas.microsoft.com/office/drawing/2014/main" id="{E24C59B2-36A9-913A-FFA5-78A9EF741D24}"/>
                </a:ext>
              </a:extLst>
            </xdr:cNvPr>
            <xdr:cNvGrpSpPr/>
          </xdr:nvGrpSpPr>
          <xdr:grpSpPr>
            <a:xfrm>
              <a:off x="1429956" y="5580656"/>
              <a:ext cx="836070" cy="721292"/>
              <a:chOff x="1433988" y="5572593"/>
              <a:chExt cx="838085" cy="719275"/>
            </a:xfrm>
          </xdr:grpSpPr>
          <xdr:sp macro="" textlink="Y20">
            <xdr:nvSpPr>
              <xdr:cNvPr id="619" name="Barra EF">
                <a:extLst>
                  <a:ext uri="{FF2B5EF4-FFF2-40B4-BE49-F238E27FC236}">
                    <a16:creationId xmlns:a16="http://schemas.microsoft.com/office/drawing/2014/main" id="{D9947D9B-1C68-8E50-542D-2A0A03BDA11B}"/>
                  </a:ext>
                </a:extLst>
              </xdr:cNvPr>
              <xdr:cNvSpPr txBox="1"/>
            </xdr:nvSpPr>
            <xdr:spPr>
              <a:xfrm>
                <a:off x="1489137" y="6144755"/>
                <a:ext cx="709247" cy="147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2E3CEB3-0ACC-4944-83C4-A65FDCAB2C8C}"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621" name="Cota">
                <a:extLst>
                  <a:ext uri="{FF2B5EF4-FFF2-40B4-BE49-F238E27FC236}">
                    <a16:creationId xmlns:a16="http://schemas.microsoft.com/office/drawing/2014/main" id="{694FD11C-7D78-EFA5-F10B-0C59ACFA7A40}"/>
                  </a:ext>
                </a:extLst>
              </xdr:cNvPr>
              <xdr:cNvGrpSpPr/>
            </xdr:nvGrpSpPr>
            <xdr:grpSpPr>
              <a:xfrm rot="5400000">
                <a:off x="1572088" y="5434493"/>
                <a:ext cx="561885" cy="838085"/>
                <a:chOff x="10052795" y="7645975"/>
                <a:chExt cx="562869" cy="843370"/>
              </a:xfrm>
            </xdr:grpSpPr>
            <xdr:sp macro="" textlink="AA20">
              <xdr:nvSpPr>
                <xdr:cNvPr id="623" name="Vertical EF">
                  <a:extLst>
                    <a:ext uri="{FF2B5EF4-FFF2-40B4-BE49-F238E27FC236}">
                      <a16:creationId xmlns:a16="http://schemas.microsoft.com/office/drawing/2014/main" id="{03B47395-39FF-6874-C53D-45A464F28A42}"/>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E9DF117-68C0-408F-8BA8-60A1C8541F6E}"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EF_Ver">
              <xdr:nvSpPr>
                <xdr:cNvPr id="624" name="L_EF">
                  <a:extLst>
                    <a:ext uri="{FF2B5EF4-FFF2-40B4-BE49-F238E27FC236}">
                      <a16:creationId xmlns:a16="http://schemas.microsoft.com/office/drawing/2014/main" id="{43075E08-785D-1EFC-578D-72356454A1B9}"/>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B7CD2AC-7F72-4490-A3C8-5739EE1AB2D0}" type="TxLink">
                    <a:rPr lang="en-US" sz="900" b="0" i="0" u="none" strike="noStrike">
                      <a:solidFill>
                        <a:srgbClr val="000000"/>
                      </a:solidFill>
                      <a:latin typeface="Calibri"/>
                      <a:ea typeface="Calibri"/>
                      <a:cs typeface="Calibri"/>
                    </a:rPr>
                    <a:pPr algn="ctr"/>
                    <a:t> </a:t>
                  </a:fld>
                  <a:endParaRPr lang="es-ES" sz="1100"/>
                </a:p>
              </xdr:txBody>
            </xdr:sp>
            <xdr:sp macro="" textlink="Z20">
              <xdr:nvSpPr>
                <xdr:cNvPr id="625" name="Flecha EF">
                  <a:extLst>
                    <a:ext uri="{FF2B5EF4-FFF2-40B4-BE49-F238E27FC236}">
                      <a16:creationId xmlns:a16="http://schemas.microsoft.com/office/drawing/2014/main" id="{78E8984B-675B-ED15-1F1E-44A477B2899C}"/>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1AAC797-D29B-463C-AA6C-7673F9C537BD}"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0">
              <xdr:nvSpPr>
                <xdr:cNvPr id="626" name="Vertical EF">
                  <a:extLst>
                    <a:ext uri="{FF2B5EF4-FFF2-40B4-BE49-F238E27FC236}">
                      <a16:creationId xmlns:a16="http://schemas.microsoft.com/office/drawing/2014/main" id="{BA458232-E665-DD18-1325-44CC5A0F9FC0}"/>
                    </a:ext>
                  </a:extLst>
                </xdr:cNvPr>
                <xdr:cNvSpPr txBox="1"/>
              </xdr:nvSpPr>
              <xdr:spPr>
                <a:xfrm>
                  <a:off x="10099512" y="8337379"/>
                  <a:ext cx="507965" cy="151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4FE3732-5FD9-490E-B797-8C0615D2FEE3}"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0">
            <xdr:nvSpPr>
              <xdr:cNvPr id="622" name="E">
                <a:extLst>
                  <a:ext uri="{FF2B5EF4-FFF2-40B4-BE49-F238E27FC236}">
                    <a16:creationId xmlns:a16="http://schemas.microsoft.com/office/drawing/2014/main" id="{522D3900-A5F1-F99F-B4B6-7970C6EE235E}"/>
                  </a:ext>
                </a:extLst>
              </xdr:cNvPr>
              <xdr:cNvSpPr txBox="1"/>
            </xdr:nvSpPr>
            <xdr:spPr>
              <a:xfrm>
                <a:off x="1502248" y="6073627"/>
                <a:ext cx="80640" cy="155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9A2C873-0EA0-46CD-96C2-9CB17A52E34A}"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50" name="FG">
              <a:extLst>
                <a:ext uri="{FF2B5EF4-FFF2-40B4-BE49-F238E27FC236}">
                  <a16:creationId xmlns:a16="http://schemas.microsoft.com/office/drawing/2014/main" id="{7E1B1500-41FF-BF54-ACAB-E928950BB197}"/>
                </a:ext>
              </a:extLst>
            </xdr:cNvPr>
            <xdr:cNvGrpSpPr/>
          </xdr:nvGrpSpPr>
          <xdr:grpSpPr>
            <a:xfrm>
              <a:off x="2125265" y="5581456"/>
              <a:ext cx="833683" cy="721597"/>
              <a:chOff x="2130305" y="5573393"/>
              <a:chExt cx="834691" cy="719580"/>
            </a:xfrm>
          </xdr:grpSpPr>
          <xdr:sp macro="" textlink="Y21">
            <xdr:nvSpPr>
              <xdr:cNvPr id="603" name="Barra FG">
                <a:extLst>
                  <a:ext uri="{FF2B5EF4-FFF2-40B4-BE49-F238E27FC236}">
                    <a16:creationId xmlns:a16="http://schemas.microsoft.com/office/drawing/2014/main" id="{7BB363E3-3307-BB84-1563-CFC2BCB781A6}"/>
                  </a:ext>
                </a:extLst>
              </xdr:cNvPr>
              <xdr:cNvSpPr txBox="1"/>
            </xdr:nvSpPr>
            <xdr:spPr>
              <a:xfrm>
                <a:off x="2185227" y="6145798"/>
                <a:ext cx="706377" cy="14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B6F954A-E0D3-40AD-9E8E-885CDCAB9DB3}"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605" name="Cota">
                <a:extLst>
                  <a:ext uri="{FF2B5EF4-FFF2-40B4-BE49-F238E27FC236}">
                    <a16:creationId xmlns:a16="http://schemas.microsoft.com/office/drawing/2014/main" id="{D19441E0-BC84-0815-9595-4CDE3F113F2F}"/>
                  </a:ext>
                </a:extLst>
              </xdr:cNvPr>
              <xdr:cNvGrpSpPr/>
            </xdr:nvGrpSpPr>
            <xdr:grpSpPr>
              <a:xfrm rot="5400000">
                <a:off x="2266590" y="5437108"/>
                <a:ext cx="562122" cy="834691"/>
                <a:chOff x="10052795" y="7645975"/>
                <a:chExt cx="562869" cy="843365"/>
              </a:xfrm>
            </xdr:grpSpPr>
            <xdr:sp macro="" textlink="AA21">
              <xdr:nvSpPr>
                <xdr:cNvPr id="607" name="Vertical FG">
                  <a:extLst>
                    <a:ext uri="{FF2B5EF4-FFF2-40B4-BE49-F238E27FC236}">
                      <a16:creationId xmlns:a16="http://schemas.microsoft.com/office/drawing/2014/main" id="{31438063-2092-201E-C93A-25122FDF1099}"/>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23BC6CF-5B2C-489C-ACD1-9A0C1F83B1A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FG_Ver">
              <xdr:nvSpPr>
                <xdr:cNvPr id="608" name="L_FG">
                  <a:extLst>
                    <a:ext uri="{FF2B5EF4-FFF2-40B4-BE49-F238E27FC236}">
                      <a16:creationId xmlns:a16="http://schemas.microsoft.com/office/drawing/2014/main" id="{A80EED38-0A69-0791-0833-4B744F547461}"/>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9E64977-AA83-40B4-9E9E-0F660F1B443F}" type="TxLink">
                    <a:rPr lang="en-US" sz="900" b="0" i="0" u="none" strike="noStrike">
                      <a:solidFill>
                        <a:srgbClr val="000000"/>
                      </a:solidFill>
                      <a:latin typeface="Calibri"/>
                      <a:ea typeface="Calibri"/>
                      <a:cs typeface="Calibri"/>
                    </a:rPr>
                    <a:pPr algn="ctr"/>
                    <a:t> </a:t>
                  </a:fld>
                  <a:endParaRPr lang="es-ES" sz="1100"/>
                </a:p>
              </xdr:txBody>
            </xdr:sp>
            <xdr:sp macro="" textlink="Z21">
              <xdr:nvSpPr>
                <xdr:cNvPr id="609" name="Flecha FG">
                  <a:extLst>
                    <a:ext uri="{FF2B5EF4-FFF2-40B4-BE49-F238E27FC236}">
                      <a16:creationId xmlns:a16="http://schemas.microsoft.com/office/drawing/2014/main" id="{79AE1762-734E-D7A7-55A3-A70CA7BF0038}"/>
                    </a:ext>
                  </a:extLst>
                </xdr:cNvPr>
                <xdr:cNvSpPr txBox="1"/>
              </xdr:nvSpPr>
              <xdr:spPr>
                <a:xfrm rot="16200000">
                  <a:off x="9836442"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CA22EB8-66DC-4F33-9234-0B2EDFC526B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1">
              <xdr:nvSpPr>
                <xdr:cNvPr id="610" name="Vertical FG">
                  <a:extLst>
                    <a:ext uri="{FF2B5EF4-FFF2-40B4-BE49-F238E27FC236}">
                      <a16:creationId xmlns:a16="http://schemas.microsoft.com/office/drawing/2014/main" id="{A31F19DA-7308-4207-D458-50E9AB5F2A03}"/>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067F3C4F-B9B2-4D52-8251-22F7882B7730}"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1">
            <xdr:nvSpPr>
              <xdr:cNvPr id="606" name="F">
                <a:extLst>
                  <a:ext uri="{FF2B5EF4-FFF2-40B4-BE49-F238E27FC236}">
                    <a16:creationId xmlns:a16="http://schemas.microsoft.com/office/drawing/2014/main" id="{D2C029B6-6BCF-15A1-818B-13F6FA19F5DE}"/>
                  </a:ext>
                </a:extLst>
              </xdr:cNvPr>
              <xdr:cNvSpPr txBox="1"/>
            </xdr:nvSpPr>
            <xdr:spPr>
              <a:xfrm>
                <a:off x="2144905" y="6082414"/>
                <a:ext cx="80314" cy="155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7862DE9-A6B6-4C94-B683-6F285A3081A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49" name="GH">
              <a:extLst>
                <a:ext uri="{FF2B5EF4-FFF2-40B4-BE49-F238E27FC236}">
                  <a16:creationId xmlns:a16="http://schemas.microsoft.com/office/drawing/2014/main" id="{266C7B6F-4C1D-FBCC-47CF-008E1762BBC5}"/>
                </a:ext>
              </a:extLst>
            </xdr:cNvPr>
            <xdr:cNvGrpSpPr/>
          </xdr:nvGrpSpPr>
          <xdr:grpSpPr>
            <a:xfrm>
              <a:off x="2823267" y="5581351"/>
              <a:ext cx="832124" cy="719892"/>
              <a:chOff x="2829314" y="5573285"/>
              <a:chExt cx="833133" cy="718084"/>
            </a:xfrm>
          </xdr:grpSpPr>
          <xdr:sp macro="" textlink="Y22">
            <xdr:nvSpPr>
              <xdr:cNvPr id="587" name="Barra GH">
                <a:extLst>
                  <a:ext uri="{FF2B5EF4-FFF2-40B4-BE49-F238E27FC236}">
                    <a16:creationId xmlns:a16="http://schemas.microsoft.com/office/drawing/2014/main" id="{B1A7D7EE-A289-54A9-3F60-E1F9D62A88BC}"/>
                  </a:ext>
                </a:extLst>
              </xdr:cNvPr>
              <xdr:cNvSpPr txBox="1"/>
            </xdr:nvSpPr>
            <xdr:spPr>
              <a:xfrm>
                <a:off x="2884132" y="6144500"/>
                <a:ext cx="705058" cy="146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D485DA8-4EAB-4F58-9963-44B732A1C71B}"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589" name="Cota">
                <a:extLst>
                  <a:ext uri="{FF2B5EF4-FFF2-40B4-BE49-F238E27FC236}">
                    <a16:creationId xmlns:a16="http://schemas.microsoft.com/office/drawing/2014/main" id="{93D2BF46-5EB4-3968-FD22-52BFAC6712B1}"/>
                  </a:ext>
                </a:extLst>
              </xdr:cNvPr>
              <xdr:cNvGrpSpPr/>
            </xdr:nvGrpSpPr>
            <xdr:grpSpPr>
              <a:xfrm rot="5400000">
                <a:off x="2965404" y="5437195"/>
                <a:ext cx="560953" cy="833133"/>
                <a:chOff x="10052795" y="7645975"/>
                <a:chExt cx="562869" cy="843365"/>
              </a:xfrm>
            </xdr:grpSpPr>
            <xdr:sp macro="" textlink="AA22">
              <xdr:nvSpPr>
                <xdr:cNvPr id="591" name="Vertical GH">
                  <a:extLst>
                    <a:ext uri="{FF2B5EF4-FFF2-40B4-BE49-F238E27FC236}">
                      <a16:creationId xmlns:a16="http://schemas.microsoft.com/office/drawing/2014/main" id="{2F7F1ACF-C922-F904-1380-5500DC7BE691}"/>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79C4BA0-32F1-458B-BCEF-3F2BCF5357C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GH_Ver">
              <xdr:nvSpPr>
                <xdr:cNvPr id="592" name="L_GH">
                  <a:extLst>
                    <a:ext uri="{FF2B5EF4-FFF2-40B4-BE49-F238E27FC236}">
                      <a16:creationId xmlns:a16="http://schemas.microsoft.com/office/drawing/2014/main" id="{C23B9C20-5FC4-A1FF-1FAF-394CECA3B63F}"/>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2080048-0BE5-4EBE-81FA-4FD543DAD156}" type="TxLink">
                    <a:rPr lang="en-US" sz="900" b="0" i="0" u="none" strike="noStrike">
                      <a:solidFill>
                        <a:srgbClr val="000000"/>
                      </a:solidFill>
                      <a:latin typeface="Calibri"/>
                      <a:ea typeface="Calibri"/>
                      <a:cs typeface="Calibri"/>
                    </a:rPr>
                    <a:pPr algn="ctr"/>
                    <a:t> </a:t>
                  </a:fld>
                  <a:endParaRPr lang="es-ES" sz="1100"/>
                </a:p>
              </xdr:txBody>
            </xdr:sp>
            <xdr:sp macro="" textlink="Z22">
              <xdr:nvSpPr>
                <xdr:cNvPr id="593" name="Flecha GH">
                  <a:extLst>
                    <a:ext uri="{FF2B5EF4-FFF2-40B4-BE49-F238E27FC236}">
                      <a16:creationId xmlns:a16="http://schemas.microsoft.com/office/drawing/2014/main" id="{BD199A8D-F5F5-8901-107A-F637CF13A7FC}"/>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AD451FA8-43EB-47BD-ADD3-D9FAC75E2C07}"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2">
              <xdr:nvSpPr>
                <xdr:cNvPr id="594" name="Vertical GH">
                  <a:extLst>
                    <a:ext uri="{FF2B5EF4-FFF2-40B4-BE49-F238E27FC236}">
                      <a16:creationId xmlns:a16="http://schemas.microsoft.com/office/drawing/2014/main" id="{80CA9182-83C3-D4E8-5DD1-CF2CF697F57B}"/>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B9AC266-DEFF-4E20-9604-8548FD704EB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2">
            <xdr:nvSpPr>
              <xdr:cNvPr id="590" name="G">
                <a:extLst>
                  <a:ext uri="{FF2B5EF4-FFF2-40B4-BE49-F238E27FC236}">
                    <a16:creationId xmlns:a16="http://schemas.microsoft.com/office/drawing/2014/main" id="{50ECDDFB-132C-2B89-AF89-87BD114CB822}"/>
                  </a:ext>
                </a:extLst>
              </xdr:cNvPr>
              <xdr:cNvSpPr txBox="1"/>
            </xdr:nvSpPr>
            <xdr:spPr>
              <a:xfrm>
                <a:off x="2880380" y="6080315"/>
                <a:ext cx="80164" cy="1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D94B6C4-C25D-4265-BD81-F9CA7E9125D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88" name="HI">
              <a:extLst>
                <a:ext uri="{FF2B5EF4-FFF2-40B4-BE49-F238E27FC236}">
                  <a16:creationId xmlns:a16="http://schemas.microsoft.com/office/drawing/2014/main" id="{E7E3D37A-D315-FBC7-43E1-038608091A4C}"/>
                </a:ext>
              </a:extLst>
            </xdr:cNvPr>
            <xdr:cNvGrpSpPr/>
          </xdr:nvGrpSpPr>
          <xdr:grpSpPr>
            <a:xfrm>
              <a:off x="3516789" y="5581245"/>
              <a:ext cx="834642" cy="722537"/>
              <a:chOff x="3516789" y="5581245"/>
              <a:chExt cx="834642" cy="722537"/>
            </a:xfrm>
          </xdr:grpSpPr>
          <xdr:sp macro="" textlink="Y23">
            <xdr:nvSpPr>
              <xdr:cNvPr id="563" name="Barra HI">
                <a:extLst>
                  <a:ext uri="{FF2B5EF4-FFF2-40B4-BE49-F238E27FC236}">
                    <a16:creationId xmlns:a16="http://schemas.microsoft.com/office/drawing/2014/main" id="{5157AA8E-3FED-3B7D-8809-A792B6E598F4}"/>
                  </a:ext>
                </a:extLst>
              </xdr:cNvPr>
              <xdr:cNvSpPr txBox="1"/>
            </xdr:nvSpPr>
            <xdr:spPr>
              <a:xfrm>
                <a:off x="3571707" y="6156002"/>
                <a:ext cx="706336" cy="147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5D754A1-A461-4545-9FD2-EBC2A9A9C435}"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565" name="Cota">
                <a:extLst>
                  <a:ext uri="{FF2B5EF4-FFF2-40B4-BE49-F238E27FC236}">
                    <a16:creationId xmlns:a16="http://schemas.microsoft.com/office/drawing/2014/main" id="{5BC3803F-54C7-1999-CC0F-461D8629F2BA}"/>
                  </a:ext>
                </a:extLst>
              </xdr:cNvPr>
              <xdr:cNvGrpSpPr/>
            </xdr:nvGrpSpPr>
            <xdr:grpSpPr>
              <a:xfrm rot="5400000">
                <a:off x="3651894" y="5446140"/>
                <a:ext cx="564431" cy="834642"/>
                <a:chOff x="10052795" y="7645975"/>
                <a:chExt cx="562869" cy="843365"/>
              </a:xfrm>
            </xdr:grpSpPr>
            <xdr:sp macro="" textlink="AA23">
              <xdr:nvSpPr>
                <xdr:cNvPr id="575" name="Vertical HI">
                  <a:extLst>
                    <a:ext uri="{FF2B5EF4-FFF2-40B4-BE49-F238E27FC236}">
                      <a16:creationId xmlns:a16="http://schemas.microsoft.com/office/drawing/2014/main" id="{41AD9FF6-B1A1-F6D9-CB3E-C73BDEE9E3ED}"/>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68A0A2-E164-4BE0-831B-FD244DD9D405}"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HI_Ver">
              <xdr:nvSpPr>
                <xdr:cNvPr id="576" name="L_HI">
                  <a:extLst>
                    <a:ext uri="{FF2B5EF4-FFF2-40B4-BE49-F238E27FC236}">
                      <a16:creationId xmlns:a16="http://schemas.microsoft.com/office/drawing/2014/main" id="{85765894-5D5E-49DB-F294-519861B9E082}"/>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1B26902-5A3A-4BE8-AAE2-639B701F5796}" type="TxLink">
                    <a:rPr lang="en-US" sz="900" b="0" i="0" u="none" strike="noStrike">
                      <a:solidFill>
                        <a:srgbClr val="000000"/>
                      </a:solidFill>
                      <a:latin typeface="Calibri"/>
                      <a:ea typeface="Calibri"/>
                      <a:cs typeface="Calibri"/>
                    </a:rPr>
                    <a:pPr algn="ctr"/>
                    <a:t> </a:t>
                  </a:fld>
                  <a:endParaRPr lang="es-ES" sz="1100"/>
                </a:p>
              </xdr:txBody>
            </xdr:sp>
            <xdr:sp macro="" textlink="Z23">
              <xdr:nvSpPr>
                <xdr:cNvPr id="577" name="Flecha HI">
                  <a:extLst>
                    <a:ext uri="{FF2B5EF4-FFF2-40B4-BE49-F238E27FC236}">
                      <a16:creationId xmlns:a16="http://schemas.microsoft.com/office/drawing/2014/main" id="{CADEAB07-7E2A-EEB6-D663-3A824B8D1F15}"/>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61D91B5-1880-40AC-BB05-13DF3013DD26}"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3">
              <xdr:nvSpPr>
                <xdr:cNvPr id="578" name="Vertical HI">
                  <a:extLst>
                    <a:ext uri="{FF2B5EF4-FFF2-40B4-BE49-F238E27FC236}">
                      <a16:creationId xmlns:a16="http://schemas.microsoft.com/office/drawing/2014/main" id="{260795BE-EA3B-CEB6-ECCD-1902BDC2AD9A}"/>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72CEEE-3050-45F9-A312-B707D07567AF}"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4">
            <xdr:nvSpPr>
              <xdr:cNvPr id="567" name="I">
                <a:extLst>
                  <a:ext uri="{FF2B5EF4-FFF2-40B4-BE49-F238E27FC236}">
                    <a16:creationId xmlns:a16="http://schemas.microsoft.com/office/drawing/2014/main" id="{A0B4DA61-1631-426B-8CF6-871757DB69FA}"/>
                  </a:ext>
                </a:extLst>
              </xdr:cNvPr>
              <xdr:cNvSpPr txBox="1"/>
            </xdr:nvSpPr>
            <xdr:spPr>
              <a:xfrm>
                <a:off x="4200821" y="6077426"/>
                <a:ext cx="80310" cy="156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D2E3662-723B-4A52-A11A-505F5CFCEC6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V$23">
            <xdr:nvSpPr>
              <xdr:cNvPr id="568" name="H">
                <a:extLst>
                  <a:ext uri="{FF2B5EF4-FFF2-40B4-BE49-F238E27FC236}">
                    <a16:creationId xmlns:a16="http://schemas.microsoft.com/office/drawing/2014/main" id="{FA0BD553-8C78-1672-773F-EA482F47871D}"/>
                  </a:ext>
                </a:extLst>
              </xdr:cNvPr>
              <xdr:cNvSpPr txBox="1"/>
            </xdr:nvSpPr>
            <xdr:spPr>
              <a:xfrm>
                <a:off x="3531387" y="6092357"/>
                <a:ext cx="80310" cy="156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0966678-12B5-4FD9-80AA-FBD04E725B0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47" name="GJ">
              <a:extLst>
                <a:ext uri="{FF2B5EF4-FFF2-40B4-BE49-F238E27FC236}">
                  <a16:creationId xmlns:a16="http://schemas.microsoft.com/office/drawing/2014/main" id="{557469A9-4416-80D8-3A0F-6C1855E6ACA3}"/>
                </a:ext>
              </a:extLst>
            </xdr:cNvPr>
            <xdr:cNvGrpSpPr/>
          </xdr:nvGrpSpPr>
          <xdr:grpSpPr>
            <a:xfrm>
              <a:off x="2215821" y="6178904"/>
              <a:ext cx="752912" cy="910214"/>
              <a:chOff x="2220861" y="6169832"/>
              <a:chExt cx="753920" cy="905175"/>
            </a:xfrm>
          </xdr:grpSpPr>
          <xdr:sp macro="" textlink="Y24">
            <xdr:nvSpPr>
              <xdr:cNvPr id="547" name="Barra GJ">
                <a:extLst>
                  <a:ext uri="{FF2B5EF4-FFF2-40B4-BE49-F238E27FC236}">
                    <a16:creationId xmlns:a16="http://schemas.microsoft.com/office/drawing/2014/main" id="{FC78E80F-CFF1-3D9F-1083-1CA9880049F1}"/>
                  </a:ext>
                </a:extLst>
              </xdr:cNvPr>
              <xdr:cNvSpPr txBox="1"/>
            </xdr:nvSpPr>
            <xdr:spPr>
              <a:xfrm rot="16200000">
                <a:off x="2513329" y="6522661"/>
                <a:ext cx="706003" cy="147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3611BA8-CA19-4719-9308-2A9E616E8D7E}"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549" name="Cota">
                <a:extLst>
                  <a:ext uri="{FF2B5EF4-FFF2-40B4-BE49-F238E27FC236}">
                    <a16:creationId xmlns:a16="http://schemas.microsoft.com/office/drawing/2014/main" id="{7B1564AD-FBB6-45EB-FDAC-C48528D8078C}"/>
                  </a:ext>
                </a:extLst>
              </xdr:cNvPr>
              <xdr:cNvGrpSpPr/>
            </xdr:nvGrpSpPr>
            <xdr:grpSpPr>
              <a:xfrm>
                <a:off x="2220861" y="6169832"/>
                <a:ext cx="561671" cy="834250"/>
                <a:chOff x="10052796" y="7645975"/>
                <a:chExt cx="562877" cy="843365"/>
              </a:xfrm>
            </xdr:grpSpPr>
            <xdr:sp macro="" textlink="AA24">
              <xdr:nvSpPr>
                <xdr:cNvPr id="551" name="Vertical GJ">
                  <a:extLst>
                    <a:ext uri="{FF2B5EF4-FFF2-40B4-BE49-F238E27FC236}">
                      <a16:creationId xmlns:a16="http://schemas.microsoft.com/office/drawing/2014/main" id="{233F0C94-55E3-0A21-C01D-43F3B56C7B3B}"/>
                    </a:ext>
                  </a:extLst>
                </xdr:cNvPr>
                <xdr:cNvSpPr txBox="1"/>
              </xdr:nvSpPr>
              <xdr:spPr>
                <a:xfrm>
                  <a:off x="10103089"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7972329-D07C-4A22-94A3-D666846F02B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GJ_Ver">
              <xdr:nvSpPr>
                <xdr:cNvPr id="552" name="L_GJ">
                  <a:extLst>
                    <a:ext uri="{FF2B5EF4-FFF2-40B4-BE49-F238E27FC236}">
                      <a16:creationId xmlns:a16="http://schemas.microsoft.com/office/drawing/2014/main" id="{50ABDEA5-74A3-0ED7-21BE-36FB327EA7D4}"/>
                    </a:ext>
                  </a:extLst>
                </xdr:cNvPr>
                <xdr:cNvSpPr txBox="1"/>
              </xdr:nvSpPr>
              <xdr:spPr>
                <a:xfrm rot="16200000">
                  <a:off x="9776749" y="8002805"/>
                  <a:ext cx="698093"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2F25087-0E2F-483E-9C55-08965E2F2909}" type="TxLink">
                    <a:rPr lang="en-US" sz="900" b="0" i="0" u="none" strike="noStrike">
                      <a:solidFill>
                        <a:srgbClr val="000000"/>
                      </a:solidFill>
                      <a:latin typeface="Calibri"/>
                      <a:ea typeface="Calibri"/>
                      <a:cs typeface="Calibri"/>
                    </a:rPr>
                    <a:pPr algn="ctr"/>
                    <a:t> </a:t>
                  </a:fld>
                  <a:endParaRPr lang="es-ES" sz="1100"/>
                </a:p>
              </xdr:txBody>
            </xdr:sp>
            <xdr:sp macro="" textlink="Z24">
              <xdr:nvSpPr>
                <xdr:cNvPr id="553" name="Flecha GJ">
                  <a:extLst>
                    <a:ext uri="{FF2B5EF4-FFF2-40B4-BE49-F238E27FC236}">
                      <a16:creationId xmlns:a16="http://schemas.microsoft.com/office/drawing/2014/main" id="{7172D8E7-413A-39BA-1324-A388EE59ADFD}"/>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76C607B-3B88-4918-956B-5729766580B4}"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4">
              <xdr:nvSpPr>
                <xdr:cNvPr id="554" name="Vertical GJ">
                  <a:extLst>
                    <a:ext uri="{FF2B5EF4-FFF2-40B4-BE49-F238E27FC236}">
                      <a16:creationId xmlns:a16="http://schemas.microsoft.com/office/drawing/2014/main" id="{349C1594-32FB-8EFA-1F9F-B51618FD2887}"/>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2BE8732-3551-4036-A962-0BADA2FDD8B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5">
            <xdr:nvSpPr>
              <xdr:cNvPr id="550" name="J">
                <a:extLst>
                  <a:ext uri="{FF2B5EF4-FFF2-40B4-BE49-F238E27FC236}">
                    <a16:creationId xmlns:a16="http://schemas.microsoft.com/office/drawing/2014/main" id="{933BBF5F-0D6B-28EC-3EEB-BA6580F4C669}"/>
                  </a:ext>
                </a:extLst>
              </xdr:cNvPr>
              <xdr:cNvSpPr txBox="1"/>
            </xdr:nvSpPr>
            <xdr:spPr>
              <a:xfrm>
                <a:off x="2894636" y="6918977"/>
                <a:ext cx="80145" cy="156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9E3D112-0CFC-4434-882F-47015567202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46" name="JK">
              <a:extLst>
                <a:ext uri="{FF2B5EF4-FFF2-40B4-BE49-F238E27FC236}">
                  <a16:creationId xmlns:a16="http://schemas.microsoft.com/office/drawing/2014/main" id="{E3D3E65F-A9B4-1497-4136-4898770D4386}"/>
                </a:ext>
              </a:extLst>
            </xdr:cNvPr>
            <xdr:cNvGrpSpPr/>
          </xdr:nvGrpSpPr>
          <xdr:grpSpPr>
            <a:xfrm>
              <a:off x="2215740" y="6878393"/>
              <a:ext cx="717892" cy="838042"/>
              <a:chOff x="2220780" y="6865289"/>
              <a:chExt cx="718900" cy="834011"/>
            </a:xfrm>
          </xdr:grpSpPr>
          <xdr:sp macro="" textlink="Y25">
            <xdr:nvSpPr>
              <xdr:cNvPr id="531" name="Barra JK">
                <a:extLst>
                  <a:ext uri="{FF2B5EF4-FFF2-40B4-BE49-F238E27FC236}">
                    <a16:creationId xmlns:a16="http://schemas.microsoft.com/office/drawing/2014/main" id="{9E82A6AF-48AF-77EA-4DAF-08CA38265913}"/>
                  </a:ext>
                </a:extLst>
              </xdr:cNvPr>
              <xdr:cNvSpPr txBox="1"/>
            </xdr:nvSpPr>
            <xdr:spPr>
              <a:xfrm rot="16200000">
                <a:off x="2513262" y="7218006"/>
                <a:ext cx="705801" cy="147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253C14B-78CE-4924-85C9-867775EECFC2}"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533" name="Cota">
                <a:extLst>
                  <a:ext uri="{FF2B5EF4-FFF2-40B4-BE49-F238E27FC236}">
                    <a16:creationId xmlns:a16="http://schemas.microsoft.com/office/drawing/2014/main" id="{03DA2F6D-CA4D-6883-28D5-D74BC6EECE31}"/>
                  </a:ext>
                </a:extLst>
              </xdr:cNvPr>
              <xdr:cNvGrpSpPr/>
            </xdr:nvGrpSpPr>
            <xdr:grpSpPr>
              <a:xfrm>
                <a:off x="2220780" y="6865289"/>
                <a:ext cx="561595" cy="834011"/>
                <a:chOff x="10052796" y="7645975"/>
                <a:chExt cx="562877" cy="843365"/>
              </a:xfrm>
            </xdr:grpSpPr>
            <xdr:sp macro="" textlink="AA25">
              <xdr:nvSpPr>
                <xdr:cNvPr id="535" name="Vertical JK">
                  <a:extLst>
                    <a:ext uri="{FF2B5EF4-FFF2-40B4-BE49-F238E27FC236}">
                      <a16:creationId xmlns:a16="http://schemas.microsoft.com/office/drawing/2014/main" id="{8217FC95-5E4F-A487-1D9F-29CFC0EE3D20}"/>
                    </a:ext>
                  </a:extLst>
                </xdr:cNvPr>
                <xdr:cNvSpPr txBox="1"/>
              </xdr:nvSpPr>
              <xdr:spPr>
                <a:xfrm>
                  <a:off x="10103089"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391A7E9-6574-4215-B080-47C603F508E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JK_Ver">
              <xdr:nvSpPr>
                <xdr:cNvPr id="536" name="L_JK">
                  <a:extLst>
                    <a:ext uri="{FF2B5EF4-FFF2-40B4-BE49-F238E27FC236}">
                      <a16:creationId xmlns:a16="http://schemas.microsoft.com/office/drawing/2014/main" id="{6D0C071A-F0AB-E536-2AAF-FC12EE373738}"/>
                    </a:ext>
                  </a:extLst>
                </xdr:cNvPr>
                <xdr:cNvSpPr txBox="1"/>
              </xdr:nvSpPr>
              <xdr:spPr>
                <a:xfrm rot="16200000">
                  <a:off x="977674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0B02512-AB92-40F9-A5C8-14807A2D2052}" type="TxLink">
                    <a:rPr lang="en-US" sz="900" b="0" i="0" u="none" strike="noStrike">
                      <a:solidFill>
                        <a:srgbClr val="000000"/>
                      </a:solidFill>
                      <a:latin typeface="Calibri"/>
                      <a:ea typeface="Calibri"/>
                      <a:cs typeface="Calibri"/>
                    </a:rPr>
                    <a:pPr algn="ctr"/>
                    <a:t> </a:t>
                  </a:fld>
                  <a:endParaRPr lang="es-ES" sz="1100"/>
                </a:p>
              </xdr:txBody>
            </xdr:sp>
            <xdr:sp macro="" textlink="Z25">
              <xdr:nvSpPr>
                <xdr:cNvPr id="537" name="Flecha JK">
                  <a:extLst>
                    <a:ext uri="{FF2B5EF4-FFF2-40B4-BE49-F238E27FC236}">
                      <a16:creationId xmlns:a16="http://schemas.microsoft.com/office/drawing/2014/main" id="{46AAF033-30D7-59AD-7424-9149A27F9C4E}"/>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D80F680-38DF-4822-9046-3685B5E3E5F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5">
              <xdr:nvSpPr>
                <xdr:cNvPr id="538" name="Vertical JK">
                  <a:extLst>
                    <a:ext uri="{FF2B5EF4-FFF2-40B4-BE49-F238E27FC236}">
                      <a16:creationId xmlns:a16="http://schemas.microsoft.com/office/drawing/2014/main" id="{6AD8138D-9948-8C3A-9986-274A36BBBFA2}"/>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4371130B-3E37-43ED-9CB5-7CD3DCE57912}"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6">
            <xdr:nvSpPr>
              <xdr:cNvPr id="534" name="K">
                <a:extLst>
                  <a:ext uri="{FF2B5EF4-FFF2-40B4-BE49-F238E27FC236}">
                    <a16:creationId xmlns:a16="http://schemas.microsoft.com/office/drawing/2014/main" id="{EB6278D0-BD12-84CE-5DF6-D23827B4BA7B}"/>
                  </a:ext>
                </a:extLst>
              </xdr:cNvPr>
              <xdr:cNvSpPr txBox="1"/>
            </xdr:nvSpPr>
            <xdr:spPr>
              <a:xfrm>
                <a:off x="2780293" y="7521779"/>
                <a:ext cx="80134" cy="155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13EE75C-04AD-4B0A-A602-A874C6218298}"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45" name="KL">
              <a:extLst>
                <a:ext uri="{FF2B5EF4-FFF2-40B4-BE49-F238E27FC236}">
                  <a16:creationId xmlns:a16="http://schemas.microsoft.com/office/drawing/2014/main" id="{61AF38D0-4E18-51C1-D0C4-E2C6579C455D}"/>
                </a:ext>
              </a:extLst>
            </xdr:cNvPr>
            <xdr:cNvGrpSpPr/>
          </xdr:nvGrpSpPr>
          <xdr:grpSpPr>
            <a:xfrm>
              <a:off x="2812617" y="7061886"/>
              <a:ext cx="836290" cy="651783"/>
              <a:chOff x="2818664" y="7047775"/>
              <a:chExt cx="837299" cy="648759"/>
            </a:xfrm>
          </xdr:grpSpPr>
          <xdr:sp macro="" textlink="Y26">
            <xdr:nvSpPr>
              <xdr:cNvPr id="522" name="Barra KL">
                <a:extLst>
                  <a:ext uri="{FF2B5EF4-FFF2-40B4-BE49-F238E27FC236}">
                    <a16:creationId xmlns:a16="http://schemas.microsoft.com/office/drawing/2014/main" id="{163AD49A-C20B-679D-929B-86619E20280F}"/>
                  </a:ext>
                </a:extLst>
              </xdr:cNvPr>
              <xdr:cNvSpPr txBox="1"/>
            </xdr:nvSpPr>
            <xdr:spPr>
              <a:xfrm>
                <a:off x="2873758" y="7549606"/>
                <a:ext cx="708590" cy="146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A6A2AFC-7E27-430C-9C46-61DB280C7070}"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524" name="Cota">
                <a:extLst>
                  <a:ext uri="{FF2B5EF4-FFF2-40B4-BE49-F238E27FC236}">
                    <a16:creationId xmlns:a16="http://schemas.microsoft.com/office/drawing/2014/main" id="{ED8271DE-A1F3-87AC-1A59-FDE7F9DEE54E}"/>
                  </a:ext>
                </a:extLst>
              </xdr:cNvPr>
              <xdr:cNvGrpSpPr/>
            </xdr:nvGrpSpPr>
            <xdr:grpSpPr>
              <a:xfrm rot="5400000">
                <a:off x="2956731" y="6909708"/>
                <a:ext cx="561165" cy="837299"/>
                <a:chOff x="10122615" y="7645983"/>
                <a:chExt cx="562857" cy="843357"/>
              </a:xfrm>
            </xdr:grpSpPr>
            <xdr:sp macro="" textlink="AA26">
              <xdr:nvSpPr>
                <xdr:cNvPr id="525" name="Vertical KL">
                  <a:extLst>
                    <a:ext uri="{FF2B5EF4-FFF2-40B4-BE49-F238E27FC236}">
                      <a16:creationId xmlns:a16="http://schemas.microsoft.com/office/drawing/2014/main" id="{F1FE56D9-0509-818D-AE82-77D0518D6466}"/>
                    </a:ext>
                  </a:extLst>
                </xdr:cNvPr>
                <xdr:cNvSpPr txBox="1"/>
              </xdr:nvSpPr>
              <xdr:spPr>
                <a:xfrm>
                  <a:off x="10172888" y="7645983"/>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4ADBD9D-24FA-4FE0-9235-10962D0AC31F}"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KL_Ver">
              <xdr:nvSpPr>
                <xdr:cNvPr id="526" name="L_KL">
                  <a:extLst>
                    <a:ext uri="{FF2B5EF4-FFF2-40B4-BE49-F238E27FC236}">
                      <a16:creationId xmlns:a16="http://schemas.microsoft.com/office/drawing/2014/main" id="{4B0AEDB0-9F7B-4119-B6F8-731D79DE9C63}"/>
                    </a:ext>
                  </a:extLst>
                </xdr:cNvPr>
                <xdr:cNvSpPr txBox="1"/>
              </xdr:nvSpPr>
              <xdr:spPr>
                <a:xfrm rot="16200000">
                  <a:off x="9846568" y="8002800"/>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C0BC6DE-8593-46D9-8672-B75231D20A15}" type="TxLink">
                    <a:rPr lang="en-US" sz="900" b="0" i="0" u="none" strike="noStrike">
                      <a:solidFill>
                        <a:srgbClr val="000000"/>
                      </a:solidFill>
                      <a:latin typeface="Calibri"/>
                      <a:ea typeface="Calibri"/>
                      <a:cs typeface="Calibri"/>
                    </a:rPr>
                    <a:pPr algn="ctr"/>
                    <a:t> </a:t>
                  </a:fld>
                  <a:endParaRPr lang="es-ES" sz="1100"/>
                </a:p>
              </xdr:txBody>
            </xdr:sp>
            <xdr:sp macro="" textlink="Z26">
              <xdr:nvSpPr>
                <xdr:cNvPr id="527" name="Flecha KL">
                  <a:extLst>
                    <a:ext uri="{FF2B5EF4-FFF2-40B4-BE49-F238E27FC236}">
                      <a16:creationId xmlns:a16="http://schemas.microsoft.com/office/drawing/2014/main" id="{8BE4AD16-CD94-456C-0D24-45A90676D0E3}"/>
                    </a:ext>
                  </a:extLst>
                </xdr:cNvPr>
                <xdr:cNvSpPr txBox="1"/>
              </xdr:nvSpPr>
              <xdr:spPr>
                <a:xfrm rot="16200000">
                  <a:off x="9906251" y="8002411"/>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8E76BBD-9B64-4807-9391-3C9AF619BEF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6">
              <xdr:nvSpPr>
                <xdr:cNvPr id="528" name="Vertical KL">
                  <a:extLst>
                    <a:ext uri="{FF2B5EF4-FFF2-40B4-BE49-F238E27FC236}">
                      <a16:creationId xmlns:a16="http://schemas.microsoft.com/office/drawing/2014/main" id="{82CDF997-8ABE-B375-0AD8-07428824F980}"/>
                    </a:ext>
                  </a:extLst>
                </xdr:cNvPr>
                <xdr:cNvSpPr txBox="1"/>
              </xdr:nvSpPr>
              <xdr:spPr>
                <a:xfrm>
                  <a:off x="1016932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8E2B627A-C2A1-45E7-B410-1842A204460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grpSp>
        <xdr:grpSp>
          <xdr:nvGrpSpPr>
            <xdr:cNvPr id="44" name="LM">
              <a:extLst>
                <a:ext uri="{FF2B5EF4-FFF2-40B4-BE49-F238E27FC236}">
                  <a16:creationId xmlns:a16="http://schemas.microsoft.com/office/drawing/2014/main" id="{9FF40248-59D1-25FE-674D-AB08FA6BE890}"/>
                </a:ext>
              </a:extLst>
            </xdr:cNvPr>
            <xdr:cNvGrpSpPr/>
          </xdr:nvGrpSpPr>
          <xdr:grpSpPr>
            <a:xfrm>
              <a:off x="3489580" y="7061813"/>
              <a:ext cx="853805" cy="653165"/>
              <a:chOff x="3496636" y="7047702"/>
              <a:chExt cx="854812" cy="650141"/>
            </a:xfrm>
          </xdr:grpSpPr>
          <xdr:sp macro="" textlink="Y27">
            <xdr:nvSpPr>
              <xdr:cNvPr id="506" name="Barra LM">
                <a:extLst>
                  <a:ext uri="{FF2B5EF4-FFF2-40B4-BE49-F238E27FC236}">
                    <a16:creationId xmlns:a16="http://schemas.microsoft.com/office/drawing/2014/main" id="{CF6806A0-1A31-97B1-614E-7CA7F1D22272}"/>
                  </a:ext>
                </a:extLst>
              </xdr:cNvPr>
              <xdr:cNvSpPr txBox="1"/>
            </xdr:nvSpPr>
            <xdr:spPr>
              <a:xfrm>
                <a:off x="3570253" y="7550804"/>
                <a:ext cx="707687" cy="147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82BD075-4FB9-4E84-8A14-81E26110C192}"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508" name="Cota">
                <a:extLst>
                  <a:ext uri="{FF2B5EF4-FFF2-40B4-BE49-F238E27FC236}">
                    <a16:creationId xmlns:a16="http://schemas.microsoft.com/office/drawing/2014/main" id="{21CE7229-8B10-B6CA-8DD5-6A7563642BC5}"/>
                  </a:ext>
                </a:extLst>
              </xdr:cNvPr>
              <xdr:cNvGrpSpPr/>
            </xdr:nvGrpSpPr>
            <xdr:grpSpPr>
              <a:xfrm rot="5400000">
                <a:off x="3677285" y="6885644"/>
                <a:ext cx="512105" cy="836221"/>
                <a:chOff x="10121721" y="7645996"/>
                <a:chExt cx="513259" cy="843346"/>
              </a:xfrm>
            </xdr:grpSpPr>
            <xdr:sp macro="" textlink="AA27">
              <xdr:nvSpPr>
                <xdr:cNvPr id="510" name="Vertical LM">
                  <a:extLst>
                    <a:ext uri="{FF2B5EF4-FFF2-40B4-BE49-F238E27FC236}">
                      <a16:creationId xmlns:a16="http://schemas.microsoft.com/office/drawing/2014/main" id="{1AFD24F6-251D-3F6A-2500-9A768505203B}"/>
                    </a:ext>
                  </a:extLst>
                </xdr:cNvPr>
                <xdr:cNvSpPr txBox="1"/>
              </xdr:nvSpPr>
              <xdr:spPr>
                <a:xfrm>
                  <a:off x="10122396" y="7645996"/>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B8A0585-6AFE-4BF2-9015-C29FA19254E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LM_Ver">
              <xdr:nvSpPr>
                <xdr:cNvPr id="511" name="L_LM">
                  <a:extLst>
                    <a:ext uri="{FF2B5EF4-FFF2-40B4-BE49-F238E27FC236}">
                      <a16:creationId xmlns:a16="http://schemas.microsoft.com/office/drawing/2014/main" id="{620439AC-D698-6671-433E-16473DADB373}"/>
                    </a:ext>
                  </a:extLst>
                </xdr:cNvPr>
                <xdr:cNvSpPr txBox="1"/>
              </xdr:nvSpPr>
              <xdr:spPr>
                <a:xfrm rot="16200000">
                  <a:off x="9845674" y="8002808"/>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181E652-10F8-449A-91D3-29C1E1E739B3}" type="TxLink">
                    <a:rPr lang="en-US" sz="900" b="0" i="0" u="none" strike="noStrike">
                      <a:solidFill>
                        <a:srgbClr val="000000"/>
                      </a:solidFill>
                      <a:latin typeface="Calibri"/>
                      <a:ea typeface="Calibri"/>
                      <a:cs typeface="Calibri"/>
                    </a:rPr>
                    <a:pPr algn="ctr"/>
                    <a:t> </a:t>
                  </a:fld>
                  <a:endParaRPr lang="es-ES" sz="1100"/>
                </a:p>
              </xdr:txBody>
            </xdr:sp>
            <xdr:sp macro="" textlink="Z27">
              <xdr:nvSpPr>
                <xdr:cNvPr id="512" name="Flecha LM">
                  <a:extLst>
                    <a:ext uri="{FF2B5EF4-FFF2-40B4-BE49-F238E27FC236}">
                      <a16:creationId xmlns:a16="http://schemas.microsoft.com/office/drawing/2014/main" id="{6C9DC664-2820-FF3B-8B1A-8FB1D152549C}"/>
                    </a:ext>
                  </a:extLst>
                </xdr:cNvPr>
                <xdr:cNvSpPr txBox="1"/>
              </xdr:nvSpPr>
              <xdr:spPr>
                <a:xfrm rot="16200000">
                  <a:off x="9905358" y="8002421"/>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33BF6DB-C7CC-44F2-93CE-F5CDAD7D2458}"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7">
              <xdr:nvSpPr>
                <xdr:cNvPr id="513" name="Vertical LM">
                  <a:extLst>
                    <a:ext uri="{FF2B5EF4-FFF2-40B4-BE49-F238E27FC236}">
                      <a16:creationId xmlns:a16="http://schemas.microsoft.com/office/drawing/2014/main" id="{0DCC4D79-91EE-3536-52A1-E73DB4BD14EE}"/>
                    </a:ext>
                  </a:extLst>
                </xdr:cNvPr>
                <xdr:cNvSpPr txBox="1"/>
              </xdr:nvSpPr>
              <xdr:spPr>
                <a:xfrm>
                  <a:off x="10123802" y="8337377"/>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F27DDA4-EF61-43A6-BF2C-C677AF1A57E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7">
            <xdr:nvSpPr>
              <xdr:cNvPr id="509" name="L">
                <a:extLst>
                  <a:ext uri="{FF2B5EF4-FFF2-40B4-BE49-F238E27FC236}">
                    <a16:creationId xmlns:a16="http://schemas.microsoft.com/office/drawing/2014/main" id="{68D51CAC-F326-BDC8-5448-C3EFA7EC06BF}"/>
                  </a:ext>
                </a:extLst>
              </xdr:cNvPr>
              <xdr:cNvSpPr txBox="1"/>
            </xdr:nvSpPr>
            <xdr:spPr>
              <a:xfrm>
                <a:off x="3496636" y="7487480"/>
                <a:ext cx="80463" cy="155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7EB152C-8523-4B0A-9993-CC4FF908E382}"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86" name="MN">
              <a:extLst>
                <a:ext uri="{FF2B5EF4-FFF2-40B4-BE49-F238E27FC236}">
                  <a16:creationId xmlns:a16="http://schemas.microsoft.com/office/drawing/2014/main" id="{2D0F2F41-6C57-1DEF-4C2E-745FF1D1A86B}"/>
                </a:ext>
              </a:extLst>
            </xdr:cNvPr>
            <xdr:cNvGrpSpPr/>
          </xdr:nvGrpSpPr>
          <xdr:grpSpPr>
            <a:xfrm>
              <a:off x="4194970" y="7034301"/>
              <a:ext cx="841046" cy="680461"/>
              <a:chOff x="4194970" y="7059501"/>
              <a:chExt cx="841046" cy="680461"/>
            </a:xfrm>
          </xdr:grpSpPr>
          <xdr:sp macro="" textlink="Y28">
            <xdr:nvSpPr>
              <xdr:cNvPr id="482" name="Barra MN">
                <a:extLst>
                  <a:ext uri="{FF2B5EF4-FFF2-40B4-BE49-F238E27FC236}">
                    <a16:creationId xmlns:a16="http://schemas.microsoft.com/office/drawing/2014/main" id="{7A89094D-B83A-5CCD-B7A4-11EC9D1D2F1E}"/>
                  </a:ext>
                </a:extLst>
              </xdr:cNvPr>
              <xdr:cNvSpPr txBox="1"/>
            </xdr:nvSpPr>
            <xdr:spPr>
              <a:xfrm>
                <a:off x="4257925" y="7592116"/>
                <a:ext cx="704831" cy="147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0A295C7-8CF2-4018-954C-DC4378183846}"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484" name="Cota">
                <a:extLst>
                  <a:ext uri="{FF2B5EF4-FFF2-40B4-BE49-F238E27FC236}">
                    <a16:creationId xmlns:a16="http://schemas.microsoft.com/office/drawing/2014/main" id="{C496E746-55EB-F50D-7D43-42CD1768661F}"/>
                  </a:ext>
                </a:extLst>
              </xdr:cNvPr>
              <xdr:cNvGrpSpPr/>
            </xdr:nvGrpSpPr>
            <xdr:grpSpPr>
              <a:xfrm rot="5400000">
                <a:off x="4353596" y="6909038"/>
                <a:ext cx="531958" cy="832883"/>
                <a:chOff x="10118937" y="7645967"/>
                <a:chExt cx="530258" cy="843384"/>
              </a:xfrm>
            </xdr:grpSpPr>
            <xdr:sp macro="" textlink="AA28">
              <xdr:nvSpPr>
                <xdr:cNvPr id="494" name="Vertical MN">
                  <a:extLst>
                    <a:ext uri="{FF2B5EF4-FFF2-40B4-BE49-F238E27FC236}">
                      <a16:creationId xmlns:a16="http://schemas.microsoft.com/office/drawing/2014/main" id="{75ACA609-98E4-06F0-F0C0-82ADFF3AE5B6}"/>
                    </a:ext>
                  </a:extLst>
                </xdr:cNvPr>
                <xdr:cNvSpPr txBox="1"/>
              </xdr:nvSpPr>
              <xdr:spPr>
                <a:xfrm>
                  <a:off x="10136611" y="7645967"/>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3ACD596-092C-4F13-9C89-728A616D0502}"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MN_Ver">
              <xdr:nvSpPr>
                <xdr:cNvPr id="495" name="L_MN">
                  <a:extLst>
                    <a:ext uri="{FF2B5EF4-FFF2-40B4-BE49-F238E27FC236}">
                      <a16:creationId xmlns:a16="http://schemas.microsoft.com/office/drawing/2014/main" id="{C4D7F214-A97B-18C8-C834-D8E177B49990}"/>
                    </a:ext>
                  </a:extLst>
                </xdr:cNvPr>
                <xdr:cNvSpPr txBox="1"/>
              </xdr:nvSpPr>
              <xdr:spPr>
                <a:xfrm rot="16200000">
                  <a:off x="9842890" y="8002811"/>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BFD9715-D08A-45C1-BB76-52C344DF0FC9}" type="TxLink">
                    <a:rPr lang="en-US" sz="900" b="0" i="0" u="none" strike="noStrike">
                      <a:solidFill>
                        <a:srgbClr val="000000"/>
                      </a:solidFill>
                      <a:latin typeface="Calibri"/>
                      <a:ea typeface="Calibri"/>
                      <a:cs typeface="Calibri"/>
                    </a:rPr>
                    <a:pPr algn="ctr"/>
                    <a:t> </a:t>
                  </a:fld>
                  <a:endParaRPr lang="es-ES" sz="1100"/>
                </a:p>
              </xdr:txBody>
            </xdr:sp>
            <xdr:sp macro="" textlink="Z28">
              <xdr:nvSpPr>
                <xdr:cNvPr id="496" name="Flecha MN">
                  <a:extLst>
                    <a:ext uri="{FF2B5EF4-FFF2-40B4-BE49-F238E27FC236}">
                      <a16:creationId xmlns:a16="http://schemas.microsoft.com/office/drawing/2014/main" id="{CED1CE90-77CC-9BBF-4C56-CC4A4573FC2E}"/>
                    </a:ext>
                  </a:extLst>
                </xdr:cNvPr>
                <xdr:cNvSpPr txBox="1"/>
              </xdr:nvSpPr>
              <xdr:spPr>
                <a:xfrm rot="16200000">
                  <a:off x="9929478"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DF8E5013-32A0-465B-9F0F-A25C194597B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8">
              <xdr:nvSpPr>
                <xdr:cNvPr id="497" name="Vertical MN">
                  <a:extLst>
                    <a:ext uri="{FF2B5EF4-FFF2-40B4-BE49-F238E27FC236}">
                      <a16:creationId xmlns:a16="http://schemas.microsoft.com/office/drawing/2014/main" id="{45CD3F81-3EE4-1AB9-08B9-60CC8CFFBE9C}"/>
                    </a:ext>
                  </a:extLst>
                </xdr:cNvPr>
                <xdr:cNvSpPr txBox="1"/>
              </xdr:nvSpPr>
              <xdr:spPr>
                <a:xfrm>
                  <a:off x="10138099" y="8337386"/>
                  <a:ext cx="507970"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F42D038-2305-4F4E-9BB5-2C096E9C0DF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9">
            <xdr:nvSpPr>
              <xdr:cNvPr id="486" name="N">
                <a:extLst>
                  <a:ext uri="{FF2B5EF4-FFF2-40B4-BE49-F238E27FC236}">
                    <a16:creationId xmlns:a16="http://schemas.microsoft.com/office/drawing/2014/main" id="{F83B4BF2-F859-8567-3062-94E7D9BCDF5F}"/>
                  </a:ext>
                </a:extLst>
              </xdr:cNvPr>
              <xdr:cNvSpPr txBox="1"/>
            </xdr:nvSpPr>
            <xdr:spPr>
              <a:xfrm>
                <a:off x="4864457" y="7444586"/>
                <a:ext cx="80138" cy="156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5FB8E99-A737-4F33-880F-F628AF56C5F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V28">
            <xdr:nvSpPr>
              <xdr:cNvPr id="487" name="M">
                <a:extLst>
                  <a:ext uri="{FF2B5EF4-FFF2-40B4-BE49-F238E27FC236}">
                    <a16:creationId xmlns:a16="http://schemas.microsoft.com/office/drawing/2014/main" id="{A3D03E0C-7EF0-0BD9-C507-B04770C64ACE}"/>
                  </a:ext>
                </a:extLst>
              </xdr:cNvPr>
              <xdr:cNvSpPr txBox="1"/>
            </xdr:nvSpPr>
            <xdr:spPr>
              <a:xfrm>
                <a:off x="4194970" y="7504611"/>
                <a:ext cx="145141" cy="156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820B20D-74B0-4385-8DBD-438381F77308}"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 name="MO">
              <a:extLst>
                <a:ext uri="{FF2B5EF4-FFF2-40B4-BE49-F238E27FC236}">
                  <a16:creationId xmlns:a16="http://schemas.microsoft.com/office/drawing/2014/main" id="{89BCEE2A-1917-D85F-2F34-F10FB71CB704}"/>
                </a:ext>
              </a:extLst>
            </xdr:cNvPr>
            <xdr:cNvGrpSpPr/>
          </xdr:nvGrpSpPr>
          <xdr:grpSpPr>
            <a:xfrm>
              <a:off x="3597704" y="7592585"/>
              <a:ext cx="779962" cy="833421"/>
              <a:chOff x="3604760" y="7571305"/>
              <a:chExt cx="780969" cy="837699"/>
            </a:xfrm>
          </xdr:grpSpPr>
          <xdr:sp macro="" textlink="Y29">
            <xdr:nvSpPr>
              <xdr:cNvPr id="466" name="Barra MO">
                <a:extLst>
                  <a:ext uri="{FF2B5EF4-FFF2-40B4-BE49-F238E27FC236}">
                    <a16:creationId xmlns:a16="http://schemas.microsoft.com/office/drawing/2014/main" id="{17C65FE6-27CF-F89A-32DD-89C65CE24AC5}"/>
                  </a:ext>
                </a:extLst>
              </xdr:cNvPr>
              <xdr:cNvSpPr txBox="1"/>
            </xdr:nvSpPr>
            <xdr:spPr>
              <a:xfrm rot="16200000">
                <a:off x="3899296" y="7928389"/>
                <a:ext cx="704322" cy="147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B853C56-9556-412A-BAED-7E7C41629B53}"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468" name="Cota">
                <a:extLst>
                  <a:ext uri="{FF2B5EF4-FFF2-40B4-BE49-F238E27FC236}">
                    <a16:creationId xmlns:a16="http://schemas.microsoft.com/office/drawing/2014/main" id="{D4D2DF91-F704-31DA-21AE-B6341F75DFF5}"/>
                  </a:ext>
                </a:extLst>
              </xdr:cNvPr>
              <xdr:cNvGrpSpPr/>
            </xdr:nvGrpSpPr>
            <xdr:grpSpPr>
              <a:xfrm>
                <a:off x="3604760" y="7571305"/>
                <a:ext cx="562739" cy="837699"/>
                <a:chOff x="10052796" y="7640470"/>
                <a:chExt cx="562877" cy="848870"/>
              </a:xfrm>
            </xdr:grpSpPr>
            <xdr:sp macro="" textlink="AA29">
              <xdr:nvSpPr>
                <xdr:cNvPr id="470" name="Vertical MO">
                  <a:extLst>
                    <a:ext uri="{FF2B5EF4-FFF2-40B4-BE49-F238E27FC236}">
                      <a16:creationId xmlns:a16="http://schemas.microsoft.com/office/drawing/2014/main" id="{44C6F0F2-5869-7BCD-C3FE-BD2004DB51D0}"/>
                    </a:ext>
                  </a:extLst>
                </xdr:cNvPr>
                <xdr:cNvSpPr txBox="1"/>
              </xdr:nvSpPr>
              <xdr:spPr>
                <a:xfrm>
                  <a:off x="10103089" y="7640470"/>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B74B228-274A-4A3C-B4A9-9244F56A705D}"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MO_Ver">
              <xdr:nvSpPr>
                <xdr:cNvPr id="471" name="L_MO">
                  <a:extLst>
                    <a:ext uri="{FF2B5EF4-FFF2-40B4-BE49-F238E27FC236}">
                      <a16:creationId xmlns:a16="http://schemas.microsoft.com/office/drawing/2014/main" id="{236BECE4-E6CE-93D2-5FF6-5A851C3FC7C7}"/>
                    </a:ext>
                  </a:extLst>
                </xdr:cNvPr>
                <xdr:cNvSpPr txBox="1"/>
              </xdr:nvSpPr>
              <xdr:spPr>
                <a:xfrm rot="16200000">
                  <a:off x="977674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D2E7577-1B7C-44A1-BED3-B9047C382AC5}" type="TxLink">
                    <a:rPr lang="en-US" sz="900" b="0" i="0" u="none" strike="noStrike">
                      <a:solidFill>
                        <a:srgbClr val="000000"/>
                      </a:solidFill>
                      <a:latin typeface="Calibri"/>
                      <a:ea typeface="Calibri"/>
                      <a:cs typeface="Calibri"/>
                    </a:rPr>
                    <a:pPr algn="ctr"/>
                    <a:t> </a:t>
                  </a:fld>
                  <a:endParaRPr lang="es-ES" sz="1100"/>
                </a:p>
              </xdr:txBody>
            </xdr:sp>
            <xdr:sp macro="" textlink="Z29">
              <xdr:nvSpPr>
                <xdr:cNvPr id="472" name="Flecha MO">
                  <a:extLst>
                    <a:ext uri="{FF2B5EF4-FFF2-40B4-BE49-F238E27FC236}">
                      <a16:creationId xmlns:a16="http://schemas.microsoft.com/office/drawing/2014/main" id="{66296D46-4CCA-1C1B-8231-84842AC98015}"/>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1CDAEFB-F46D-474C-8723-2CF577344AD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9">
              <xdr:nvSpPr>
                <xdr:cNvPr id="473" name="Vertical MO">
                  <a:extLst>
                    <a:ext uri="{FF2B5EF4-FFF2-40B4-BE49-F238E27FC236}">
                      <a16:creationId xmlns:a16="http://schemas.microsoft.com/office/drawing/2014/main" id="{87ED6694-AB1A-1EA5-73ED-5DEA0DC2F1FD}"/>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54D7FED-F74D-415D-9103-98AE6AAF40D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30">
            <xdr:nvSpPr>
              <xdr:cNvPr id="469" name="O">
                <a:extLst>
                  <a:ext uri="{FF2B5EF4-FFF2-40B4-BE49-F238E27FC236}">
                    <a16:creationId xmlns:a16="http://schemas.microsoft.com/office/drawing/2014/main" id="{4E3E6E35-18CC-1C55-22E2-3631F6268EA4}"/>
                  </a:ext>
                </a:extLst>
              </xdr:cNvPr>
              <xdr:cNvSpPr txBox="1"/>
            </xdr:nvSpPr>
            <xdr:spPr>
              <a:xfrm>
                <a:off x="4305431" y="8205581"/>
                <a:ext cx="80298" cy="155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5582D53E-502E-461B-B639-ED32968C86CF}"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grpSp>
        <xdr:nvGrpSpPr>
          <xdr:cNvPr id="95" name="CARGAS">
            <a:extLst>
              <a:ext uri="{FF2B5EF4-FFF2-40B4-BE49-F238E27FC236}">
                <a16:creationId xmlns:a16="http://schemas.microsoft.com/office/drawing/2014/main" id="{5DFE5910-2B96-5DEE-232E-CD6A1B471229}"/>
              </a:ext>
            </a:extLst>
          </xdr:cNvPr>
          <xdr:cNvGrpSpPr/>
        </xdr:nvGrpSpPr>
        <xdr:grpSpPr>
          <a:xfrm>
            <a:off x="185821" y="5827263"/>
            <a:ext cx="5565371" cy="2958865"/>
            <a:chOff x="185672" y="5818867"/>
            <a:chExt cx="5556069" cy="2984420"/>
          </a:xfrm>
        </xdr:grpSpPr>
        <xdr:grpSp>
          <xdr:nvGrpSpPr>
            <xdr:cNvPr id="696" name="Cargas AB">
              <a:extLst>
                <a:ext uri="{FF2B5EF4-FFF2-40B4-BE49-F238E27FC236}">
                  <a16:creationId xmlns:a16="http://schemas.microsoft.com/office/drawing/2014/main" id="{932ABF39-94E2-CC21-A346-F0CAEEAFE6F2}"/>
                </a:ext>
              </a:extLst>
            </xdr:cNvPr>
            <xdr:cNvGrpSpPr/>
          </xdr:nvGrpSpPr>
          <xdr:grpSpPr>
            <a:xfrm>
              <a:off x="403328" y="7683934"/>
              <a:ext cx="1118227" cy="1119353"/>
              <a:chOff x="8539988" y="7797030"/>
              <a:chExt cx="1118433" cy="1123906"/>
            </a:xfrm>
          </xdr:grpSpPr>
          <xdr:sp macro="" textlink="$AS$15">
            <xdr:nvSpPr>
              <xdr:cNvPr id="703" name="qAB">
                <a:extLst>
                  <a:ext uri="{FF2B5EF4-FFF2-40B4-BE49-F238E27FC236}">
                    <a16:creationId xmlns:a16="http://schemas.microsoft.com/office/drawing/2014/main" id="{4F5679D1-9D69-61E3-69D3-3BAB0B01C687}"/>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5E22B19-10E7-4023-BD22-CE56BAFD186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AB_Ver">
            <xdr:nvSpPr>
              <xdr:cNvPr id="704" name="q_AB">
                <a:extLst>
                  <a:ext uri="{FF2B5EF4-FFF2-40B4-BE49-F238E27FC236}">
                    <a16:creationId xmlns:a16="http://schemas.microsoft.com/office/drawing/2014/main" id="{FFD8203D-CE1D-C7CB-5D88-937B8DE5D320}"/>
                  </a:ext>
                </a:extLst>
              </xdr:cNvPr>
              <xdr:cNvSpPr txBox="1"/>
            </xdr:nvSpPr>
            <xdr:spPr>
              <a:xfrm rot="16200000">
                <a:off x="8480221"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94139EF-4C73-40D4-8E50-FE833F946BA3}"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5">
            <xdr:nvSpPr>
              <xdr:cNvPr id="705" name="MzA">
                <a:extLst>
                  <a:ext uri="{FF2B5EF4-FFF2-40B4-BE49-F238E27FC236}">
                    <a16:creationId xmlns:a16="http://schemas.microsoft.com/office/drawing/2014/main" id="{ECF8AEA4-299D-BAC5-1D45-933A5D42AE34}"/>
                  </a:ext>
                </a:extLst>
              </xdr:cNvPr>
              <xdr:cNvSpPr txBox="1"/>
            </xdr:nvSpPr>
            <xdr:spPr>
              <a:xfrm>
                <a:off x="9005676" y="8403692"/>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4A85214-C6E2-42F1-8149-EE3C3DAC0A16}"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A_Ver">
            <xdr:nvSpPr>
              <xdr:cNvPr id="706" name="Mz_A">
                <a:extLst>
                  <a:ext uri="{FF2B5EF4-FFF2-40B4-BE49-F238E27FC236}">
                    <a16:creationId xmlns:a16="http://schemas.microsoft.com/office/drawing/2014/main" id="{8FA695DB-D1FC-9081-DE54-8C0EDE3EBE20}"/>
                  </a:ext>
                </a:extLst>
              </xdr:cNvPr>
              <xdr:cNvSpPr txBox="1"/>
            </xdr:nvSpPr>
            <xdr:spPr>
              <a:xfrm>
                <a:off x="9119687" y="8398268"/>
                <a:ext cx="538734"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8A3097B-9DFD-486F-BE83-12D6BEB332B2}"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5">
            <xdr:nvSpPr>
              <xdr:cNvPr id="707" name="FhA">
                <a:extLst>
                  <a:ext uri="{FF2B5EF4-FFF2-40B4-BE49-F238E27FC236}">
                    <a16:creationId xmlns:a16="http://schemas.microsoft.com/office/drawing/2014/main" id="{E8C04AE1-48E8-C817-A67C-C5043397C849}"/>
                  </a:ext>
                </a:extLst>
              </xdr:cNvPr>
              <xdr:cNvSpPr txBox="1"/>
            </xdr:nvSpPr>
            <xdr:spPr>
              <a:xfrm>
                <a:off x="8621560"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DA37113-2B0B-416D-B413-F6505AD8CA1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A_Ver">
            <xdr:nvSpPr>
              <xdr:cNvPr id="708" name="Fh_A">
                <a:extLst>
                  <a:ext uri="{FF2B5EF4-FFF2-40B4-BE49-F238E27FC236}">
                    <a16:creationId xmlns:a16="http://schemas.microsoft.com/office/drawing/2014/main" id="{011DF1B8-A25F-A378-E996-264BDBE36EB4}"/>
                  </a:ext>
                </a:extLst>
              </xdr:cNvPr>
              <xdr:cNvSpPr txBox="1"/>
            </xdr:nvSpPr>
            <xdr:spPr>
              <a:xfrm rot="16200000">
                <a:off x="8326010" y="8419262"/>
                <a:ext cx="552974" cy="125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A8FCB55-EF74-4C98-818F-A7C5231FC9E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5">
            <xdr:nvSpPr>
              <xdr:cNvPr id="709" name="FvA">
                <a:extLst>
                  <a:ext uri="{FF2B5EF4-FFF2-40B4-BE49-F238E27FC236}">
                    <a16:creationId xmlns:a16="http://schemas.microsoft.com/office/drawing/2014/main" id="{9F3AAC0A-90FE-5A81-673B-EC5F2914CCFE}"/>
                  </a:ext>
                </a:extLst>
              </xdr:cNvPr>
              <xdr:cNvSpPr txBox="1"/>
            </xdr:nvSpPr>
            <xdr:spPr>
              <a:xfrm>
                <a:off x="8822096" y="8774163"/>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BF9160B-F983-4D02-B44F-993DD024E55E}"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A_Ver">
            <xdr:nvSpPr>
              <xdr:cNvPr id="710" name="Fv_A">
                <a:extLst>
                  <a:ext uri="{FF2B5EF4-FFF2-40B4-BE49-F238E27FC236}">
                    <a16:creationId xmlns:a16="http://schemas.microsoft.com/office/drawing/2014/main" id="{A2FC8C79-AF40-3821-09A3-B56829CEE6DE}"/>
                  </a:ext>
                </a:extLst>
              </xdr:cNvPr>
              <xdr:cNvSpPr txBox="1"/>
            </xdr:nvSpPr>
            <xdr:spPr>
              <a:xfrm>
                <a:off x="8997989" y="8794448"/>
                <a:ext cx="32930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410D9EC8-00E2-451D-8EC0-F3B84AA0332F}"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680" name="Cargas BC">
              <a:extLst>
                <a:ext uri="{FF2B5EF4-FFF2-40B4-BE49-F238E27FC236}">
                  <a16:creationId xmlns:a16="http://schemas.microsoft.com/office/drawing/2014/main" id="{325BCD74-3B97-C211-4799-B8D50B2A7DD0}"/>
                </a:ext>
              </a:extLst>
            </xdr:cNvPr>
            <xdr:cNvGrpSpPr/>
          </xdr:nvGrpSpPr>
          <xdr:grpSpPr>
            <a:xfrm>
              <a:off x="396998" y="6971923"/>
              <a:ext cx="1086619" cy="964354"/>
              <a:chOff x="8551192" y="7796998"/>
              <a:chExt cx="1084443" cy="965605"/>
            </a:xfrm>
          </xdr:grpSpPr>
          <xdr:sp macro="" textlink="$AS$16">
            <xdr:nvSpPr>
              <xdr:cNvPr id="687" name="qBC">
                <a:extLst>
                  <a:ext uri="{FF2B5EF4-FFF2-40B4-BE49-F238E27FC236}">
                    <a16:creationId xmlns:a16="http://schemas.microsoft.com/office/drawing/2014/main" id="{38F3D5DB-34E7-DE5B-A51E-31890E1AAC24}"/>
                  </a:ext>
                </a:extLst>
              </xdr:cNvPr>
              <xdr:cNvSpPr txBox="1"/>
            </xdr:nvSpPr>
            <xdr:spPr>
              <a:xfrm rot="16200000">
                <a:off x="8560554" y="8056795"/>
                <a:ext cx="660476"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8D65225-4C11-4165-B86F-0D51AE244C92}"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BC_Ver">
            <xdr:nvSpPr>
              <xdr:cNvPr id="688" name="q_BC">
                <a:extLst>
                  <a:ext uri="{FF2B5EF4-FFF2-40B4-BE49-F238E27FC236}">
                    <a16:creationId xmlns:a16="http://schemas.microsoft.com/office/drawing/2014/main" id="{4886F258-5E4F-17E0-BD60-91421776E7B1}"/>
                  </a:ext>
                </a:extLst>
              </xdr:cNvPr>
              <xdr:cNvSpPr txBox="1"/>
            </xdr:nvSpPr>
            <xdr:spPr>
              <a:xfrm rot="16200000">
                <a:off x="8480214" y="8031760"/>
                <a:ext cx="610974"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BA4C9A5-EBC5-4818-93E2-570492E273F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6">
            <xdr:nvSpPr>
              <xdr:cNvPr id="689" name="MzB">
                <a:extLst>
                  <a:ext uri="{FF2B5EF4-FFF2-40B4-BE49-F238E27FC236}">
                    <a16:creationId xmlns:a16="http://schemas.microsoft.com/office/drawing/2014/main" id="{841BDE51-78C2-C0E6-FA39-5AB17EA24039}"/>
                  </a:ext>
                </a:extLst>
              </xdr:cNvPr>
              <xdr:cNvSpPr txBox="1"/>
            </xdr:nvSpPr>
            <xdr:spPr>
              <a:xfrm>
                <a:off x="9005668" y="8381356"/>
                <a:ext cx="88601" cy="141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2E4A539-DFCC-471D-AB40-38BF2E73BAA1}"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B_Ver">
            <xdr:nvSpPr>
              <xdr:cNvPr id="690" name="Mz_B">
                <a:extLst>
                  <a:ext uri="{FF2B5EF4-FFF2-40B4-BE49-F238E27FC236}">
                    <a16:creationId xmlns:a16="http://schemas.microsoft.com/office/drawing/2014/main" id="{BA60F6E5-C705-07B9-05CC-2DE3F1ED7660}"/>
                  </a:ext>
                </a:extLst>
              </xdr:cNvPr>
              <xdr:cNvSpPr txBox="1"/>
            </xdr:nvSpPr>
            <xdr:spPr>
              <a:xfrm>
                <a:off x="9112292" y="8377786"/>
                <a:ext cx="523343" cy="142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021AE18-2FF2-4B5E-9649-A33F56B7117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6">
            <xdr:nvSpPr>
              <xdr:cNvPr id="691" name="FhB">
                <a:extLst>
                  <a:ext uri="{FF2B5EF4-FFF2-40B4-BE49-F238E27FC236}">
                    <a16:creationId xmlns:a16="http://schemas.microsoft.com/office/drawing/2014/main" id="{A33CB23B-A457-C002-A795-79255046FAE4}"/>
                  </a:ext>
                </a:extLst>
              </xdr:cNvPr>
              <xdr:cNvSpPr txBox="1"/>
            </xdr:nvSpPr>
            <xdr:spPr>
              <a:xfrm>
                <a:off x="8621541" y="8405082"/>
                <a:ext cx="198257" cy="141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03C29B-9486-42B9-A7C6-0D7D47FF760F}"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B_Ver">
            <xdr:nvSpPr>
              <xdr:cNvPr id="692" name="Fh_B">
                <a:extLst>
                  <a:ext uri="{FF2B5EF4-FFF2-40B4-BE49-F238E27FC236}">
                    <a16:creationId xmlns:a16="http://schemas.microsoft.com/office/drawing/2014/main" id="{1BC988AD-929C-D8C4-15B9-39572189966A}"/>
                  </a:ext>
                </a:extLst>
              </xdr:cNvPr>
              <xdr:cNvSpPr txBox="1"/>
            </xdr:nvSpPr>
            <xdr:spPr>
              <a:xfrm rot="16200000">
                <a:off x="8337053" y="8423507"/>
                <a:ext cx="553235"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FA1D1BC-BCE1-47D2-AADB-D8FE02DF61F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6">
            <xdr:nvSpPr>
              <xdr:cNvPr id="693" name="FvB">
                <a:extLst>
                  <a:ext uri="{FF2B5EF4-FFF2-40B4-BE49-F238E27FC236}">
                    <a16:creationId xmlns:a16="http://schemas.microsoft.com/office/drawing/2014/main" id="{6B694668-E2D9-4428-F16D-00767FF020AE}"/>
                  </a:ext>
                </a:extLst>
              </xdr:cNvPr>
              <xdr:cNvSpPr txBox="1"/>
            </xdr:nvSpPr>
            <xdr:spPr>
              <a:xfrm>
                <a:off x="8930990" y="8483231"/>
                <a:ext cx="251992" cy="141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11BF8CF-64F1-471B-A7DD-8E55ED0FDEF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B_Ver">
            <xdr:nvSpPr>
              <xdr:cNvPr id="694" name="Fv_B">
                <a:extLst>
                  <a:ext uri="{FF2B5EF4-FFF2-40B4-BE49-F238E27FC236}">
                    <a16:creationId xmlns:a16="http://schemas.microsoft.com/office/drawing/2014/main" id="{EB32D23E-0A32-118C-4788-216A53A2C584}"/>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F192CC1-1F41-4486-99A6-B39BF67B8D15}"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664" name="Cargas CD">
              <a:extLst>
                <a:ext uri="{FF2B5EF4-FFF2-40B4-BE49-F238E27FC236}">
                  <a16:creationId xmlns:a16="http://schemas.microsoft.com/office/drawing/2014/main" id="{8D9336B0-4306-DA8C-9E35-138431E5C243}"/>
                </a:ext>
              </a:extLst>
            </xdr:cNvPr>
            <xdr:cNvGrpSpPr/>
          </xdr:nvGrpSpPr>
          <xdr:grpSpPr>
            <a:xfrm>
              <a:off x="407889" y="6272814"/>
              <a:ext cx="1086619" cy="964370"/>
              <a:chOff x="8551199" y="7797030"/>
              <a:chExt cx="1084444" cy="965611"/>
            </a:xfrm>
          </xdr:grpSpPr>
          <xdr:sp macro="" textlink="AS17">
            <xdr:nvSpPr>
              <xdr:cNvPr id="671" name="qCD">
                <a:extLst>
                  <a:ext uri="{FF2B5EF4-FFF2-40B4-BE49-F238E27FC236}">
                    <a16:creationId xmlns:a16="http://schemas.microsoft.com/office/drawing/2014/main" id="{6E03BEB5-1CB2-08BB-B430-B4DE0B750976}"/>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177E8C2-31C3-4A49-9DCF-2FCBA2D59125}"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CD_Ver">
            <xdr:nvSpPr>
              <xdr:cNvPr id="672" name="q_CD">
                <a:extLst>
                  <a:ext uri="{FF2B5EF4-FFF2-40B4-BE49-F238E27FC236}">
                    <a16:creationId xmlns:a16="http://schemas.microsoft.com/office/drawing/2014/main" id="{6E018C77-B19A-EE9D-DC71-5F91B14E6ACA}"/>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881050B-E9A1-4D69-A88B-1E3D2F84FB4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7">
            <xdr:nvSpPr>
              <xdr:cNvPr id="673" name="MzC">
                <a:extLst>
                  <a:ext uri="{FF2B5EF4-FFF2-40B4-BE49-F238E27FC236}">
                    <a16:creationId xmlns:a16="http://schemas.microsoft.com/office/drawing/2014/main" id="{502EA2C5-E920-E4D3-2BCD-A449A006E0EE}"/>
                  </a:ext>
                </a:extLst>
              </xdr:cNvPr>
              <xdr:cNvSpPr txBox="1"/>
            </xdr:nvSpPr>
            <xdr:spPr>
              <a:xfrm>
                <a:off x="9005676" y="8381386"/>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49E4607-8A1D-45B1-BDB0-E753B1B7C51A}"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C_Ver">
            <xdr:nvSpPr>
              <xdr:cNvPr id="674" name="Mz_C">
                <a:extLst>
                  <a:ext uri="{FF2B5EF4-FFF2-40B4-BE49-F238E27FC236}">
                    <a16:creationId xmlns:a16="http://schemas.microsoft.com/office/drawing/2014/main" id="{16747D60-555B-443C-48A1-07DEB917985D}"/>
                  </a:ext>
                </a:extLst>
              </xdr:cNvPr>
              <xdr:cNvSpPr txBox="1"/>
            </xdr:nvSpPr>
            <xdr:spPr>
              <a:xfrm>
                <a:off x="9112300" y="8377817"/>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833CDA8-7B2D-4AA4-A452-6F6A0DB0327F}"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7">
            <xdr:nvSpPr>
              <xdr:cNvPr id="675" name="FhC">
                <a:extLst>
                  <a:ext uri="{FF2B5EF4-FFF2-40B4-BE49-F238E27FC236}">
                    <a16:creationId xmlns:a16="http://schemas.microsoft.com/office/drawing/2014/main" id="{3FA37267-7C66-E917-C851-72BBABAF5BE8}"/>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2C0310A-6106-4894-9C7F-BD6F449FCE9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7">
            <xdr:nvSpPr>
              <xdr:cNvPr id="677" name="FvC">
                <a:extLst>
                  <a:ext uri="{FF2B5EF4-FFF2-40B4-BE49-F238E27FC236}">
                    <a16:creationId xmlns:a16="http://schemas.microsoft.com/office/drawing/2014/main" id="{A01BABB6-6D21-DD4C-E30B-E7DC25EA0EE5}"/>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C7BC527-84B1-4BC1-A183-5E355617DF3D}"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C_Ver">
            <xdr:nvSpPr>
              <xdr:cNvPr id="678" name="Fv_C">
                <a:extLst>
                  <a:ext uri="{FF2B5EF4-FFF2-40B4-BE49-F238E27FC236}">
                    <a16:creationId xmlns:a16="http://schemas.microsoft.com/office/drawing/2014/main" id="{4EFF46E0-87B9-BD26-CDFB-4C919E89D632}"/>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A08498D-2D70-4012-A77F-BB734B71EBB6}"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sp macro="" textlink="Fh_C_Ver">
            <xdr:nvSpPr>
              <xdr:cNvPr id="676" name="Fh_C">
                <a:extLst>
                  <a:ext uri="{FF2B5EF4-FFF2-40B4-BE49-F238E27FC236}">
                    <a16:creationId xmlns:a16="http://schemas.microsoft.com/office/drawing/2014/main" id="{E3AF1353-13E6-2516-62FA-A64F4CF23337}"/>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C51EEB2-74DA-4A72-8A82-B870A651906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grpSp>
        <xdr:grpSp>
          <xdr:nvGrpSpPr>
            <xdr:cNvPr id="91" name="Cargas CE">
              <a:extLst>
                <a:ext uri="{FF2B5EF4-FFF2-40B4-BE49-F238E27FC236}">
                  <a16:creationId xmlns:a16="http://schemas.microsoft.com/office/drawing/2014/main" id="{6941CB90-AD87-A793-C882-CA0E47877344}"/>
                </a:ext>
              </a:extLst>
            </xdr:cNvPr>
            <xdr:cNvGrpSpPr/>
          </xdr:nvGrpSpPr>
          <xdr:grpSpPr>
            <a:xfrm>
              <a:off x="543795" y="6427539"/>
              <a:ext cx="1343247" cy="465190"/>
              <a:chOff x="543795" y="6427539"/>
              <a:chExt cx="1343247" cy="465190"/>
            </a:xfrm>
          </xdr:grpSpPr>
          <xdr:sp macro="" textlink="$AS$19">
            <xdr:nvSpPr>
              <xdr:cNvPr id="653" name="qCE">
                <a:extLst>
                  <a:ext uri="{FF2B5EF4-FFF2-40B4-BE49-F238E27FC236}">
                    <a16:creationId xmlns:a16="http://schemas.microsoft.com/office/drawing/2014/main" id="{C74E26F8-CDBA-8118-0924-CD69F77B95AA}"/>
                  </a:ext>
                </a:extLst>
              </xdr:cNvPr>
              <xdr:cNvSpPr txBox="1"/>
            </xdr:nvSpPr>
            <xdr:spPr>
              <a:xfrm rot="18900000">
                <a:off x="613711" y="6480442"/>
                <a:ext cx="987900" cy="139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17E7709-7521-444D-A6FE-99140AB6B03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CE_Ver">
            <xdr:nvSpPr>
              <xdr:cNvPr id="654" name="q_CE">
                <a:extLst>
                  <a:ext uri="{FF2B5EF4-FFF2-40B4-BE49-F238E27FC236}">
                    <a16:creationId xmlns:a16="http://schemas.microsoft.com/office/drawing/2014/main" id="{5F9670C1-AF02-574B-ED32-9189C334AD11}"/>
                  </a:ext>
                </a:extLst>
              </xdr:cNvPr>
              <xdr:cNvSpPr txBox="1"/>
            </xdr:nvSpPr>
            <xdr:spPr>
              <a:xfrm rot="18900000">
                <a:off x="543795" y="6427539"/>
                <a:ext cx="991872" cy="140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72EF31D-DC70-4735-A601-AD2058E1F88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9">
            <xdr:nvSpPr>
              <xdr:cNvPr id="657" name="MzD'">
                <a:extLst>
                  <a:ext uri="{FF2B5EF4-FFF2-40B4-BE49-F238E27FC236}">
                    <a16:creationId xmlns:a16="http://schemas.microsoft.com/office/drawing/2014/main" id="{1C1C545B-E386-63AB-8287-85DEA595B97F}"/>
                  </a:ext>
                </a:extLst>
              </xdr:cNvPr>
              <xdr:cNvSpPr txBox="1"/>
            </xdr:nvSpPr>
            <xdr:spPr>
              <a:xfrm>
                <a:off x="1262548" y="6523520"/>
                <a:ext cx="88783" cy="141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BE0AD99-8CB1-430B-84A6-DEC8E03D2929}"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D1_Ver">
            <xdr:nvSpPr>
              <xdr:cNvPr id="658" name="Mz_D'">
                <a:extLst>
                  <a:ext uri="{FF2B5EF4-FFF2-40B4-BE49-F238E27FC236}">
                    <a16:creationId xmlns:a16="http://schemas.microsoft.com/office/drawing/2014/main" id="{6760D7F1-11A4-7361-1416-D11570F7929D}"/>
                  </a:ext>
                </a:extLst>
              </xdr:cNvPr>
              <xdr:cNvSpPr txBox="1"/>
            </xdr:nvSpPr>
            <xdr:spPr>
              <a:xfrm>
                <a:off x="1362512" y="6519810"/>
                <a:ext cx="524417" cy="141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D620F51-EE06-4289-95C7-68F7A1D23E5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9">
            <xdr:nvSpPr>
              <xdr:cNvPr id="659" name="FhD'">
                <a:extLst>
                  <a:ext uri="{FF2B5EF4-FFF2-40B4-BE49-F238E27FC236}">
                    <a16:creationId xmlns:a16="http://schemas.microsoft.com/office/drawing/2014/main" id="{E490B6E3-5F78-FF26-6959-D46E26379BDA}"/>
                  </a:ext>
                </a:extLst>
              </xdr:cNvPr>
              <xdr:cNvSpPr txBox="1"/>
            </xdr:nvSpPr>
            <xdr:spPr>
              <a:xfrm>
                <a:off x="1178811" y="6644972"/>
                <a:ext cx="198664" cy="141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8F77ED6-020B-46F6-9092-77354BCC06EF}"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D1_Ver">
            <xdr:nvSpPr>
              <xdr:cNvPr id="660" name="Fh_D'">
                <a:extLst>
                  <a:ext uri="{FF2B5EF4-FFF2-40B4-BE49-F238E27FC236}">
                    <a16:creationId xmlns:a16="http://schemas.microsoft.com/office/drawing/2014/main" id="{C12C60A5-D46C-C1AA-6885-39DA2247F39C}"/>
                  </a:ext>
                </a:extLst>
              </xdr:cNvPr>
              <xdr:cNvSpPr txBox="1"/>
            </xdr:nvSpPr>
            <xdr:spPr>
              <a:xfrm>
                <a:off x="1336080" y="6653821"/>
                <a:ext cx="550962" cy="125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93AAA06-8708-45A8-A8F6-6841AF7A9A31}" type="TxLink">
                  <a:rPr lang="en-US" sz="900" b="1" i="0" u="none" strike="noStrike">
                    <a:solidFill>
                      <a:srgbClr val="7030A0"/>
                    </a:solidFill>
                    <a:latin typeface="Calibri"/>
                    <a:ea typeface="Calibri"/>
                    <a:cs typeface="Calibri"/>
                  </a:rPr>
                  <a:pPr algn="l"/>
                  <a:t> </a:t>
                </a:fld>
                <a:endParaRPr lang="es-ES" sz="1400" b="1">
                  <a:solidFill>
                    <a:srgbClr val="0070C0"/>
                  </a:solidFill>
                </a:endParaRPr>
              </a:p>
            </xdr:txBody>
          </xdr:sp>
          <xdr:sp macro="" textlink="$AJ$19">
            <xdr:nvSpPr>
              <xdr:cNvPr id="661" name="FvD'">
                <a:extLst>
                  <a:ext uri="{FF2B5EF4-FFF2-40B4-BE49-F238E27FC236}">
                    <a16:creationId xmlns:a16="http://schemas.microsoft.com/office/drawing/2014/main" id="{16BDD59F-388A-D793-5891-D00A6F1B0D6E}"/>
                  </a:ext>
                </a:extLst>
              </xdr:cNvPr>
              <xdr:cNvSpPr txBox="1"/>
            </xdr:nvSpPr>
            <xdr:spPr>
              <a:xfrm>
                <a:off x="1064831" y="6663258"/>
                <a:ext cx="252510" cy="141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6D13458-4316-4768-80CD-0CF3EAD1064C}"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D1_Ver">
            <xdr:nvSpPr>
              <xdr:cNvPr id="662" name="Fv_D'">
                <a:extLst>
                  <a:ext uri="{FF2B5EF4-FFF2-40B4-BE49-F238E27FC236}">
                    <a16:creationId xmlns:a16="http://schemas.microsoft.com/office/drawing/2014/main" id="{4A3F6AB0-438A-5E78-6EC1-AF56B9093292}"/>
                  </a:ext>
                </a:extLst>
              </xdr:cNvPr>
              <xdr:cNvSpPr txBox="1"/>
            </xdr:nvSpPr>
            <xdr:spPr>
              <a:xfrm>
                <a:off x="953851" y="6765784"/>
                <a:ext cx="457431" cy="126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9803DC57-380B-4802-AD93-C4A22A184464}"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636" name="Cargas DE">
              <a:extLst>
                <a:ext uri="{FF2B5EF4-FFF2-40B4-BE49-F238E27FC236}">
                  <a16:creationId xmlns:a16="http://schemas.microsoft.com/office/drawing/2014/main" id="{38DE241E-3D1A-80A2-6D02-7D100E76D490}"/>
                </a:ext>
              </a:extLst>
            </xdr:cNvPr>
            <xdr:cNvGrpSpPr/>
          </xdr:nvGrpSpPr>
          <xdr:grpSpPr>
            <a:xfrm rot="5400000">
              <a:off x="638136" y="5486617"/>
              <a:ext cx="456786" cy="1361714"/>
              <a:chOff x="8643550" y="7722216"/>
              <a:chExt cx="456390" cy="1367515"/>
            </a:xfrm>
          </xdr:grpSpPr>
          <xdr:sp macro="" textlink="$AS$18">
            <xdr:nvSpPr>
              <xdr:cNvPr id="643" name="qDE">
                <a:extLst>
                  <a:ext uri="{FF2B5EF4-FFF2-40B4-BE49-F238E27FC236}">
                    <a16:creationId xmlns:a16="http://schemas.microsoft.com/office/drawing/2014/main" id="{F0CDBF03-C0B7-C87B-7DAD-24257DC2BF80}"/>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272930F-4B5D-4047-9045-D052AC8C1374}"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DE_Ver">
            <xdr:nvSpPr>
              <xdr:cNvPr id="644" name="q_DE">
                <a:extLst>
                  <a:ext uri="{FF2B5EF4-FFF2-40B4-BE49-F238E27FC236}">
                    <a16:creationId xmlns:a16="http://schemas.microsoft.com/office/drawing/2014/main" id="{D77F80D8-7392-F85E-DE98-A82F218B77ED}"/>
                  </a:ext>
                </a:extLst>
              </xdr:cNvPr>
              <xdr:cNvSpPr txBox="1"/>
            </xdr:nvSpPr>
            <xdr:spPr>
              <a:xfrm rot="16200000">
                <a:off x="8485767"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482A7FC-9D78-491E-8214-88507272A2F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8">
            <xdr:nvSpPr>
              <xdr:cNvPr id="645" name="MzD">
                <a:extLst>
                  <a:ext uri="{FF2B5EF4-FFF2-40B4-BE49-F238E27FC236}">
                    <a16:creationId xmlns:a16="http://schemas.microsoft.com/office/drawing/2014/main" id="{38737AE1-1BF6-DFC5-D29F-81AE301D3BCB}"/>
                  </a:ext>
                </a:extLst>
              </xdr:cNvPr>
              <xdr:cNvSpPr txBox="1"/>
            </xdr:nvSpPr>
            <xdr:spPr>
              <a:xfrm rot="16200000">
                <a:off x="8985079" y="8245581"/>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FC2FED2-347B-42EF-B387-499D4DABBF15}"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D_Ver">
            <xdr:nvSpPr>
              <xdr:cNvPr id="646" name="Mz_D">
                <a:extLst>
                  <a:ext uri="{FF2B5EF4-FFF2-40B4-BE49-F238E27FC236}">
                    <a16:creationId xmlns:a16="http://schemas.microsoft.com/office/drawing/2014/main" id="{DB327176-6C4C-E7F2-F65C-857153DF53CE}"/>
                  </a:ext>
                </a:extLst>
              </xdr:cNvPr>
              <xdr:cNvSpPr txBox="1"/>
            </xdr:nvSpPr>
            <xdr:spPr>
              <a:xfrm rot="16200000">
                <a:off x="8761580" y="7914932"/>
                <a:ext cx="526583" cy="14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025EF74-B12E-471C-A024-FAF71BEE1499}"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8">
            <xdr:nvSpPr>
              <xdr:cNvPr id="647" name="FhD">
                <a:extLst>
                  <a:ext uri="{FF2B5EF4-FFF2-40B4-BE49-F238E27FC236}">
                    <a16:creationId xmlns:a16="http://schemas.microsoft.com/office/drawing/2014/main" id="{C44381F4-E1CE-2766-8377-F74224AAED05}"/>
                  </a:ext>
                </a:extLst>
              </xdr:cNvPr>
              <xdr:cNvSpPr txBox="1"/>
            </xdr:nvSpPr>
            <xdr:spPr>
              <a:xfrm rot="16200000">
                <a:off x="8620934" y="8405546"/>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F514022-6022-490F-A493-648F3AD19E8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D_Ver">
            <xdr:nvSpPr>
              <xdr:cNvPr id="648" name="Fh_D">
                <a:extLst>
                  <a:ext uri="{FF2B5EF4-FFF2-40B4-BE49-F238E27FC236}">
                    <a16:creationId xmlns:a16="http://schemas.microsoft.com/office/drawing/2014/main" id="{C29BBF34-D80B-9494-EC95-EB2CD126E5E9}"/>
                  </a:ext>
                </a:extLst>
              </xdr:cNvPr>
              <xdr:cNvSpPr txBox="1"/>
            </xdr:nvSpPr>
            <xdr:spPr>
              <a:xfrm rot="16200000">
                <a:off x="8429410" y="875063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CAFDB647-C610-402C-8C7D-80B6AB031D3B}"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18">
            <xdr:nvSpPr>
              <xdr:cNvPr id="649" name="FvD">
                <a:extLst>
                  <a:ext uri="{FF2B5EF4-FFF2-40B4-BE49-F238E27FC236}">
                    <a16:creationId xmlns:a16="http://schemas.microsoft.com/office/drawing/2014/main" id="{F3AFF4C9-8B00-33EA-AB84-D588256C4259}"/>
                  </a:ext>
                </a:extLst>
              </xdr:cNvPr>
              <xdr:cNvSpPr txBox="1"/>
            </xdr:nvSpPr>
            <xdr:spPr>
              <a:xfrm rot="16200000">
                <a:off x="8690101" y="8411213"/>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F0186C7-9672-43C1-8B6D-34689A6425E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D_Ver">
            <xdr:nvSpPr>
              <xdr:cNvPr id="650" name="Fv_D">
                <a:extLst>
                  <a:ext uri="{FF2B5EF4-FFF2-40B4-BE49-F238E27FC236}">
                    <a16:creationId xmlns:a16="http://schemas.microsoft.com/office/drawing/2014/main" id="{2468E700-39E1-05B3-2559-40E417D0983A}"/>
                  </a:ext>
                </a:extLst>
              </xdr:cNvPr>
              <xdr:cNvSpPr txBox="1"/>
            </xdr:nvSpPr>
            <xdr:spPr>
              <a:xfrm rot="16200000">
                <a:off x="8588299" y="8705650"/>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9B990EC-8A0F-4BE2-9B07-86A0A7CBF3A8}"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620" name="Cargas EF">
              <a:extLst>
                <a:ext uri="{FF2B5EF4-FFF2-40B4-BE49-F238E27FC236}">
                  <a16:creationId xmlns:a16="http://schemas.microsoft.com/office/drawing/2014/main" id="{5BD2A79F-0935-6A41-56D9-ECCAF1CC32BD}"/>
                </a:ext>
              </a:extLst>
            </xdr:cNvPr>
            <xdr:cNvGrpSpPr/>
          </xdr:nvGrpSpPr>
          <xdr:grpSpPr>
            <a:xfrm rot="5400000">
              <a:off x="1186435" y="5514636"/>
              <a:ext cx="680076" cy="1288537"/>
              <a:chOff x="8523476" y="7797030"/>
              <a:chExt cx="678412" cy="1292690"/>
            </a:xfrm>
          </xdr:grpSpPr>
          <xdr:sp macro="" textlink="AS20">
            <xdr:nvSpPr>
              <xdr:cNvPr id="627" name="qEF">
                <a:extLst>
                  <a:ext uri="{FF2B5EF4-FFF2-40B4-BE49-F238E27FC236}">
                    <a16:creationId xmlns:a16="http://schemas.microsoft.com/office/drawing/2014/main" id="{78001C1D-7D28-8BB2-DEE1-4ED256561153}"/>
                  </a:ext>
                </a:extLst>
              </xdr:cNvPr>
              <xdr:cNvSpPr txBox="1"/>
            </xdr:nvSpPr>
            <xdr:spPr>
              <a:xfrm rot="16200000">
                <a:off x="8560557"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84EC8A9-64ED-48F3-B8BA-96E24A1ED189}"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EF_Ver">
            <xdr:nvSpPr>
              <xdr:cNvPr id="628" name="q_EF">
                <a:extLst>
                  <a:ext uri="{FF2B5EF4-FFF2-40B4-BE49-F238E27FC236}">
                    <a16:creationId xmlns:a16="http://schemas.microsoft.com/office/drawing/2014/main" id="{04508F0A-8CFD-C8A8-76C2-D0D5280F2C6F}"/>
                  </a:ext>
                </a:extLst>
              </xdr:cNvPr>
              <xdr:cNvSpPr txBox="1"/>
            </xdr:nvSpPr>
            <xdr:spPr>
              <a:xfrm rot="16200000">
                <a:off x="8485766"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3B3AB2D-A701-429B-88F5-7CB7265E4226}"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0">
            <xdr:nvSpPr>
              <xdr:cNvPr id="629" name="MzE">
                <a:extLst>
                  <a:ext uri="{FF2B5EF4-FFF2-40B4-BE49-F238E27FC236}">
                    <a16:creationId xmlns:a16="http://schemas.microsoft.com/office/drawing/2014/main" id="{1B0F5B48-84AE-F6AA-5D30-5749B1B8A253}"/>
                  </a:ext>
                </a:extLst>
              </xdr:cNvPr>
              <xdr:cNvSpPr txBox="1"/>
            </xdr:nvSpPr>
            <xdr:spPr>
              <a:xfrm rot="16200000">
                <a:off x="8990619" y="8407155"/>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CB5ADFE-4979-49EC-A420-D9C1B1579872}"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E_Ver">
            <xdr:nvSpPr>
              <xdr:cNvPr id="630" name="Mz_E">
                <a:extLst>
                  <a:ext uri="{FF2B5EF4-FFF2-40B4-BE49-F238E27FC236}">
                    <a16:creationId xmlns:a16="http://schemas.microsoft.com/office/drawing/2014/main" id="{E9676B96-0460-83FF-3C98-DCDFBE116D2A}"/>
                  </a:ext>
                </a:extLst>
              </xdr:cNvPr>
              <xdr:cNvSpPr txBox="1"/>
            </xdr:nvSpPr>
            <xdr:spPr>
              <a:xfrm rot="16200000">
                <a:off x="8867481" y="8192980"/>
                <a:ext cx="528056" cy="140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398B8B6-AD58-43E0-8A66-63B77C24094F}"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0">
            <xdr:nvSpPr>
              <xdr:cNvPr id="631" name="FhE">
                <a:extLst>
                  <a:ext uri="{FF2B5EF4-FFF2-40B4-BE49-F238E27FC236}">
                    <a16:creationId xmlns:a16="http://schemas.microsoft.com/office/drawing/2014/main" id="{55C78BC5-7EB5-9E68-D9C0-E137D53A21BC}"/>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5B7AB7B-91A2-4F2D-8948-7E612C8EF8AA}"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E_Ver">
            <xdr:nvSpPr>
              <xdr:cNvPr id="632" name="Fh_E">
                <a:extLst>
                  <a:ext uri="{FF2B5EF4-FFF2-40B4-BE49-F238E27FC236}">
                    <a16:creationId xmlns:a16="http://schemas.microsoft.com/office/drawing/2014/main" id="{26BC043B-225C-BECE-41E1-D3654848B014}"/>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DF6221E-1255-488B-9566-533E59F5BC6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0">
            <xdr:nvSpPr>
              <xdr:cNvPr id="633" name="FvE">
                <a:extLst>
                  <a:ext uri="{FF2B5EF4-FFF2-40B4-BE49-F238E27FC236}">
                    <a16:creationId xmlns:a16="http://schemas.microsoft.com/office/drawing/2014/main" id="{60182230-0C00-7DBF-D5FD-C37E2AE04BD0}"/>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3BB5C22-604B-4EE8-BE6A-1C94781EB56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E_Ver">
            <xdr:nvSpPr>
              <xdr:cNvPr id="634" name="Fv_E">
                <a:extLst>
                  <a:ext uri="{FF2B5EF4-FFF2-40B4-BE49-F238E27FC236}">
                    <a16:creationId xmlns:a16="http://schemas.microsoft.com/office/drawing/2014/main" id="{EC59D963-D753-AC29-AD5F-A84063B17900}"/>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9A2FBC3-8E6B-40D7-AB13-91C6D66B71FB}"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604" name="Cargas FG">
              <a:extLst>
                <a:ext uri="{FF2B5EF4-FFF2-40B4-BE49-F238E27FC236}">
                  <a16:creationId xmlns:a16="http://schemas.microsoft.com/office/drawing/2014/main" id="{B688E1DA-207F-A8DD-8B01-38032F9E89FC}"/>
                </a:ext>
              </a:extLst>
            </xdr:cNvPr>
            <xdr:cNvGrpSpPr/>
          </xdr:nvGrpSpPr>
          <xdr:grpSpPr>
            <a:xfrm rot="5400000">
              <a:off x="1921229" y="5449398"/>
              <a:ext cx="584108" cy="1324867"/>
              <a:chOff x="8523476" y="7784296"/>
              <a:chExt cx="582005" cy="1335522"/>
            </a:xfrm>
          </xdr:grpSpPr>
          <xdr:sp macro="" textlink="AS21">
            <xdr:nvSpPr>
              <xdr:cNvPr id="611" name="qFG">
                <a:extLst>
                  <a:ext uri="{FF2B5EF4-FFF2-40B4-BE49-F238E27FC236}">
                    <a16:creationId xmlns:a16="http://schemas.microsoft.com/office/drawing/2014/main" id="{85021F7F-82F5-A377-4B45-4F81487FEE73}"/>
                  </a:ext>
                </a:extLst>
              </xdr:cNvPr>
              <xdr:cNvSpPr txBox="1"/>
            </xdr:nvSpPr>
            <xdr:spPr>
              <a:xfrm rot="16200000">
                <a:off x="8560560" y="8044094"/>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3D33950-25C8-4E6A-892F-7125F4449D5D}"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FG_Ver">
            <xdr:nvSpPr>
              <xdr:cNvPr id="612" name="q_FG">
                <a:extLst>
                  <a:ext uri="{FF2B5EF4-FFF2-40B4-BE49-F238E27FC236}">
                    <a16:creationId xmlns:a16="http://schemas.microsoft.com/office/drawing/2014/main" id="{783DD1DB-A37C-C2B7-BA2E-8C60B08E7970}"/>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0F095CC-D423-41AC-9256-CE8F74F72DA9}"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1">
            <xdr:nvSpPr>
              <xdr:cNvPr id="613" name="MzF">
                <a:extLst>
                  <a:ext uri="{FF2B5EF4-FFF2-40B4-BE49-F238E27FC236}">
                    <a16:creationId xmlns:a16="http://schemas.microsoft.com/office/drawing/2014/main" id="{9A427C58-5F5D-312D-FE81-7CD9876A1CE0}"/>
                  </a:ext>
                </a:extLst>
              </xdr:cNvPr>
              <xdr:cNvSpPr txBox="1"/>
            </xdr:nvSpPr>
            <xdr:spPr>
              <a:xfrm rot="16200000">
                <a:off x="8990620" y="8527624"/>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5C3E4C5-4097-4099-96AA-2698214DA4A7}"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F_Ver">
            <xdr:nvSpPr>
              <xdr:cNvPr id="614" name="Mz_F">
                <a:extLst>
                  <a:ext uri="{FF2B5EF4-FFF2-40B4-BE49-F238E27FC236}">
                    <a16:creationId xmlns:a16="http://schemas.microsoft.com/office/drawing/2014/main" id="{0B0F1B26-6AE5-78B8-FBCB-3687AC0D9A92}"/>
                  </a:ext>
                </a:extLst>
              </xdr:cNvPr>
              <xdr:cNvSpPr txBox="1"/>
            </xdr:nvSpPr>
            <xdr:spPr>
              <a:xfrm rot="16200000">
                <a:off x="8762951" y="8786375"/>
                <a:ext cx="525423" cy="141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CDC23FC-235C-446A-9396-DB08E2543CC4}"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1">
            <xdr:nvSpPr>
              <xdr:cNvPr id="615" name="FhF">
                <a:extLst>
                  <a:ext uri="{FF2B5EF4-FFF2-40B4-BE49-F238E27FC236}">
                    <a16:creationId xmlns:a16="http://schemas.microsoft.com/office/drawing/2014/main" id="{C3EB7F79-4EC1-1315-A195-90EDED02EB04}"/>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16EAF29-A28B-4027-9C85-FDDB2AA9F8A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F_Ver">
            <xdr:nvSpPr>
              <xdr:cNvPr id="616" name="Fh_F">
                <a:extLst>
                  <a:ext uri="{FF2B5EF4-FFF2-40B4-BE49-F238E27FC236}">
                    <a16:creationId xmlns:a16="http://schemas.microsoft.com/office/drawing/2014/main" id="{FD91B4B3-9BFF-3579-D997-9CDEDFFA7A7D}"/>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81C56A7F-1A92-4EF2-B3CE-1636918379E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1">
            <xdr:nvSpPr>
              <xdr:cNvPr id="617" name="FvF">
                <a:extLst>
                  <a:ext uri="{FF2B5EF4-FFF2-40B4-BE49-F238E27FC236}">
                    <a16:creationId xmlns:a16="http://schemas.microsoft.com/office/drawing/2014/main" id="{33670BB0-7AEE-BDD5-CCAA-06A2A1229DB7}"/>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690EA4F-59EA-4F01-9051-1A31D01620BC}"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F_Ver">
            <xdr:nvSpPr>
              <xdr:cNvPr id="618" name="Fv_F">
                <a:extLst>
                  <a:ext uri="{FF2B5EF4-FFF2-40B4-BE49-F238E27FC236}">
                    <a16:creationId xmlns:a16="http://schemas.microsoft.com/office/drawing/2014/main" id="{2344AED7-9E97-729E-AF96-D43DA44F255C}"/>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A2A7E54-76D4-4E9A-91E0-A07ABC0E6F1E}"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588" name="Cargas GH">
              <a:extLst>
                <a:ext uri="{FF2B5EF4-FFF2-40B4-BE49-F238E27FC236}">
                  <a16:creationId xmlns:a16="http://schemas.microsoft.com/office/drawing/2014/main" id="{DE0E5804-96E3-F425-5E98-5ED580B08189}"/>
                </a:ext>
              </a:extLst>
            </xdr:cNvPr>
            <xdr:cNvGrpSpPr/>
          </xdr:nvGrpSpPr>
          <xdr:grpSpPr>
            <a:xfrm rot="5400000">
              <a:off x="2562605" y="5535265"/>
              <a:ext cx="713201" cy="1280923"/>
              <a:chOff x="8523476" y="7797030"/>
              <a:chExt cx="712789" cy="1292690"/>
            </a:xfrm>
          </xdr:grpSpPr>
          <xdr:sp macro="" textlink="AS22">
            <xdr:nvSpPr>
              <xdr:cNvPr id="595" name="qGH">
                <a:extLst>
                  <a:ext uri="{FF2B5EF4-FFF2-40B4-BE49-F238E27FC236}">
                    <a16:creationId xmlns:a16="http://schemas.microsoft.com/office/drawing/2014/main" id="{3C57C37E-F24B-3796-5909-79BD09B7D31E}"/>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998592B-116F-4D59-8424-4088644757C5}"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GH_Ver">
            <xdr:nvSpPr>
              <xdr:cNvPr id="596" name="q_GH">
                <a:extLst>
                  <a:ext uri="{FF2B5EF4-FFF2-40B4-BE49-F238E27FC236}">
                    <a16:creationId xmlns:a16="http://schemas.microsoft.com/office/drawing/2014/main" id="{E1439511-5CD0-D547-FC19-616CF16CE1A8}"/>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B140FC9-970F-4563-B047-8F0805DFF75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2">
            <xdr:nvSpPr>
              <xdr:cNvPr id="597" name="MzG">
                <a:extLst>
                  <a:ext uri="{FF2B5EF4-FFF2-40B4-BE49-F238E27FC236}">
                    <a16:creationId xmlns:a16="http://schemas.microsoft.com/office/drawing/2014/main" id="{DB012F21-4B1E-4E33-EAAB-8842C54925DE}"/>
                  </a:ext>
                </a:extLst>
              </xdr:cNvPr>
              <xdr:cNvSpPr txBox="1"/>
            </xdr:nvSpPr>
            <xdr:spPr>
              <a:xfrm rot="16200000">
                <a:off x="9017094" y="8354219"/>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E1B1BE4-A2DB-4B7F-9A13-C4256A717CD0}"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G_Ver">
            <xdr:nvSpPr>
              <xdr:cNvPr id="598" name="Mz_G">
                <a:extLst>
                  <a:ext uri="{FF2B5EF4-FFF2-40B4-BE49-F238E27FC236}">
                    <a16:creationId xmlns:a16="http://schemas.microsoft.com/office/drawing/2014/main" id="{EF63E5B6-E2CE-AA4D-62F4-611587BCA5B1}"/>
                  </a:ext>
                </a:extLst>
              </xdr:cNvPr>
              <xdr:cNvSpPr txBox="1"/>
            </xdr:nvSpPr>
            <xdr:spPr>
              <a:xfrm rot="16200000">
                <a:off x="8902397" y="8106038"/>
                <a:ext cx="526583" cy="14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CDE49E8-B0BC-41C4-AA16-6AAC636B5BA8}"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2">
            <xdr:nvSpPr>
              <xdr:cNvPr id="599" name="FhG">
                <a:extLst>
                  <a:ext uri="{FF2B5EF4-FFF2-40B4-BE49-F238E27FC236}">
                    <a16:creationId xmlns:a16="http://schemas.microsoft.com/office/drawing/2014/main" id="{B99D181D-3D23-B844-6BAB-DBE527B433FB}"/>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75F86B3-B093-4375-A503-D42375D9AC3B}"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G_Ver">
            <xdr:nvSpPr>
              <xdr:cNvPr id="600" name="Fh_G">
                <a:extLst>
                  <a:ext uri="{FF2B5EF4-FFF2-40B4-BE49-F238E27FC236}">
                    <a16:creationId xmlns:a16="http://schemas.microsoft.com/office/drawing/2014/main" id="{0469F092-86D8-9338-DA98-8503F3FC5118}"/>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9E614522-D572-4344-8F86-E8FDADDE17B1}"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2">
            <xdr:nvSpPr>
              <xdr:cNvPr id="601" name="FvG">
                <a:extLst>
                  <a:ext uri="{FF2B5EF4-FFF2-40B4-BE49-F238E27FC236}">
                    <a16:creationId xmlns:a16="http://schemas.microsoft.com/office/drawing/2014/main" id="{D8BB8A8C-D791-90B1-05C0-EEDAA297B7C3}"/>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7984A85-1008-4D42-A6AF-8E3B26DED4B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G_Ver">
            <xdr:nvSpPr>
              <xdr:cNvPr id="602" name="Fv_G">
                <a:extLst>
                  <a:ext uri="{FF2B5EF4-FFF2-40B4-BE49-F238E27FC236}">
                    <a16:creationId xmlns:a16="http://schemas.microsoft.com/office/drawing/2014/main" id="{797E239E-6D49-8629-D0F5-BCD2522665B0}"/>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56943052-D66E-4739-AE50-8EC887686D00}"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89" name="Cargas HI">
              <a:extLst>
                <a:ext uri="{FF2B5EF4-FFF2-40B4-BE49-F238E27FC236}">
                  <a16:creationId xmlns:a16="http://schemas.microsoft.com/office/drawing/2014/main" id="{2978A4C3-6310-65B6-C1AE-694B67144644}"/>
                </a:ext>
              </a:extLst>
            </xdr:cNvPr>
            <xdr:cNvGrpSpPr/>
          </xdr:nvGrpSpPr>
          <xdr:grpSpPr>
            <a:xfrm>
              <a:off x="2971279" y="5820489"/>
              <a:ext cx="2227074" cy="1025174"/>
              <a:chOff x="2971279" y="5820489"/>
              <a:chExt cx="2227074" cy="1025174"/>
            </a:xfrm>
          </xdr:grpSpPr>
          <xdr:sp macro="" textlink="AS23">
            <xdr:nvSpPr>
              <xdr:cNvPr id="579" name="qHI">
                <a:extLst>
                  <a:ext uri="{FF2B5EF4-FFF2-40B4-BE49-F238E27FC236}">
                    <a16:creationId xmlns:a16="http://schemas.microsoft.com/office/drawing/2014/main" id="{777A3E8F-0183-EE14-ED8D-A21CEC769E2F}"/>
                  </a:ext>
                </a:extLst>
              </xdr:cNvPr>
              <xdr:cNvSpPr txBox="1"/>
            </xdr:nvSpPr>
            <xdr:spPr>
              <a:xfrm>
                <a:off x="3599366" y="6118119"/>
                <a:ext cx="656168" cy="141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1296B9A-7550-46E6-AFE9-8CDBE7359FC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HI_Ver">
            <xdr:nvSpPr>
              <xdr:cNvPr id="580" name="q_HI">
                <a:extLst>
                  <a:ext uri="{FF2B5EF4-FFF2-40B4-BE49-F238E27FC236}">
                    <a16:creationId xmlns:a16="http://schemas.microsoft.com/office/drawing/2014/main" id="{562136F9-E395-19C7-90F1-A7E1775D1CAC}"/>
                  </a:ext>
                </a:extLst>
              </xdr:cNvPr>
              <xdr:cNvSpPr txBox="1"/>
            </xdr:nvSpPr>
            <xdr:spPr>
              <a:xfrm>
                <a:off x="3648542" y="6019885"/>
                <a:ext cx="606989" cy="141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9D1C04D-4986-44DA-9E8C-731A8852CC1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3">
            <xdr:nvSpPr>
              <xdr:cNvPr id="581" name="MzH">
                <a:extLst>
                  <a:ext uri="{FF2B5EF4-FFF2-40B4-BE49-F238E27FC236}">
                    <a16:creationId xmlns:a16="http://schemas.microsoft.com/office/drawing/2014/main" id="{FD31495A-1024-FBE5-18D3-3F4B829FB9FB}"/>
                  </a:ext>
                </a:extLst>
              </xdr:cNvPr>
              <xdr:cNvSpPr txBox="1"/>
            </xdr:nvSpPr>
            <xdr:spPr>
              <a:xfrm>
                <a:off x="3514301" y="6263031"/>
                <a:ext cx="88568" cy="140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4633F79-7B73-49E9-98CA-C7F4BD7B3CB0}"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H_Ver">
            <xdr:nvSpPr>
              <xdr:cNvPr id="582" name="Mz_H">
                <a:extLst>
                  <a:ext uri="{FF2B5EF4-FFF2-40B4-BE49-F238E27FC236}">
                    <a16:creationId xmlns:a16="http://schemas.microsoft.com/office/drawing/2014/main" id="{24FBD639-19D1-16C6-AA4B-830C169B7B99}"/>
                  </a:ext>
                </a:extLst>
              </xdr:cNvPr>
              <xdr:cNvSpPr txBox="1"/>
            </xdr:nvSpPr>
            <xdr:spPr>
              <a:xfrm rot="16200000">
                <a:off x="3288603" y="6513147"/>
                <a:ext cx="523665" cy="141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A5A0400-2690-40F9-AC2B-336D163901AD}"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3">
            <xdr:nvSpPr>
              <xdr:cNvPr id="583" name="FhH">
                <a:extLst>
                  <a:ext uri="{FF2B5EF4-FFF2-40B4-BE49-F238E27FC236}">
                    <a16:creationId xmlns:a16="http://schemas.microsoft.com/office/drawing/2014/main" id="{CC9E1691-C4DD-7E0D-0FD4-474655C3EF29}"/>
                  </a:ext>
                </a:extLst>
              </xdr:cNvPr>
              <xdr:cNvSpPr txBox="1"/>
            </xdr:nvSpPr>
            <xdr:spPr>
              <a:xfrm>
                <a:off x="3482178" y="5827472"/>
                <a:ext cx="198182" cy="140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D337A5A-399F-405C-8642-1920CE8F6CAD}"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H_Ver">
            <xdr:nvSpPr>
              <xdr:cNvPr id="584" name="Fh_H">
                <a:extLst>
                  <a:ext uri="{FF2B5EF4-FFF2-40B4-BE49-F238E27FC236}">
                    <a16:creationId xmlns:a16="http://schemas.microsoft.com/office/drawing/2014/main" id="{8384EDB3-6DC5-53A5-3628-F98C526506F6}"/>
                  </a:ext>
                </a:extLst>
              </xdr:cNvPr>
              <xdr:cNvSpPr txBox="1"/>
            </xdr:nvSpPr>
            <xdr:spPr>
              <a:xfrm>
                <a:off x="2971279" y="5820489"/>
                <a:ext cx="549627" cy="125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E1F3339-69FE-44F7-9719-BEF929044CD0}"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3">
            <xdr:nvSpPr>
              <xdr:cNvPr id="585" name="FvH">
                <a:extLst>
                  <a:ext uri="{FF2B5EF4-FFF2-40B4-BE49-F238E27FC236}">
                    <a16:creationId xmlns:a16="http://schemas.microsoft.com/office/drawing/2014/main" id="{4B7F5CA0-CC40-83A2-28EB-19C63F9C91B3}"/>
                  </a:ext>
                </a:extLst>
              </xdr:cNvPr>
              <xdr:cNvSpPr txBox="1"/>
            </xdr:nvSpPr>
            <xdr:spPr>
              <a:xfrm>
                <a:off x="3449657" y="5922043"/>
                <a:ext cx="251899" cy="140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CF197C7-B271-44FD-98FC-7B2D38813E52}"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H_Ver">
            <xdr:nvSpPr>
              <xdr:cNvPr id="586" name="Fv_H">
                <a:extLst>
                  <a:ext uri="{FF2B5EF4-FFF2-40B4-BE49-F238E27FC236}">
                    <a16:creationId xmlns:a16="http://schemas.microsoft.com/office/drawing/2014/main" id="{4CE5FD5C-905C-09CA-63EB-B60A819BE6A4}"/>
                  </a:ext>
                </a:extLst>
              </xdr:cNvPr>
              <xdr:cNvSpPr txBox="1"/>
            </xdr:nvSpPr>
            <xdr:spPr>
              <a:xfrm>
                <a:off x="3061194" y="5931532"/>
                <a:ext cx="458395" cy="126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2CA07029-9CB7-4993-AC0A-319DA61F51BE}"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sp macro="" textlink="$AP$24">
            <xdr:nvSpPr>
              <xdr:cNvPr id="569" name="MzI">
                <a:extLst>
                  <a:ext uri="{FF2B5EF4-FFF2-40B4-BE49-F238E27FC236}">
                    <a16:creationId xmlns:a16="http://schemas.microsoft.com/office/drawing/2014/main" id="{A0E259DF-0C61-FFBD-B2B1-DFFDF6DFC30C}"/>
                  </a:ext>
                </a:extLst>
              </xdr:cNvPr>
              <xdr:cNvSpPr txBox="1"/>
            </xdr:nvSpPr>
            <xdr:spPr>
              <a:xfrm>
                <a:off x="4359522" y="6070003"/>
                <a:ext cx="88514" cy="14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9B64E93-F000-4D2A-A055-3467C118FB8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I_Ver">
            <xdr:nvSpPr>
              <xdr:cNvPr id="570" name="Mz_I">
                <a:extLst>
                  <a:ext uri="{FF2B5EF4-FFF2-40B4-BE49-F238E27FC236}">
                    <a16:creationId xmlns:a16="http://schemas.microsoft.com/office/drawing/2014/main" id="{0A0A695E-8055-9C9F-85C8-EF895CE4409C}"/>
                  </a:ext>
                </a:extLst>
              </xdr:cNvPr>
              <xdr:cNvSpPr txBox="1"/>
            </xdr:nvSpPr>
            <xdr:spPr>
              <a:xfrm>
                <a:off x="4470012" y="6062778"/>
                <a:ext cx="525405" cy="140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EEF8E79-B28E-40DC-8081-124538E113B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4">
            <xdr:nvSpPr>
              <xdr:cNvPr id="571" name="FhI">
                <a:extLst>
                  <a:ext uri="{FF2B5EF4-FFF2-40B4-BE49-F238E27FC236}">
                    <a16:creationId xmlns:a16="http://schemas.microsoft.com/office/drawing/2014/main" id="{EF26B451-A31C-27E5-955C-19A4EDAE6A37}"/>
                  </a:ext>
                </a:extLst>
              </xdr:cNvPr>
              <xdr:cNvSpPr txBox="1"/>
            </xdr:nvSpPr>
            <xdr:spPr>
              <a:xfrm>
                <a:off x="4472891" y="6165042"/>
                <a:ext cx="198060" cy="14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8F0762B-85CB-44DE-9CAC-EA0D43055B60}"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I_Ver">
            <xdr:nvSpPr>
              <xdr:cNvPr id="572" name="Fh_I">
                <a:extLst>
                  <a:ext uri="{FF2B5EF4-FFF2-40B4-BE49-F238E27FC236}">
                    <a16:creationId xmlns:a16="http://schemas.microsoft.com/office/drawing/2014/main" id="{491E49F3-7383-D877-05B9-6694E389AA6A}"/>
                  </a:ext>
                </a:extLst>
              </xdr:cNvPr>
              <xdr:cNvSpPr txBox="1"/>
            </xdr:nvSpPr>
            <xdr:spPr>
              <a:xfrm>
                <a:off x="4649066" y="6162831"/>
                <a:ext cx="549287" cy="125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E3D6144C-914B-4DC0-90B4-3A18C83E0124}" type="TxLink">
                  <a:rPr lang="en-US" sz="900" b="1" i="0" u="none" strike="noStrike">
                    <a:solidFill>
                      <a:srgbClr val="7030A0"/>
                    </a:solidFill>
                    <a:latin typeface="Calibri"/>
                    <a:ea typeface="Calibri"/>
                    <a:cs typeface="Calibri"/>
                  </a:rPr>
                  <a:pPr algn="l"/>
                  <a:t> </a:t>
                </a:fld>
                <a:endParaRPr lang="es-ES" sz="1400" b="1">
                  <a:solidFill>
                    <a:srgbClr val="0070C0"/>
                  </a:solidFill>
                </a:endParaRPr>
              </a:p>
            </xdr:txBody>
          </xdr:sp>
          <xdr:sp macro="" textlink="$AJ$24">
            <xdr:nvSpPr>
              <xdr:cNvPr id="573" name="FvI">
                <a:extLst>
                  <a:ext uri="{FF2B5EF4-FFF2-40B4-BE49-F238E27FC236}">
                    <a16:creationId xmlns:a16="http://schemas.microsoft.com/office/drawing/2014/main" id="{8E6A7D90-817E-0FDC-8127-FDF5A5A11E09}"/>
                  </a:ext>
                </a:extLst>
              </xdr:cNvPr>
              <xdr:cNvSpPr txBox="1"/>
            </xdr:nvSpPr>
            <xdr:spPr>
              <a:xfrm>
                <a:off x="4133030" y="5910833"/>
                <a:ext cx="251743" cy="140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1F922A0-684A-4745-938D-A226F1CFF2B7}"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I_Ver">
            <xdr:nvSpPr>
              <xdr:cNvPr id="574" name="Fv_I">
                <a:extLst>
                  <a:ext uri="{FF2B5EF4-FFF2-40B4-BE49-F238E27FC236}">
                    <a16:creationId xmlns:a16="http://schemas.microsoft.com/office/drawing/2014/main" id="{29B7E94A-CC22-6477-FCBF-4833D4AAA60B}"/>
                  </a:ext>
                </a:extLst>
              </xdr:cNvPr>
              <xdr:cNvSpPr txBox="1"/>
            </xdr:nvSpPr>
            <xdr:spPr>
              <a:xfrm>
                <a:off x="3744808" y="5920333"/>
                <a:ext cx="458111" cy="126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2E14A15-C0AB-4941-AA31-2CBBE3278DD4}"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548" name="Cargas GJ">
              <a:extLst>
                <a:ext uri="{FF2B5EF4-FFF2-40B4-BE49-F238E27FC236}">
                  <a16:creationId xmlns:a16="http://schemas.microsoft.com/office/drawing/2014/main" id="{4C9CE0D0-A24A-CB57-1E9C-FF9ABECBF7DC}"/>
                </a:ext>
              </a:extLst>
            </xdr:cNvPr>
            <xdr:cNvGrpSpPr/>
          </xdr:nvGrpSpPr>
          <xdr:grpSpPr>
            <a:xfrm>
              <a:off x="2480516" y="6275759"/>
              <a:ext cx="1080825" cy="963899"/>
              <a:chOff x="8551199" y="7797030"/>
              <a:chExt cx="1084444" cy="965611"/>
            </a:xfrm>
          </xdr:grpSpPr>
          <xdr:sp macro="" textlink="AS24">
            <xdr:nvSpPr>
              <xdr:cNvPr id="555" name="qGJ">
                <a:extLst>
                  <a:ext uri="{FF2B5EF4-FFF2-40B4-BE49-F238E27FC236}">
                    <a16:creationId xmlns:a16="http://schemas.microsoft.com/office/drawing/2014/main" id="{DD5FEDCC-708F-8EFF-6D0C-0E25EC78EFB3}"/>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276DDCD-13FB-4D82-8B34-3124C5E9D02E}"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GJ_Ver">
            <xdr:nvSpPr>
              <xdr:cNvPr id="556" name="q_GJ">
                <a:extLst>
                  <a:ext uri="{FF2B5EF4-FFF2-40B4-BE49-F238E27FC236}">
                    <a16:creationId xmlns:a16="http://schemas.microsoft.com/office/drawing/2014/main" id="{9AEA61B0-D202-90B6-BC38-14094F922D8D}"/>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769EF9E-955D-48B4-902B-EE596163156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5">
            <xdr:nvSpPr>
              <xdr:cNvPr id="557" name="MzJ">
                <a:extLst>
                  <a:ext uri="{FF2B5EF4-FFF2-40B4-BE49-F238E27FC236}">
                    <a16:creationId xmlns:a16="http://schemas.microsoft.com/office/drawing/2014/main" id="{74789231-AA7A-5619-16E7-D1BA1AF1D714}"/>
                  </a:ext>
                </a:extLst>
              </xdr:cNvPr>
              <xdr:cNvSpPr txBox="1"/>
            </xdr:nvSpPr>
            <xdr:spPr>
              <a:xfrm>
                <a:off x="9005676" y="8309722"/>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F70635E-F300-4309-A065-99DCD38DE72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J_Ver">
            <xdr:nvSpPr>
              <xdr:cNvPr id="558" name="Mz_J">
                <a:extLst>
                  <a:ext uri="{FF2B5EF4-FFF2-40B4-BE49-F238E27FC236}">
                    <a16:creationId xmlns:a16="http://schemas.microsoft.com/office/drawing/2014/main" id="{644BD00A-414A-92B0-F640-BB78C4038E38}"/>
                  </a:ext>
                </a:extLst>
              </xdr:cNvPr>
              <xdr:cNvSpPr txBox="1"/>
            </xdr:nvSpPr>
            <xdr:spPr>
              <a:xfrm>
                <a:off x="9112300" y="8306153"/>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81E81E1-F11C-4EE7-B2DA-2642928F7B23}"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5">
            <xdr:nvSpPr>
              <xdr:cNvPr id="559" name="FhJ">
                <a:extLst>
                  <a:ext uri="{FF2B5EF4-FFF2-40B4-BE49-F238E27FC236}">
                    <a16:creationId xmlns:a16="http://schemas.microsoft.com/office/drawing/2014/main" id="{EE5A7821-75A9-1594-7609-AF939E7EF151}"/>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C5BBBA0-1ABC-44A2-89DD-F3AFED870D8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J_Ver">
            <xdr:nvSpPr>
              <xdr:cNvPr id="560" name="Fh_J">
                <a:extLst>
                  <a:ext uri="{FF2B5EF4-FFF2-40B4-BE49-F238E27FC236}">
                    <a16:creationId xmlns:a16="http://schemas.microsoft.com/office/drawing/2014/main" id="{0F28254F-D012-99B7-E008-17F57AED5D21}"/>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5DAE75C-240C-4F26-9925-9F1B5183ACD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25">
            <xdr:nvSpPr>
              <xdr:cNvPr id="561" name="FvJ">
                <a:extLst>
                  <a:ext uri="{FF2B5EF4-FFF2-40B4-BE49-F238E27FC236}">
                    <a16:creationId xmlns:a16="http://schemas.microsoft.com/office/drawing/2014/main" id="{311083D2-F096-CC68-276E-D4AE549266E1}"/>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90CB0E0-81B2-4E22-8082-36632EC5699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J_Ver">
            <xdr:nvSpPr>
              <xdr:cNvPr id="562" name="Fv_J">
                <a:extLst>
                  <a:ext uri="{FF2B5EF4-FFF2-40B4-BE49-F238E27FC236}">
                    <a16:creationId xmlns:a16="http://schemas.microsoft.com/office/drawing/2014/main" id="{61AB4FF3-CC81-60AE-EA32-6060B0B6B6A8}"/>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A6BD8AF-EFBD-4A85-AF1B-1A7A02A70876}"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532" name="Cargas JK">
              <a:extLst>
                <a:ext uri="{FF2B5EF4-FFF2-40B4-BE49-F238E27FC236}">
                  <a16:creationId xmlns:a16="http://schemas.microsoft.com/office/drawing/2014/main" id="{DF1745DC-F038-8C7B-B32E-B715462B4E8F}"/>
                </a:ext>
              </a:extLst>
            </xdr:cNvPr>
            <xdr:cNvGrpSpPr/>
          </xdr:nvGrpSpPr>
          <xdr:grpSpPr>
            <a:xfrm>
              <a:off x="2480415" y="6975218"/>
              <a:ext cx="1010670" cy="1350584"/>
              <a:chOff x="8551199" y="7797030"/>
              <a:chExt cx="1014255" cy="1353377"/>
            </a:xfrm>
          </xdr:grpSpPr>
          <xdr:sp macro="" textlink="AS25">
            <xdr:nvSpPr>
              <xdr:cNvPr id="539" name="qJK">
                <a:extLst>
                  <a:ext uri="{FF2B5EF4-FFF2-40B4-BE49-F238E27FC236}">
                    <a16:creationId xmlns:a16="http://schemas.microsoft.com/office/drawing/2014/main" id="{CC561284-E4E8-91E7-3498-F0C7D788E571}"/>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878A490-C0BD-4EC2-8BAD-321DA1AD869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JK_Ver">
            <xdr:nvSpPr>
              <xdr:cNvPr id="540" name="q_JK">
                <a:extLst>
                  <a:ext uri="{FF2B5EF4-FFF2-40B4-BE49-F238E27FC236}">
                    <a16:creationId xmlns:a16="http://schemas.microsoft.com/office/drawing/2014/main" id="{47C3AC2C-F18A-760F-A2F7-15363A94286F}"/>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51202CD-4A48-452C-9387-3854B3FE1054}"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6">
            <xdr:nvSpPr>
              <xdr:cNvPr id="541" name="MzK">
                <a:extLst>
                  <a:ext uri="{FF2B5EF4-FFF2-40B4-BE49-F238E27FC236}">
                    <a16:creationId xmlns:a16="http://schemas.microsoft.com/office/drawing/2014/main" id="{24E49AB2-E4D3-C395-4DEE-7F2E07E890A1}"/>
                  </a:ext>
                </a:extLst>
              </xdr:cNvPr>
              <xdr:cNvSpPr txBox="1"/>
            </xdr:nvSpPr>
            <xdr:spPr>
              <a:xfrm>
                <a:off x="8894333" y="8485079"/>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CAA6A0F-0909-4EA4-857D-5514B29DC2B5}"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K_Ver">
            <xdr:nvSpPr>
              <xdr:cNvPr id="542" name="Mz_K">
                <a:extLst>
                  <a:ext uri="{FF2B5EF4-FFF2-40B4-BE49-F238E27FC236}">
                    <a16:creationId xmlns:a16="http://schemas.microsoft.com/office/drawing/2014/main" id="{61BD72A2-27CE-9AE9-C85A-164075931F9C}"/>
                  </a:ext>
                </a:extLst>
              </xdr:cNvPr>
              <xdr:cNvSpPr txBox="1"/>
            </xdr:nvSpPr>
            <xdr:spPr>
              <a:xfrm rot="16200000">
                <a:off x="8667084" y="8817831"/>
                <a:ext cx="523045" cy="142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34900774-0551-4F62-A129-A94D05E482FA}" type="TxLink">
                  <a:rPr lang="en-US" sz="900" b="1" i="0" u="none" strike="noStrike">
                    <a:solidFill>
                      <a:srgbClr val="00B050"/>
                    </a:solidFill>
                    <a:latin typeface="Calibri"/>
                    <a:ea typeface="Calibri"/>
                    <a:cs typeface="Calibri"/>
                  </a:rPr>
                  <a:pPr algn="r"/>
                  <a:t> </a:t>
                </a:fld>
                <a:endParaRPr lang="es-ES" sz="1400" b="1">
                  <a:solidFill>
                    <a:srgbClr val="0070C0"/>
                  </a:solidFill>
                </a:endParaRPr>
              </a:p>
            </xdr:txBody>
          </xdr:sp>
          <xdr:sp macro="" textlink="AM26">
            <xdr:nvSpPr>
              <xdr:cNvPr id="543" name="FhK">
                <a:extLst>
                  <a:ext uri="{FF2B5EF4-FFF2-40B4-BE49-F238E27FC236}">
                    <a16:creationId xmlns:a16="http://schemas.microsoft.com/office/drawing/2014/main" id="{73DD84B0-2DF3-B0DE-4FC3-164B8315076A}"/>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B76B718-3AE2-47BB-8E7F-089133AB52F9}"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K_Ver">
            <xdr:nvSpPr>
              <xdr:cNvPr id="544" name="Fh_K">
                <a:extLst>
                  <a:ext uri="{FF2B5EF4-FFF2-40B4-BE49-F238E27FC236}">
                    <a16:creationId xmlns:a16="http://schemas.microsoft.com/office/drawing/2014/main" id="{5BA77EAF-E198-3960-D6FB-2538BAAA6DCF}"/>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DE8E969-1B3B-46D0-9F88-F631E62A3BB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26">
            <xdr:nvSpPr>
              <xdr:cNvPr id="545" name="FvK">
                <a:extLst>
                  <a:ext uri="{FF2B5EF4-FFF2-40B4-BE49-F238E27FC236}">
                    <a16:creationId xmlns:a16="http://schemas.microsoft.com/office/drawing/2014/main" id="{23D91CFE-00AA-DAF0-7CE6-3EF87DFE51A4}"/>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B8FC98F-F0D8-4FD6-BE10-87D1017FDCE4}"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K_Ver">
            <xdr:nvSpPr>
              <xdr:cNvPr id="546" name="Fv_K">
                <a:extLst>
                  <a:ext uri="{FF2B5EF4-FFF2-40B4-BE49-F238E27FC236}">
                    <a16:creationId xmlns:a16="http://schemas.microsoft.com/office/drawing/2014/main" id="{18F14336-5F9E-33F5-2159-AAE7F3036AE1}"/>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852F8CE-1E78-42E9-BF17-8D453FD96FEC}"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523" name="Cargas KL">
              <a:extLst>
                <a:ext uri="{FF2B5EF4-FFF2-40B4-BE49-F238E27FC236}">
                  <a16:creationId xmlns:a16="http://schemas.microsoft.com/office/drawing/2014/main" id="{F4AE8259-53F5-2789-234D-BD4612C7D748}"/>
                </a:ext>
              </a:extLst>
            </xdr:cNvPr>
            <xdr:cNvGrpSpPr/>
          </xdr:nvGrpSpPr>
          <xdr:grpSpPr>
            <a:xfrm rot="5400000">
              <a:off x="3103620" y="7220409"/>
              <a:ext cx="240938" cy="657254"/>
              <a:chOff x="8720523" y="7797030"/>
              <a:chExt cx="240717" cy="660478"/>
            </a:xfrm>
          </xdr:grpSpPr>
          <xdr:sp macro="" textlink="AS26">
            <xdr:nvSpPr>
              <xdr:cNvPr id="529" name="qKL">
                <a:extLst>
                  <a:ext uri="{FF2B5EF4-FFF2-40B4-BE49-F238E27FC236}">
                    <a16:creationId xmlns:a16="http://schemas.microsoft.com/office/drawing/2014/main" id="{801A4EF4-934B-F9AC-624D-25D5C2781D0B}"/>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A70D39E-4F9C-4039-ADE9-405E2EA52A86}"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KL_Ver">
            <xdr:nvSpPr>
              <xdr:cNvPr id="530" name="q_KL">
                <a:extLst>
                  <a:ext uri="{FF2B5EF4-FFF2-40B4-BE49-F238E27FC236}">
                    <a16:creationId xmlns:a16="http://schemas.microsoft.com/office/drawing/2014/main" id="{A2C584E1-5030-2F33-7C18-26A2CA11295A}"/>
                  </a:ext>
                </a:extLst>
              </xdr:cNvPr>
              <xdr:cNvSpPr txBox="1"/>
            </xdr:nvSpPr>
            <xdr:spPr>
              <a:xfrm rot="16200000">
                <a:off x="8485766"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381E1F8-4458-4533-9979-5C9433271833}"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grpSp>
        <xdr:grpSp>
          <xdr:nvGrpSpPr>
            <xdr:cNvPr id="507" name="Cargas LM">
              <a:extLst>
                <a:ext uri="{FF2B5EF4-FFF2-40B4-BE49-F238E27FC236}">
                  <a16:creationId xmlns:a16="http://schemas.microsoft.com/office/drawing/2014/main" id="{1E99F7DD-62C1-C76A-E607-725A06BCF63F}"/>
                </a:ext>
              </a:extLst>
            </xdr:cNvPr>
            <xdr:cNvGrpSpPr/>
          </xdr:nvGrpSpPr>
          <xdr:grpSpPr>
            <a:xfrm rot="5400000">
              <a:off x="3312430" y="6858539"/>
              <a:ext cx="561300" cy="1308498"/>
              <a:chOff x="8523476" y="7797030"/>
              <a:chExt cx="559680" cy="1316601"/>
            </a:xfrm>
          </xdr:grpSpPr>
          <xdr:sp macro="" textlink="AS27">
            <xdr:nvSpPr>
              <xdr:cNvPr id="514" name="qLM">
                <a:extLst>
                  <a:ext uri="{FF2B5EF4-FFF2-40B4-BE49-F238E27FC236}">
                    <a16:creationId xmlns:a16="http://schemas.microsoft.com/office/drawing/2014/main" id="{464A8297-84CB-F0D4-823C-AA30A82EED78}"/>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F380F7D-7253-4583-9828-5048E5274F6B}"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LM_Ver">
            <xdr:nvSpPr>
              <xdr:cNvPr id="515" name="q_LM">
                <a:extLst>
                  <a:ext uri="{FF2B5EF4-FFF2-40B4-BE49-F238E27FC236}">
                    <a16:creationId xmlns:a16="http://schemas.microsoft.com/office/drawing/2014/main" id="{0C69C233-E07C-8D08-1B21-C428A7677C3F}"/>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31D4001-1F36-4A5A-BBAD-F95534749EC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7">
            <xdr:nvSpPr>
              <xdr:cNvPr id="516" name="MzL">
                <a:extLst>
                  <a:ext uri="{FF2B5EF4-FFF2-40B4-BE49-F238E27FC236}">
                    <a16:creationId xmlns:a16="http://schemas.microsoft.com/office/drawing/2014/main" id="{F2D812C6-FDDE-BE78-AD20-02B17DC90772}"/>
                  </a:ext>
                </a:extLst>
              </xdr:cNvPr>
              <xdr:cNvSpPr txBox="1"/>
            </xdr:nvSpPr>
            <xdr:spPr>
              <a:xfrm>
                <a:off x="8970544" y="8530405"/>
                <a:ext cx="88537" cy="141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26A32F5-D1C0-40BD-9137-6979847C7537}"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L_Ver">
            <xdr:nvSpPr>
              <xdr:cNvPr id="517" name="Mz_L">
                <a:extLst>
                  <a:ext uri="{FF2B5EF4-FFF2-40B4-BE49-F238E27FC236}">
                    <a16:creationId xmlns:a16="http://schemas.microsoft.com/office/drawing/2014/main" id="{EC072BB1-C408-6548-7EB3-610610E450AF}"/>
                  </a:ext>
                </a:extLst>
              </xdr:cNvPr>
              <xdr:cNvSpPr txBox="1"/>
            </xdr:nvSpPr>
            <xdr:spPr>
              <a:xfrm rot="16200000">
                <a:off x="8749513" y="8779988"/>
                <a:ext cx="525969" cy="141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E8D1245-6858-4F22-A39E-9FF9DC956F3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7">
            <xdr:nvSpPr>
              <xdr:cNvPr id="518" name="FhL">
                <a:extLst>
                  <a:ext uri="{FF2B5EF4-FFF2-40B4-BE49-F238E27FC236}">
                    <a16:creationId xmlns:a16="http://schemas.microsoft.com/office/drawing/2014/main" id="{B3FA655E-DF6B-9440-754B-360C8976CAFC}"/>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56C9F00-BEFD-4ADC-88E5-B3B076AEDD71}"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L_Ver">
            <xdr:nvSpPr>
              <xdr:cNvPr id="519" name="Fh_L">
                <a:extLst>
                  <a:ext uri="{FF2B5EF4-FFF2-40B4-BE49-F238E27FC236}">
                    <a16:creationId xmlns:a16="http://schemas.microsoft.com/office/drawing/2014/main" id="{1B070D7A-EEC0-5C1A-CF0D-BAE1ED5F323D}"/>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A58FB8D9-FEAF-4F4E-9463-4E44D93C575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7">
            <xdr:nvSpPr>
              <xdr:cNvPr id="520" name="FvL">
                <a:extLst>
                  <a:ext uri="{FF2B5EF4-FFF2-40B4-BE49-F238E27FC236}">
                    <a16:creationId xmlns:a16="http://schemas.microsoft.com/office/drawing/2014/main" id="{E800DF8A-A026-B55A-59C3-12670C9A549D}"/>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1F43AB7-C44D-4CA0-B4A4-F64161874985}"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L_Ver">
            <xdr:nvSpPr>
              <xdr:cNvPr id="521" name="Fv_L">
                <a:extLst>
                  <a:ext uri="{FF2B5EF4-FFF2-40B4-BE49-F238E27FC236}">
                    <a16:creationId xmlns:a16="http://schemas.microsoft.com/office/drawing/2014/main" id="{D3BD732C-5A1D-8EAE-904A-590C3151B04D}"/>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5C76FBD-1F79-4AA9-8DE6-A6FB1E03D44C}"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87" name="Cargas MN">
              <a:extLst>
                <a:ext uri="{FF2B5EF4-FFF2-40B4-BE49-F238E27FC236}">
                  <a16:creationId xmlns:a16="http://schemas.microsoft.com/office/drawing/2014/main" id="{CFF81B87-6E99-6595-30F8-F754D8858663}"/>
                </a:ext>
              </a:extLst>
            </xdr:cNvPr>
            <xdr:cNvGrpSpPr/>
          </xdr:nvGrpSpPr>
          <xdr:grpSpPr>
            <a:xfrm>
              <a:off x="3658777" y="7222793"/>
              <a:ext cx="2082964" cy="565595"/>
              <a:chOff x="3658777" y="7222793"/>
              <a:chExt cx="2082964" cy="565595"/>
            </a:xfrm>
          </xdr:grpSpPr>
          <xdr:sp macro="" textlink="AS28">
            <xdr:nvSpPr>
              <xdr:cNvPr id="498" name="qMN">
                <a:extLst>
                  <a:ext uri="{FF2B5EF4-FFF2-40B4-BE49-F238E27FC236}">
                    <a16:creationId xmlns:a16="http://schemas.microsoft.com/office/drawing/2014/main" id="{243CDB4E-C52C-91C3-33F1-E62CBE58AA2B}"/>
                  </a:ext>
                </a:extLst>
              </xdr:cNvPr>
              <xdr:cNvSpPr txBox="1"/>
            </xdr:nvSpPr>
            <xdr:spPr>
              <a:xfrm>
                <a:off x="4285527" y="7530394"/>
                <a:ext cx="654770" cy="141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87CEEE-3714-471B-A5D7-29D7F9E3DA9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MN_Ver">
            <xdr:nvSpPr>
              <xdr:cNvPr id="499" name="q_MN">
                <a:extLst>
                  <a:ext uri="{FF2B5EF4-FFF2-40B4-BE49-F238E27FC236}">
                    <a16:creationId xmlns:a16="http://schemas.microsoft.com/office/drawing/2014/main" id="{DBDFB235-BCC7-C6CD-1FA1-253A3C0FC4F2}"/>
                  </a:ext>
                </a:extLst>
              </xdr:cNvPr>
              <xdr:cNvSpPr txBox="1"/>
            </xdr:nvSpPr>
            <xdr:spPr>
              <a:xfrm>
                <a:off x="4334598" y="7432117"/>
                <a:ext cx="605696" cy="141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C75CE3A-B64D-4FE1-B7D0-5F32E6590A6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8">
            <xdr:nvSpPr>
              <xdr:cNvPr id="500" name="MzM">
                <a:extLst>
                  <a:ext uri="{FF2B5EF4-FFF2-40B4-BE49-F238E27FC236}">
                    <a16:creationId xmlns:a16="http://schemas.microsoft.com/office/drawing/2014/main" id="{B967DEE1-9CF2-91CE-A390-D689ED0423D5}"/>
                  </a:ext>
                </a:extLst>
              </xdr:cNvPr>
              <xdr:cNvSpPr txBox="1"/>
            </xdr:nvSpPr>
            <xdr:spPr>
              <a:xfrm>
                <a:off x="4324462" y="7647400"/>
                <a:ext cx="88380" cy="140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02C45D4-FC32-47D0-8A0A-58B7C2C8E44F}"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M_Ver">
            <xdr:nvSpPr>
              <xdr:cNvPr id="501" name="Mz_M">
                <a:extLst>
                  <a:ext uri="{FF2B5EF4-FFF2-40B4-BE49-F238E27FC236}">
                    <a16:creationId xmlns:a16="http://schemas.microsoft.com/office/drawing/2014/main" id="{22141645-4BB5-A701-6DA3-B092FF5E07AA}"/>
                  </a:ext>
                </a:extLst>
              </xdr:cNvPr>
              <xdr:cNvSpPr txBox="1"/>
            </xdr:nvSpPr>
            <xdr:spPr>
              <a:xfrm>
                <a:off x="4356696" y="7639439"/>
                <a:ext cx="522002" cy="141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2973E1B-B189-4C8F-894F-BD10E7918C4C}"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8">
            <xdr:nvSpPr>
              <xdr:cNvPr id="502" name="FhM">
                <a:extLst>
                  <a:ext uri="{FF2B5EF4-FFF2-40B4-BE49-F238E27FC236}">
                    <a16:creationId xmlns:a16="http://schemas.microsoft.com/office/drawing/2014/main" id="{93003838-C3C8-D96E-598B-3904DE264F7B}"/>
                  </a:ext>
                </a:extLst>
              </xdr:cNvPr>
              <xdr:cNvSpPr txBox="1"/>
            </xdr:nvSpPr>
            <xdr:spPr>
              <a:xfrm>
                <a:off x="4168588" y="7239619"/>
                <a:ext cx="197760" cy="140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3055E9E-D0B3-49FA-A34C-C91A13EF0734}"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M_Ver">
            <xdr:nvSpPr>
              <xdr:cNvPr id="503" name="Fh_M">
                <a:extLst>
                  <a:ext uri="{FF2B5EF4-FFF2-40B4-BE49-F238E27FC236}">
                    <a16:creationId xmlns:a16="http://schemas.microsoft.com/office/drawing/2014/main" id="{5439EBC4-321E-BB1E-363B-DB237D6FB660}"/>
                  </a:ext>
                </a:extLst>
              </xdr:cNvPr>
              <xdr:cNvSpPr txBox="1"/>
            </xdr:nvSpPr>
            <xdr:spPr>
              <a:xfrm>
                <a:off x="3658777" y="7232633"/>
                <a:ext cx="548456" cy="125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6BF2EFCD-9E60-48A2-9450-4ECA37518971}"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8">
            <xdr:nvSpPr>
              <xdr:cNvPr id="504" name="FvM">
                <a:extLst>
                  <a:ext uri="{FF2B5EF4-FFF2-40B4-BE49-F238E27FC236}">
                    <a16:creationId xmlns:a16="http://schemas.microsoft.com/office/drawing/2014/main" id="{9A3B262A-A50D-690A-22D8-8C9B16E74F83}"/>
                  </a:ext>
                </a:extLst>
              </xdr:cNvPr>
              <xdr:cNvSpPr txBox="1"/>
            </xdr:nvSpPr>
            <xdr:spPr>
              <a:xfrm>
                <a:off x="4136136" y="7334231"/>
                <a:ext cx="251362" cy="140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EC0D37E-AB83-45A5-820D-A39EE0CD5FD8}"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M_Ver">
            <xdr:nvSpPr>
              <xdr:cNvPr id="505" name="Fv_M">
                <a:extLst>
                  <a:ext uri="{FF2B5EF4-FFF2-40B4-BE49-F238E27FC236}">
                    <a16:creationId xmlns:a16="http://schemas.microsoft.com/office/drawing/2014/main" id="{FC1BA335-C450-2714-7B2C-702FC3930EE6}"/>
                  </a:ext>
                </a:extLst>
              </xdr:cNvPr>
              <xdr:cNvSpPr txBox="1"/>
            </xdr:nvSpPr>
            <xdr:spPr>
              <a:xfrm>
                <a:off x="3748501" y="7343725"/>
                <a:ext cx="457419" cy="126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E8FF13EB-0A24-46FF-AF13-73586002FD51}"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sp macro="" textlink="$AP$29">
            <xdr:nvSpPr>
              <xdr:cNvPr id="488" name="MzN">
                <a:extLst>
                  <a:ext uri="{FF2B5EF4-FFF2-40B4-BE49-F238E27FC236}">
                    <a16:creationId xmlns:a16="http://schemas.microsoft.com/office/drawing/2014/main" id="{37B30128-5CD0-F865-8068-41A10D440E00}"/>
                  </a:ext>
                </a:extLst>
              </xdr:cNvPr>
              <xdr:cNvSpPr txBox="1"/>
            </xdr:nvSpPr>
            <xdr:spPr>
              <a:xfrm>
                <a:off x="5105960" y="7597303"/>
                <a:ext cx="88447" cy="14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32610BC-A3A3-4CCA-9D76-BED97BF3FA54}"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N_Ver">
            <xdr:nvSpPr>
              <xdr:cNvPr id="489" name="Mz_N">
                <a:extLst>
                  <a:ext uri="{FF2B5EF4-FFF2-40B4-BE49-F238E27FC236}">
                    <a16:creationId xmlns:a16="http://schemas.microsoft.com/office/drawing/2014/main" id="{29CF80D3-99FF-1279-D87C-3DB8D414FB63}"/>
                  </a:ext>
                </a:extLst>
              </xdr:cNvPr>
              <xdr:cNvSpPr txBox="1"/>
            </xdr:nvSpPr>
            <xdr:spPr>
              <a:xfrm>
                <a:off x="5216547" y="7590811"/>
                <a:ext cx="525194" cy="140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319484A-F446-4ACF-B725-7800B1314F65}"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9">
            <xdr:nvSpPr>
              <xdr:cNvPr id="490" name="FhN">
                <a:extLst>
                  <a:ext uri="{FF2B5EF4-FFF2-40B4-BE49-F238E27FC236}">
                    <a16:creationId xmlns:a16="http://schemas.microsoft.com/office/drawing/2014/main" id="{0782A492-0FA7-0E8B-773E-C9B60E4E34FD}"/>
                  </a:ext>
                </a:extLst>
              </xdr:cNvPr>
              <xdr:cNvSpPr txBox="1"/>
            </xdr:nvSpPr>
            <xdr:spPr>
              <a:xfrm>
                <a:off x="4853008" y="7229768"/>
                <a:ext cx="197912" cy="140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73DBAFD-0A46-4335-A7C3-3A49CC69437E}"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N_Ver">
            <xdr:nvSpPr>
              <xdr:cNvPr id="491" name="Fh_N">
                <a:extLst>
                  <a:ext uri="{FF2B5EF4-FFF2-40B4-BE49-F238E27FC236}">
                    <a16:creationId xmlns:a16="http://schemas.microsoft.com/office/drawing/2014/main" id="{6A13D937-FA61-2601-0701-E81D657DD03C}"/>
                  </a:ext>
                </a:extLst>
              </xdr:cNvPr>
              <xdr:cNvSpPr txBox="1"/>
            </xdr:nvSpPr>
            <xdr:spPr>
              <a:xfrm>
                <a:off x="4342808" y="7222793"/>
                <a:ext cx="548875" cy="125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D3B0745-CFEA-4692-97DD-2E559DE0327D}"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9">
            <xdr:nvSpPr>
              <xdr:cNvPr id="492" name="FvN">
                <a:extLst>
                  <a:ext uri="{FF2B5EF4-FFF2-40B4-BE49-F238E27FC236}">
                    <a16:creationId xmlns:a16="http://schemas.microsoft.com/office/drawing/2014/main" id="{0BCE9688-571E-C791-98CC-87075D847D53}"/>
                  </a:ext>
                </a:extLst>
              </xdr:cNvPr>
              <xdr:cNvSpPr txBox="1"/>
            </xdr:nvSpPr>
            <xdr:spPr>
              <a:xfrm>
                <a:off x="4820531" y="7324234"/>
                <a:ext cx="251554" cy="140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4B6E298-37C4-4CA9-AFB5-5F49318645AB}"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N_Ver">
            <xdr:nvSpPr>
              <xdr:cNvPr id="493" name="Fv_N">
                <a:extLst>
                  <a:ext uri="{FF2B5EF4-FFF2-40B4-BE49-F238E27FC236}">
                    <a16:creationId xmlns:a16="http://schemas.microsoft.com/office/drawing/2014/main" id="{369D1366-ABA9-F940-AAB1-7B99C0DB4E3C}"/>
                  </a:ext>
                </a:extLst>
              </xdr:cNvPr>
              <xdr:cNvSpPr txBox="1"/>
            </xdr:nvSpPr>
            <xdr:spPr>
              <a:xfrm>
                <a:off x="4432600" y="7333713"/>
                <a:ext cx="457768" cy="125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FC53ABC-44E8-49BC-9E81-8A9CB3D86355}"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467" name="Cargas MO">
              <a:extLst>
                <a:ext uri="{FF2B5EF4-FFF2-40B4-BE49-F238E27FC236}">
                  <a16:creationId xmlns:a16="http://schemas.microsoft.com/office/drawing/2014/main" id="{E1162509-D15C-53A0-16C3-97FCD428B169}"/>
                </a:ext>
              </a:extLst>
            </xdr:cNvPr>
            <xdr:cNvGrpSpPr/>
          </xdr:nvGrpSpPr>
          <xdr:grpSpPr>
            <a:xfrm>
              <a:off x="3862905" y="7689469"/>
              <a:ext cx="1080867" cy="961617"/>
              <a:chOff x="8551199" y="7797030"/>
              <a:chExt cx="1084444" cy="965611"/>
            </a:xfrm>
          </xdr:grpSpPr>
          <xdr:sp macro="" textlink="AS29">
            <xdr:nvSpPr>
              <xdr:cNvPr id="474" name="qMO">
                <a:extLst>
                  <a:ext uri="{FF2B5EF4-FFF2-40B4-BE49-F238E27FC236}">
                    <a16:creationId xmlns:a16="http://schemas.microsoft.com/office/drawing/2014/main" id="{059DF293-3E6E-035B-9C55-252AA0DAF158}"/>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E2EBB96-4CB5-4D6D-A76A-11658466F42F}"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MO_Ver">
            <xdr:nvSpPr>
              <xdr:cNvPr id="475" name="q_MO">
                <a:extLst>
                  <a:ext uri="{FF2B5EF4-FFF2-40B4-BE49-F238E27FC236}">
                    <a16:creationId xmlns:a16="http://schemas.microsoft.com/office/drawing/2014/main" id="{4C4BF369-4AE9-A954-91F8-C7E74E79F91B}"/>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7377C93-E7B7-4C52-908D-C4093FACD51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30">
            <xdr:nvSpPr>
              <xdr:cNvPr id="476" name="MzO">
                <a:extLst>
                  <a:ext uri="{FF2B5EF4-FFF2-40B4-BE49-F238E27FC236}">
                    <a16:creationId xmlns:a16="http://schemas.microsoft.com/office/drawing/2014/main" id="{81C1A359-F7CE-2EDD-5A03-6C439846893C}"/>
                  </a:ext>
                </a:extLst>
              </xdr:cNvPr>
              <xdr:cNvSpPr txBox="1"/>
            </xdr:nvSpPr>
            <xdr:spPr>
              <a:xfrm>
                <a:off x="9005676" y="8447719"/>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5D49496-A385-4982-A938-88D3BBF4D491}"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O_Ver">
            <xdr:nvSpPr>
              <xdr:cNvPr id="477" name="Mz_O">
                <a:extLst>
                  <a:ext uri="{FF2B5EF4-FFF2-40B4-BE49-F238E27FC236}">
                    <a16:creationId xmlns:a16="http://schemas.microsoft.com/office/drawing/2014/main" id="{1C73AAE0-7EEB-303E-6E47-3C89E9914A4E}"/>
                  </a:ext>
                </a:extLst>
              </xdr:cNvPr>
              <xdr:cNvSpPr txBox="1"/>
            </xdr:nvSpPr>
            <xdr:spPr>
              <a:xfrm>
                <a:off x="9112300" y="8444149"/>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C5E0CC2-CD71-42DA-B001-2609ED9D7E2E}"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30">
            <xdr:nvSpPr>
              <xdr:cNvPr id="478" name="FhO">
                <a:extLst>
                  <a:ext uri="{FF2B5EF4-FFF2-40B4-BE49-F238E27FC236}">
                    <a16:creationId xmlns:a16="http://schemas.microsoft.com/office/drawing/2014/main" id="{30F793BF-BAF7-E202-8981-E3EDBE85AC7D}"/>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FA1BF3-E53D-4173-8D2D-F7C6D86AD4B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O_Ver">
            <xdr:nvSpPr>
              <xdr:cNvPr id="479" name="Fh_O">
                <a:extLst>
                  <a:ext uri="{FF2B5EF4-FFF2-40B4-BE49-F238E27FC236}">
                    <a16:creationId xmlns:a16="http://schemas.microsoft.com/office/drawing/2014/main" id="{BEC68D65-E812-636C-260D-37D9B0B28061}"/>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08DAA69-A8B3-4482-BAB7-7FD432377AB9}"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30">
            <xdr:nvSpPr>
              <xdr:cNvPr id="480" name="FvO">
                <a:extLst>
                  <a:ext uri="{FF2B5EF4-FFF2-40B4-BE49-F238E27FC236}">
                    <a16:creationId xmlns:a16="http://schemas.microsoft.com/office/drawing/2014/main" id="{9A682AE5-C9C1-967E-4B98-380036249943}"/>
                  </a:ext>
                </a:extLst>
              </xdr:cNvPr>
              <xdr:cNvSpPr txBox="1"/>
            </xdr:nvSpPr>
            <xdr:spPr>
              <a:xfrm>
                <a:off x="8828170" y="8526374"/>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9ADC053-6E5B-46EF-9238-E3DD7CAA810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O_Ver">
            <xdr:nvSpPr>
              <xdr:cNvPr id="481" name="Fv_O">
                <a:extLst>
                  <a:ext uri="{FF2B5EF4-FFF2-40B4-BE49-F238E27FC236}">
                    <a16:creationId xmlns:a16="http://schemas.microsoft.com/office/drawing/2014/main" id="{CE98736A-A666-563C-6C94-EF8A2D1FEB48}"/>
                  </a:ext>
                </a:extLst>
              </xdr:cNvPr>
              <xdr:cNvSpPr txBox="1"/>
            </xdr:nvSpPr>
            <xdr:spPr>
              <a:xfrm>
                <a:off x="9004063" y="8538370"/>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80D4BED-91F2-43AC-A28B-DC9EC1DC2884}"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grpSp>
        <xdr:nvGrpSpPr>
          <xdr:cNvPr id="41" name="Angulo Alfa">
            <a:extLst>
              <a:ext uri="{FF2B5EF4-FFF2-40B4-BE49-F238E27FC236}">
                <a16:creationId xmlns:a16="http://schemas.microsoft.com/office/drawing/2014/main" id="{CB39800E-19BE-BDE5-5986-B7C65978C52E}"/>
              </a:ext>
            </a:extLst>
          </xdr:cNvPr>
          <xdr:cNvGrpSpPr/>
        </xdr:nvGrpSpPr>
        <xdr:grpSpPr>
          <a:xfrm>
            <a:off x="860678" y="6741781"/>
            <a:ext cx="451560" cy="265974"/>
            <a:chOff x="862489" y="6727450"/>
            <a:chExt cx="450250" cy="264977"/>
          </a:xfrm>
        </xdr:grpSpPr>
        <xdr:sp macro="" textlink="$Y$30">
          <xdr:nvSpPr>
            <xdr:cNvPr id="7" name="Angulo">
              <a:extLst>
                <a:ext uri="{FF2B5EF4-FFF2-40B4-BE49-F238E27FC236}">
                  <a16:creationId xmlns:a16="http://schemas.microsoft.com/office/drawing/2014/main" id="{93B37257-6400-4671-B2CA-74B8EC1E230D}"/>
                </a:ext>
              </a:extLst>
            </xdr:cNvPr>
            <xdr:cNvSpPr txBox="1"/>
          </xdr:nvSpPr>
          <xdr:spPr>
            <a:xfrm>
              <a:off x="862489" y="6727450"/>
              <a:ext cx="450250" cy="26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210AAF03-5701-40A2-A5B8-6B8238FFACD3}" type="TxLink">
                <a:rPr lang="en-US" sz="2000" b="1" i="0" u="none" strike="noStrike">
                  <a:solidFill>
                    <a:srgbClr val="FF0000"/>
                  </a:solidFill>
                  <a:latin typeface="Calibri"/>
                  <a:ea typeface="Calibri"/>
                  <a:cs typeface="Calibri"/>
                </a:rPr>
                <a:pPr algn="l"/>
                <a:t> </a:t>
              </a:fld>
              <a:endParaRPr lang="es-ES" sz="1400" b="1">
                <a:solidFill>
                  <a:srgbClr val="0070C0"/>
                </a:solidFill>
              </a:endParaRPr>
            </a:p>
          </xdr:txBody>
        </xdr:sp>
        <xdr:sp macro="" textlink="$Z$30">
          <xdr:nvSpPr>
            <xdr:cNvPr id="35" name="alfa">
              <a:extLst>
                <a:ext uri="{FF2B5EF4-FFF2-40B4-BE49-F238E27FC236}">
                  <a16:creationId xmlns:a16="http://schemas.microsoft.com/office/drawing/2014/main" id="{C4178C72-55D8-4F0A-BC49-FA57013E2961}"/>
                </a:ext>
              </a:extLst>
            </xdr:cNvPr>
            <xdr:cNvSpPr txBox="1"/>
          </xdr:nvSpPr>
          <xdr:spPr>
            <a:xfrm>
              <a:off x="1036287" y="6749862"/>
              <a:ext cx="267133" cy="134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C9BDEA95-A4A8-4FFB-903D-9EB8563E233E}" type="TxLink">
                <a:rPr lang="el-GR" sz="12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458" name="ARTICULACIONES">
            <a:extLst>
              <a:ext uri="{FF2B5EF4-FFF2-40B4-BE49-F238E27FC236}">
                <a16:creationId xmlns:a16="http://schemas.microsoft.com/office/drawing/2014/main" id="{4D7CBE30-36C7-EB03-A464-C6A8499F172B}"/>
              </a:ext>
            </a:extLst>
          </xdr:cNvPr>
          <xdr:cNvGrpSpPr/>
        </xdr:nvGrpSpPr>
        <xdr:grpSpPr>
          <a:xfrm>
            <a:off x="753821" y="6170130"/>
            <a:ext cx="3569463" cy="1568163"/>
            <a:chOff x="749415" y="6163234"/>
            <a:chExt cx="3563526" cy="1586696"/>
          </a:xfrm>
        </xdr:grpSpPr>
        <xdr:sp macro="" textlink="$AG$16">
          <xdr:nvSpPr>
            <xdr:cNvPr id="23" name="Art B">
              <a:extLst>
                <a:ext uri="{FF2B5EF4-FFF2-40B4-BE49-F238E27FC236}">
                  <a16:creationId xmlns:a16="http://schemas.microsoft.com/office/drawing/2014/main" id="{7A3DD149-EF2E-4A6B-BB1A-39D269CFF2D5}"/>
                </a:ext>
              </a:extLst>
            </xdr:cNvPr>
            <xdr:cNvSpPr txBox="1"/>
          </xdr:nvSpPr>
          <xdr:spPr>
            <a:xfrm>
              <a:off x="753495" y="7563966"/>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5261C836-5578-410E-97DF-33A7480B7FE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17">
          <xdr:nvSpPr>
            <xdr:cNvPr id="43" name="Art C">
              <a:extLst>
                <a:ext uri="{FF2B5EF4-FFF2-40B4-BE49-F238E27FC236}">
                  <a16:creationId xmlns:a16="http://schemas.microsoft.com/office/drawing/2014/main" id="{1C126528-2332-4A2D-BDE2-7FEAD6AB2F6D}"/>
                </a:ext>
              </a:extLst>
            </xdr:cNvPr>
            <xdr:cNvSpPr txBox="1"/>
          </xdr:nvSpPr>
          <xdr:spPr>
            <a:xfrm>
              <a:off x="749415" y="6884181"/>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F1D0E98-0684-4855-AF8C-4CB59ED771C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18">
          <xdr:nvSpPr>
            <xdr:cNvPr id="48" name="Art D">
              <a:extLst>
                <a:ext uri="{FF2B5EF4-FFF2-40B4-BE49-F238E27FC236}">
                  <a16:creationId xmlns:a16="http://schemas.microsoft.com/office/drawing/2014/main" id="{FB0C6B30-2558-41F2-AEC4-1980989A39A7}"/>
                </a:ext>
              </a:extLst>
            </xdr:cNvPr>
            <xdr:cNvSpPr txBox="1"/>
          </xdr:nvSpPr>
          <xdr:spPr>
            <a:xfrm>
              <a:off x="755281" y="6169577"/>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A1FB3DC2-34AD-4057-9440-10810AEC74AE}"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0">
          <xdr:nvSpPr>
            <xdr:cNvPr id="450" name="Art E">
              <a:extLst>
                <a:ext uri="{FF2B5EF4-FFF2-40B4-BE49-F238E27FC236}">
                  <a16:creationId xmlns:a16="http://schemas.microsoft.com/office/drawing/2014/main" id="{EAACDBB2-E328-4385-ABD4-1CA4059AB73D}"/>
                </a:ext>
              </a:extLst>
            </xdr:cNvPr>
            <xdr:cNvSpPr txBox="1"/>
          </xdr:nvSpPr>
          <xdr:spPr>
            <a:xfrm>
              <a:off x="1465341" y="616323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C08764A-A674-48BC-B14C-7D1E34BECA60}"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1">
          <xdr:nvSpPr>
            <xdr:cNvPr id="451" name="Art F">
              <a:extLst>
                <a:ext uri="{FF2B5EF4-FFF2-40B4-BE49-F238E27FC236}">
                  <a16:creationId xmlns:a16="http://schemas.microsoft.com/office/drawing/2014/main" id="{1C66F4B0-5B65-4A7F-9955-4E4B03F3D383}"/>
                </a:ext>
              </a:extLst>
            </xdr:cNvPr>
            <xdr:cNvSpPr txBox="1"/>
          </xdr:nvSpPr>
          <xdr:spPr>
            <a:xfrm>
              <a:off x="2122486" y="616616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57B6657-2CC1-441C-B588-3ED29E92F58C}"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2">
          <xdr:nvSpPr>
            <xdr:cNvPr id="452" name="Art G">
              <a:extLst>
                <a:ext uri="{FF2B5EF4-FFF2-40B4-BE49-F238E27FC236}">
                  <a16:creationId xmlns:a16="http://schemas.microsoft.com/office/drawing/2014/main" id="{4672FE8E-D282-4342-9FA2-5130368CFC9F}"/>
                </a:ext>
              </a:extLst>
            </xdr:cNvPr>
            <xdr:cNvSpPr txBox="1"/>
          </xdr:nvSpPr>
          <xdr:spPr>
            <a:xfrm>
              <a:off x="2844754" y="6169248"/>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1CD3132-A964-42F1-B6A6-FAF91695822E}"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3">
          <xdr:nvSpPr>
            <xdr:cNvPr id="453" name="Art H">
              <a:extLst>
                <a:ext uri="{FF2B5EF4-FFF2-40B4-BE49-F238E27FC236}">
                  <a16:creationId xmlns:a16="http://schemas.microsoft.com/office/drawing/2014/main" id="{6712F56E-C09A-4DF5-AAB7-A881FA6A3922}"/>
                </a:ext>
              </a:extLst>
            </xdr:cNvPr>
            <xdr:cNvSpPr txBox="1"/>
          </xdr:nvSpPr>
          <xdr:spPr>
            <a:xfrm>
              <a:off x="3534467" y="616858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E167C35-7AE0-4A7A-BE56-FFDF78EA021C}"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5">
          <xdr:nvSpPr>
            <xdr:cNvPr id="454" name="Art J">
              <a:extLst>
                <a:ext uri="{FF2B5EF4-FFF2-40B4-BE49-F238E27FC236}">
                  <a16:creationId xmlns:a16="http://schemas.microsoft.com/office/drawing/2014/main" id="{7DE094FA-8E93-44A6-9155-47653193DF81}"/>
                </a:ext>
              </a:extLst>
            </xdr:cNvPr>
            <xdr:cNvSpPr txBox="1"/>
          </xdr:nvSpPr>
          <xdr:spPr>
            <a:xfrm>
              <a:off x="2844268" y="690713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734AA95-2095-4FAA-A3D0-C73B1DB4252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6">
          <xdr:nvSpPr>
            <xdr:cNvPr id="455" name="Art K">
              <a:extLst>
                <a:ext uri="{FF2B5EF4-FFF2-40B4-BE49-F238E27FC236}">
                  <a16:creationId xmlns:a16="http://schemas.microsoft.com/office/drawing/2014/main" id="{3233510B-2C98-41F8-A20D-533DC1F42480}"/>
                </a:ext>
              </a:extLst>
            </xdr:cNvPr>
            <xdr:cNvSpPr txBox="1"/>
          </xdr:nvSpPr>
          <xdr:spPr>
            <a:xfrm>
              <a:off x="2854199" y="758463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70C1C4B-2892-4F2C-AA26-510BD5923892}"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7">
          <xdr:nvSpPr>
            <xdr:cNvPr id="456" name="Art L">
              <a:extLst>
                <a:ext uri="{FF2B5EF4-FFF2-40B4-BE49-F238E27FC236}">
                  <a16:creationId xmlns:a16="http://schemas.microsoft.com/office/drawing/2014/main" id="{41E3CEA9-7FCC-440D-A3F3-B3F1C2E36199}"/>
                </a:ext>
              </a:extLst>
            </xdr:cNvPr>
            <xdr:cNvSpPr txBox="1"/>
          </xdr:nvSpPr>
          <xdr:spPr>
            <a:xfrm>
              <a:off x="3511345" y="7590488"/>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D560F498-F0C5-4A06-97E6-C437BBB5B32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8">
          <xdr:nvSpPr>
            <xdr:cNvPr id="457" name="Art M">
              <a:extLst>
                <a:ext uri="{FF2B5EF4-FFF2-40B4-BE49-F238E27FC236}">
                  <a16:creationId xmlns:a16="http://schemas.microsoft.com/office/drawing/2014/main" id="{280463DC-1C49-4AD9-BA4F-B3F2F6EDB4AA}"/>
                </a:ext>
              </a:extLst>
            </xdr:cNvPr>
            <xdr:cNvSpPr txBox="1"/>
          </xdr:nvSpPr>
          <xdr:spPr>
            <a:xfrm>
              <a:off x="4229550" y="759227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D3C7B47-106A-441D-A9AE-7CF103E31916}"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clientData/>
  </xdr:twoCellAnchor>
  <xdr:twoCellAnchor>
    <xdr:from>
      <xdr:col>1</xdr:col>
      <xdr:colOff>101095</xdr:colOff>
      <xdr:row>61</xdr:row>
      <xdr:rowOff>265372</xdr:rowOff>
    </xdr:from>
    <xdr:to>
      <xdr:col>19</xdr:col>
      <xdr:colOff>161264</xdr:colOff>
      <xdr:row>61</xdr:row>
      <xdr:rowOff>3462859</xdr:rowOff>
    </xdr:to>
    <xdr:grpSp>
      <xdr:nvGrpSpPr>
        <xdr:cNvPr id="1546" name="TODO Axiles">
          <a:extLst>
            <a:ext uri="{FF2B5EF4-FFF2-40B4-BE49-F238E27FC236}">
              <a16:creationId xmlns:a16="http://schemas.microsoft.com/office/drawing/2014/main" id="{8661222E-70A1-47A0-B1CE-D8DC1E9A4FD1}"/>
            </a:ext>
          </a:extLst>
        </xdr:cNvPr>
        <xdr:cNvGrpSpPr/>
      </xdr:nvGrpSpPr>
      <xdr:grpSpPr>
        <a:xfrm>
          <a:off x="219628" y="15755139"/>
          <a:ext cx="6050336" cy="3197487"/>
          <a:chOff x="96785" y="5591092"/>
          <a:chExt cx="6031161" cy="3254018"/>
        </a:xfrm>
      </xdr:grpSpPr>
      <xdr:grpSp>
        <xdr:nvGrpSpPr>
          <xdr:cNvPr id="1547" name="APOYOS">
            <a:extLst>
              <a:ext uri="{FF2B5EF4-FFF2-40B4-BE49-F238E27FC236}">
                <a16:creationId xmlns:a16="http://schemas.microsoft.com/office/drawing/2014/main" id="{CF19AFA4-96FD-208F-9B1C-B77B11672656}"/>
              </a:ext>
            </a:extLst>
          </xdr:cNvPr>
          <xdr:cNvGrpSpPr/>
        </xdr:nvGrpSpPr>
        <xdr:grpSpPr>
          <a:xfrm>
            <a:off x="347090" y="5779996"/>
            <a:ext cx="5780856" cy="3065114"/>
            <a:chOff x="349338" y="4548554"/>
            <a:chExt cx="5769648" cy="3075598"/>
          </a:xfrm>
        </xdr:grpSpPr>
        <xdr:grpSp>
          <xdr:nvGrpSpPr>
            <xdr:cNvPr id="1823" name="NUDO A">
              <a:extLst>
                <a:ext uri="{FF2B5EF4-FFF2-40B4-BE49-F238E27FC236}">
                  <a16:creationId xmlns:a16="http://schemas.microsoft.com/office/drawing/2014/main" id="{10BED6E4-3D20-C63D-6956-262C07DB1F54}"/>
                </a:ext>
              </a:extLst>
            </xdr:cNvPr>
            <xdr:cNvGrpSpPr/>
          </xdr:nvGrpSpPr>
          <xdr:grpSpPr>
            <a:xfrm>
              <a:off x="568572" y="7016147"/>
              <a:ext cx="1562246" cy="595023"/>
              <a:chOff x="568155" y="7013335"/>
              <a:chExt cx="1564224" cy="593169"/>
            </a:xfrm>
          </xdr:grpSpPr>
          <xdr:grpSp>
            <xdr:nvGrpSpPr>
              <xdr:cNvPr id="2006" name="R A">
                <a:extLst>
                  <a:ext uri="{FF2B5EF4-FFF2-40B4-BE49-F238E27FC236}">
                    <a16:creationId xmlns:a16="http://schemas.microsoft.com/office/drawing/2014/main" id="{9C511A85-F8B7-2F7C-7D25-21463FA598EF}"/>
                  </a:ext>
                </a:extLst>
              </xdr:cNvPr>
              <xdr:cNvGrpSpPr/>
            </xdr:nvGrpSpPr>
            <xdr:grpSpPr>
              <a:xfrm>
                <a:off x="722760" y="7089678"/>
                <a:ext cx="1409619" cy="516826"/>
                <a:chOff x="722590" y="7077320"/>
                <a:chExt cx="1408598" cy="515408"/>
              </a:xfrm>
            </xdr:grpSpPr>
            <xdr:sp macro="" textlink="RFv_A_Ver">
              <xdr:nvSpPr>
                <xdr:cNvPr id="2015" name="RvA">
                  <a:extLst>
                    <a:ext uri="{FF2B5EF4-FFF2-40B4-BE49-F238E27FC236}">
                      <a16:creationId xmlns:a16="http://schemas.microsoft.com/office/drawing/2014/main" id="{8842FFFC-F5D3-629A-FB9B-2A3BDC3773F7}"/>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E8B313C-E1BA-4718-894F-AB4F756A8571}"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A_Ver">
              <xdr:nvSpPr>
                <xdr:cNvPr id="2016" name="RhA">
                  <a:extLst>
                    <a:ext uri="{FF2B5EF4-FFF2-40B4-BE49-F238E27FC236}">
                      <a16:creationId xmlns:a16="http://schemas.microsoft.com/office/drawing/2014/main" id="{2045DF59-EA34-E2E2-EEE0-C917DB3EA257}"/>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E3F3689-0B76-460C-BFE1-2F300B3EC73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A_Ver">
              <xdr:nvSpPr>
                <xdr:cNvPr id="2017" name="RM_A">
                  <a:extLst>
                    <a:ext uri="{FF2B5EF4-FFF2-40B4-BE49-F238E27FC236}">
                      <a16:creationId xmlns:a16="http://schemas.microsoft.com/office/drawing/2014/main" id="{D5EB253C-27CD-744D-F954-91CA0108DA90}"/>
                    </a:ext>
                  </a:extLst>
                </xdr:cNvPr>
                <xdr:cNvSpPr txBox="1"/>
              </xdr:nvSpPr>
              <xdr:spPr>
                <a:xfrm>
                  <a:off x="737776" y="7290331"/>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DD19867-7E7E-432C-9708-481E1639696B}"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007" name="Apoyo A">
                <a:extLst>
                  <a:ext uri="{FF2B5EF4-FFF2-40B4-BE49-F238E27FC236}">
                    <a16:creationId xmlns:a16="http://schemas.microsoft.com/office/drawing/2014/main" id="{C615AD10-89D7-720E-1E20-FF3FCECB36E4}"/>
                  </a:ext>
                </a:extLst>
              </xdr:cNvPr>
              <xdr:cNvGrpSpPr/>
            </xdr:nvGrpSpPr>
            <xdr:grpSpPr>
              <a:xfrm>
                <a:off x="568155" y="7013335"/>
                <a:ext cx="471080" cy="441264"/>
                <a:chOff x="10283801" y="8286200"/>
                <a:chExt cx="470180" cy="441889"/>
              </a:xfrm>
            </xdr:grpSpPr>
            <xdr:grpSp>
              <xdr:nvGrpSpPr>
                <xdr:cNvPr id="2008" name="Apoyo Móvil A">
                  <a:extLst>
                    <a:ext uri="{FF2B5EF4-FFF2-40B4-BE49-F238E27FC236}">
                      <a16:creationId xmlns:a16="http://schemas.microsoft.com/office/drawing/2014/main" id="{DA13D632-035B-642F-3306-1C14405961E7}"/>
                    </a:ext>
                  </a:extLst>
                </xdr:cNvPr>
                <xdr:cNvGrpSpPr/>
              </xdr:nvGrpSpPr>
              <xdr:grpSpPr>
                <a:xfrm>
                  <a:off x="10284164" y="8440721"/>
                  <a:ext cx="469817" cy="287368"/>
                  <a:chOff x="10284164" y="8440721"/>
                  <a:chExt cx="469817" cy="287368"/>
                </a:xfrm>
              </xdr:grpSpPr>
              <xdr:sp macro="" textlink="$AF$15">
                <xdr:nvSpPr>
                  <xdr:cNvPr id="2013" name="Suelo A">
                    <a:extLst>
                      <a:ext uri="{FF2B5EF4-FFF2-40B4-BE49-F238E27FC236}">
                        <a16:creationId xmlns:a16="http://schemas.microsoft.com/office/drawing/2014/main" id="{76D199F4-B121-B2FE-C27C-5BF7DC999E00}"/>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8459142-F2CC-44E0-9A8B-4344B1323B2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5">
                <xdr:nvSpPr>
                  <xdr:cNvPr id="2014" name="Ruedas A">
                    <a:extLst>
                      <a:ext uri="{FF2B5EF4-FFF2-40B4-BE49-F238E27FC236}">
                        <a16:creationId xmlns:a16="http://schemas.microsoft.com/office/drawing/2014/main" id="{5CAA7239-8603-973D-0912-70DF85DD705D}"/>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83326684-44B3-4F23-A21C-E295C3934E4C}"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009" name="Apoyo FIjo A">
                  <a:extLst>
                    <a:ext uri="{FF2B5EF4-FFF2-40B4-BE49-F238E27FC236}">
                      <a16:creationId xmlns:a16="http://schemas.microsoft.com/office/drawing/2014/main" id="{F2DB4E5D-00B4-E777-CA40-AB25E13B5227}"/>
                    </a:ext>
                  </a:extLst>
                </xdr:cNvPr>
                <xdr:cNvGrpSpPr/>
              </xdr:nvGrpSpPr>
              <xdr:grpSpPr>
                <a:xfrm>
                  <a:off x="10283857" y="8311526"/>
                  <a:ext cx="469817" cy="355491"/>
                  <a:chOff x="10283423" y="8314710"/>
                  <a:chExt cx="469817" cy="355491"/>
                </a:xfrm>
              </xdr:grpSpPr>
              <xdr:sp macro="" textlink="$AD$15">
                <xdr:nvSpPr>
                  <xdr:cNvPr id="2011" name="Suelo A">
                    <a:extLst>
                      <a:ext uri="{FF2B5EF4-FFF2-40B4-BE49-F238E27FC236}">
                        <a16:creationId xmlns:a16="http://schemas.microsoft.com/office/drawing/2014/main" id="{06C8246A-92A0-4222-8D90-9451A388E388}"/>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DCBF4EB-7F5B-4E92-8186-F991F436F90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5">
                <xdr:nvSpPr>
                  <xdr:cNvPr id="2012" name="Triángulo A">
                    <a:extLst>
                      <a:ext uri="{FF2B5EF4-FFF2-40B4-BE49-F238E27FC236}">
                        <a16:creationId xmlns:a16="http://schemas.microsoft.com/office/drawing/2014/main" id="{5393C715-8EA6-E70C-1663-40E05B3250CC}"/>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139FEE-B908-4500-8039-70BB201F70DC}"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5">
              <xdr:nvSpPr>
                <xdr:cNvPr id="2010" name="Empotramiento A">
                  <a:extLst>
                    <a:ext uri="{FF2B5EF4-FFF2-40B4-BE49-F238E27FC236}">
                      <a16:creationId xmlns:a16="http://schemas.microsoft.com/office/drawing/2014/main" id="{A68019D9-4674-059B-2A28-6DC582A8F7B2}"/>
                    </a:ext>
                  </a:extLst>
                </xdr:cNvPr>
                <xdr:cNvSpPr txBox="1"/>
              </xdr:nvSpPr>
              <xdr:spPr>
                <a:xfrm rot="10800000">
                  <a:off x="10283801" y="828620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F137D06-4B0A-45D1-ABFC-6933B36904D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24" name="NUDO B">
              <a:extLst>
                <a:ext uri="{FF2B5EF4-FFF2-40B4-BE49-F238E27FC236}">
                  <a16:creationId xmlns:a16="http://schemas.microsoft.com/office/drawing/2014/main" id="{5E052BA0-0824-1C61-E325-C2D56CAB7F44}"/>
                </a:ext>
              </a:extLst>
            </xdr:cNvPr>
            <xdr:cNvGrpSpPr/>
          </xdr:nvGrpSpPr>
          <xdr:grpSpPr>
            <a:xfrm>
              <a:off x="567921" y="6323276"/>
              <a:ext cx="1534903" cy="622354"/>
              <a:chOff x="567504" y="6322937"/>
              <a:chExt cx="1536881" cy="619881"/>
            </a:xfrm>
          </xdr:grpSpPr>
          <xdr:grpSp>
            <xdr:nvGrpSpPr>
              <xdr:cNvPr id="1994" name="R B">
                <a:extLst>
                  <a:ext uri="{FF2B5EF4-FFF2-40B4-BE49-F238E27FC236}">
                    <a16:creationId xmlns:a16="http://schemas.microsoft.com/office/drawing/2014/main" id="{0B1CE96E-64F7-D4A3-9F6F-AC477D8FCFD9}"/>
                  </a:ext>
                </a:extLst>
              </xdr:cNvPr>
              <xdr:cNvGrpSpPr/>
            </xdr:nvGrpSpPr>
            <xdr:grpSpPr>
              <a:xfrm>
                <a:off x="694766" y="6425284"/>
                <a:ext cx="1409619" cy="517534"/>
                <a:chOff x="722590" y="7077320"/>
                <a:chExt cx="1408598" cy="515408"/>
              </a:xfrm>
            </xdr:grpSpPr>
            <xdr:sp macro="" textlink="RFv_B_Ver">
              <xdr:nvSpPr>
                <xdr:cNvPr id="2003" name="RvB">
                  <a:extLst>
                    <a:ext uri="{FF2B5EF4-FFF2-40B4-BE49-F238E27FC236}">
                      <a16:creationId xmlns:a16="http://schemas.microsoft.com/office/drawing/2014/main" id="{ACE05BFA-1374-5383-E819-F662B3004025}"/>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3DDF417-A6B9-4E31-A537-E8F30956D47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B_Ver">
              <xdr:nvSpPr>
                <xdr:cNvPr id="2004" name="RhB">
                  <a:extLst>
                    <a:ext uri="{FF2B5EF4-FFF2-40B4-BE49-F238E27FC236}">
                      <a16:creationId xmlns:a16="http://schemas.microsoft.com/office/drawing/2014/main" id="{0D54B90A-CF07-BFFD-A487-9DE6CD4B6EF7}"/>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B3AC227-ECCD-4403-A07B-569E1307DD74}"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B_Ver">
              <xdr:nvSpPr>
                <xdr:cNvPr id="2005" name="RM_B">
                  <a:extLst>
                    <a:ext uri="{FF2B5EF4-FFF2-40B4-BE49-F238E27FC236}">
                      <a16:creationId xmlns:a16="http://schemas.microsoft.com/office/drawing/2014/main" id="{679166A4-614C-0AC6-AECD-D7F7001E8A9B}"/>
                    </a:ext>
                  </a:extLst>
                </xdr:cNvPr>
                <xdr:cNvSpPr txBox="1"/>
              </xdr:nvSpPr>
              <xdr:spPr>
                <a:xfrm>
                  <a:off x="737776" y="728493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6F6C99A-FE88-439E-8422-64D1FA71E31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995" name="Apoyo B">
                <a:extLst>
                  <a:ext uri="{FF2B5EF4-FFF2-40B4-BE49-F238E27FC236}">
                    <a16:creationId xmlns:a16="http://schemas.microsoft.com/office/drawing/2014/main" id="{2D6C3914-7842-489B-68A9-77B5E037E292}"/>
                  </a:ext>
                </a:extLst>
              </xdr:cNvPr>
              <xdr:cNvGrpSpPr/>
            </xdr:nvGrpSpPr>
            <xdr:grpSpPr>
              <a:xfrm>
                <a:off x="567504" y="6322937"/>
                <a:ext cx="471080" cy="441265"/>
                <a:chOff x="1241967" y="9263559"/>
                <a:chExt cx="471890" cy="446231"/>
              </a:xfrm>
            </xdr:grpSpPr>
            <xdr:grpSp>
              <xdr:nvGrpSpPr>
                <xdr:cNvPr id="1996" name="Apoyo Móvil">
                  <a:extLst>
                    <a:ext uri="{FF2B5EF4-FFF2-40B4-BE49-F238E27FC236}">
                      <a16:creationId xmlns:a16="http://schemas.microsoft.com/office/drawing/2014/main" id="{D114F221-4DE6-3186-5002-397ED22474F4}"/>
                    </a:ext>
                  </a:extLst>
                </xdr:cNvPr>
                <xdr:cNvGrpSpPr/>
              </xdr:nvGrpSpPr>
              <xdr:grpSpPr>
                <a:xfrm>
                  <a:off x="1242331" y="9419598"/>
                  <a:ext cx="471526" cy="290192"/>
                  <a:chOff x="10284164" y="8440721"/>
                  <a:chExt cx="469817" cy="287368"/>
                </a:xfrm>
              </xdr:grpSpPr>
              <xdr:sp macro="" textlink="$AF$16">
                <xdr:nvSpPr>
                  <xdr:cNvPr id="2001" name="Suelo B">
                    <a:extLst>
                      <a:ext uri="{FF2B5EF4-FFF2-40B4-BE49-F238E27FC236}">
                        <a16:creationId xmlns:a16="http://schemas.microsoft.com/office/drawing/2014/main" id="{1C7FAE24-57CB-6498-F205-6A6B8413CF55}"/>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128F775E-CA9E-47CC-AA86-9A63ABCFE5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6">
                <xdr:nvSpPr>
                  <xdr:cNvPr id="2002" name="Ruedas B">
                    <a:extLst>
                      <a:ext uri="{FF2B5EF4-FFF2-40B4-BE49-F238E27FC236}">
                        <a16:creationId xmlns:a16="http://schemas.microsoft.com/office/drawing/2014/main" id="{0803FE11-F261-004E-FBFD-DA102CF66381}"/>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65BF773-AFA3-4DFA-827F-04230B71B3E8}"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997" name="Apoyo FIjo">
                  <a:extLst>
                    <a:ext uri="{FF2B5EF4-FFF2-40B4-BE49-F238E27FC236}">
                      <a16:creationId xmlns:a16="http://schemas.microsoft.com/office/drawing/2014/main" id="{A184C968-9B4F-0BC5-AD0F-8F3AD9E4E44B}"/>
                    </a:ext>
                  </a:extLst>
                </xdr:cNvPr>
                <xdr:cNvGrpSpPr/>
              </xdr:nvGrpSpPr>
              <xdr:grpSpPr>
                <a:xfrm>
                  <a:off x="1242023" y="9289134"/>
                  <a:ext cx="471526" cy="358984"/>
                  <a:chOff x="10283423" y="8314710"/>
                  <a:chExt cx="469817" cy="355491"/>
                </a:xfrm>
              </xdr:grpSpPr>
              <xdr:sp macro="" textlink="$AD$16">
                <xdr:nvSpPr>
                  <xdr:cNvPr id="1999" name="Suelo B">
                    <a:extLst>
                      <a:ext uri="{FF2B5EF4-FFF2-40B4-BE49-F238E27FC236}">
                        <a16:creationId xmlns:a16="http://schemas.microsoft.com/office/drawing/2014/main" id="{D4F39DDA-AA50-220B-27DA-C0BC2AC5A1C1}"/>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1CA56A5-2D88-48DC-950F-84C4BF7FDC6F}"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6">
                <xdr:nvSpPr>
                  <xdr:cNvPr id="2000" name="Triángulo B">
                    <a:extLst>
                      <a:ext uri="{FF2B5EF4-FFF2-40B4-BE49-F238E27FC236}">
                        <a16:creationId xmlns:a16="http://schemas.microsoft.com/office/drawing/2014/main" id="{5930B59C-8C96-D6E2-FAF1-A502EC3B7AA9}"/>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32292E-0DBF-4E4A-94E6-2554949C8E14}"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6">
              <xdr:nvSpPr>
                <xdr:cNvPr id="1998" name="Empotramiento B">
                  <a:extLst>
                    <a:ext uri="{FF2B5EF4-FFF2-40B4-BE49-F238E27FC236}">
                      <a16:creationId xmlns:a16="http://schemas.microsoft.com/office/drawing/2014/main" id="{FCA09152-5853-8A9B-60F8-26E7EB0C4001}"/>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38C2A7CC-074D-42AD-82C9-FF3CCB4530D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25" name="NUDO C">
              <a:extLst>
                <a:ext uri="{FF2B5EF4-FFF2-40B4-BE49-F238E27FC236}">
                  <a16:creationId xmlns:a16="http://schemas.microsoft.com/office/drawing/2014/main" id="{E3D56037-AD5F-B8DB-993F-F6EA53449F3B}"/>
                </a:ext>
              </a:extLst>
            </xdr:cNvPr>
            <xdr:cNvGrpSpPr/>
          </xdr:nvGrpSpPr>
          <xdr:grpSpPr>
            <a:xfrm>
              <a:off x="562836" y="5631200"/>
              <a:ext cx="1560866" cy="614856"/>
              <a:chOff x="562419" y="5632714"/>
              <a:chExt cx="1562844" cy="613003"/>
            </a:xfrm>
          </xdr:grpSpPr>
          <xdr:grpSp>
            <xdr:nvGrpSpPr>
              <xdr:cNvPr id="1982" name="R C">
                <a:extLst>
                  <a:ext uri="{FF2B5EF4-FFF2-40B4-BE49-F238E27FC236}">
                    <a16:creationId xmlns:a16="http://schemas.microsoft.com/office/drawing/2014/main" id="{756E7FB1-E45D-0F50-2C2A-32527C8151F8}"/>
                  </a:ext>
                </a:extLst>
              </xdr:cNvPr>
              <xdr:cNvGrpSpPr/>
            </xdr:nvGrpSpPr>
            <xdr:grpSpPr>
              <a:xfrm>
                <a:off x="715644" y="5728182"/>
                <a:ext cx="1409619" cy="517535"/>
                <a:chOff x="722590" y="7077320"/>
                <a:chExt cx="1408598" cy="515408"/>
              </a:xfrm>
            </xdr:grpSpPr>
            <xdr:sp macro="" textlink="RFv_C_Ver">
              <xdr:nvSpPr>
                <xdr:cNvPr id="1991" name="RvC">
                  <a:extLst>
                    <a:ext uri="{FF2B5EF4-FFF2-40B4-BE49-F238E27FC236}">
                      <a16:creationId xmlns:a16="http://schemas.microsoft.com/office/drawing/2014/main" id="{533AB96C-CBCD-9D66-5E08-BBB93F7F75A2}"/>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F71FD0-933F-49A6-AA7D-F7729A44B52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C_Ver">
              <xdr:nvSpPr>
                <xdr:cNvPr id="1992" name="RhC">
                  <a:extLst>
                    <a:ext uri="{FF2B5EF4-FFF2-40B4-BE49-F238E27FC236}">
                      <a16:creationId xmlns:a16="http://schemas.microsoft.com/office/drawing/2014/main" id="{866504FC-5D8A-E4DD-186C-778EA4D6C375}"/>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8380F4F-E1C9-4DA7-8FFB-E33A324E813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C_Ver">
              <xdr:nvSpPr>
                <xdr:cNvPr id="1993" name="RM_C">
                  <a:extLst>
                    <a:ext uri="{FF2B5EF4-FFF2-40B4-BE49-F238E27FC236}">
                      <a16:creationId xmlns:a16="http://schemas.microsoft.com/office/drawing/2014/main" id="{E212CC1D-5091-AF97-5E84-A8286B57D034}"/>
                    </a:ext>
                  </a:extLst>
                </xdr:cNvPr>
                <xdr:cNvSpPr txBox="1"/>
              </xdr:nvSpPr>
              <xdr:spPr>
                <a:xfrm>
                  <a:off x="737776" y="728493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2E395C6-D6B4-433C-BAF4-5739DD22426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983" name="Apoyo C">
                <a:extLst>
                  <a:ext uri="{FF2B5EF4-FFF2-40B4-BE49-F238E27FC236}">
                    <a16:creationId xmlns:a16="http://schemas.microsoft.com/office/drawing/2014/main" id="{26C00D63-FBB0-7FE9-BEA1-37B7BD47BC5E}"/>
                  </a:ext>
                </a:extLst>
              </xdr:cNvPr>
              <xdr:cNvGrpSpPr/>
            </xdr:nvGrpSpPr>
            <xdr:grpSpPr>
              <a:xfrm>
                <a:off x="562419" y="5632714"/>
                <a:ext cx="471080" cy="442190"/>
                <a:chOff x="1241967" y="9263559"/>
                <a:chExt cx="471890" cy="446231"/>
              </a:xfrm>
            </xdr:grpSpPr>
            <xdr:grpSp>
              <xdr:nvGrpSpPr>
                <xdr:cNvPr id="1984" name="Apoyo Móvil">
                  <a:extLst>
                    <a:ext uri="{FF2B5EF4-FFF2-40B4-BE49-F238E27FC236}">
                      <a16:creationId xmlns:a16="http://schemas.microsoft.com/office/drawing/2014/main" id="{14A7D290-8D51-18BF-2936-C40E2FCE64BF}"/>
                    </a:ext>
                  </a:extLst>
                </xdr:cNvPr>
                <xdr:cNvGrpSpPr/>
              </xdr:nvGrpSpPr>
              <xdr:grpSpPr>
                <a:xfrm>
                  <a:off x="1242331" y="9419598"/>
                  <a:ext cx="471526" cy="290192"/>
                  <a:chOff x="10284164" y="8440721"/>
                  <a:chExt cx="469817" cy="287368"/>
                </a:xfrm>
              </xdr:grpSpPr>
              <xdr:sp macro="" textlink="$AF$17">
                <xdr:nvSpPr>
                  <xdr:cNvPr id="1989" name="Suelo C">
                    <a:extLst>
                      <a:ext uri="{FF2B5EF4-FFF2-40B4-BE49-F238E27FC236}">
                        <a16:creationId xmlns:a16="http://schemas.microsoft.com/office/drawing/2014/main" id="{E6753EE4-1155-8587-AAA0-D28CF6C7E8A9}"/>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5789EEC-6AD6-4E03-8554-4FBEA6B96AB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7">
                <xdr:nvSpPr>
                  <xdr:cNvPr id="1990" name="Ruedas C">
                    <a:extLst>
                      <a:ext uri="{FF2B5EF4-FFF2-40B4-BE49-F238E27FC236}">
                        <a16:creationId xmlns:a16="http://schemas.microsoft.com/office/drawing/2014/main" id="{150DC436-A8D3-5DAD-1666-F434C76FC919}"/>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37A7308-AD41-4B34-B189-6FC78A7BF3B1}"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985" name="Apoyo FIjo">
                  <a:extLst>
                    <a:ext uri="{FF2B5EF4-FFF2-40B4-BE49-F238E27FC236}">
                      <a16:creationId xmlns:a16="http://schemas.microsoft.com/office/drawing/2014/main" id="{86F9A573-9043-0833-A56E-AF3A9D330210}"/>
                    </a:ext>
                  </a:extLst>
                </xdr:cNvPr>
                <xdr:cNvGrpSpPr/>
              </xdr:nvGrpSpPr>
              <xdr:grpSpPr>
                <a:xfrm>
                  <a:off x="1242023" y="9289134"/>
                  <a:ext cx="471526" cy="358984"/>
                  <a:chOff x="10283423" y="8314710"/>
                  <a:chExt cx="469817" cy="355491"/>
                </a:xfrm>
              </xdr:grpSpPr>
              <xdr:sp macro="" textlink="$AD$17">
                <xdr:nvSpPr>
                  <xdr:cNvPr id="1987" name="Suelo C">
                    <a:extLst>
                      <a:ext uri="{FF2B5EF4-FFF2-40B4-BE49-F238E27FC236}">
                        <a16:creationId xmlns:a16="http://schemas.microsoft.com/office/drawing/2014/main" id="{11E766CE-BBC1-53E0-E059-ACE9C40D3E61}"/>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DA315E5-8B79-402E-A0D0-8D846BA40ACF}"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7">
                <xdr:nvSpPr>
                  <xdr:cNvPr id="1988" name="Triángulo C">
                    <a:extLst>
                      <a:ext uri="{FF2B5EF4-FFF2-40B4-BE49-F238E27FC236}">
                        <a16:creationId xmlns:a16="http://schemas.microsoft.com/office/drawing/2014/main" id="{2219385B-BCF4-5AF6-2D6A-1B4EB465CA60}"/>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166C4A-4822-4595-A321-258DA649474A}"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7">
              <xdr:nvSpPr>
                <xdr:cNvPr id="1986" name="Empotramiento C">
                  <a:extLst>
                    <a:ext uri="{FF2B5EF4-FFF2-40B4-BE49-F238E27FC236}">
                      <a16:creationId xmlns:a16="http://schemas.microsoft.com/office/drawing/2014/main" id="{36A6D83C-32DE-3644-8608-5080DD8F3F87}"/>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F8FA6FA-6121-421B-BB98-9D90A493017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26" name="NUDO D">
              <a:extLst>
                <a:ext uri="{FF2B5EF4-FFF2-40B4-BE49-F238E27FC236}">
                  <a16:creationId xmlns:a16="http://schemas.microsoft.com/office/drawing/2014/main" id="{55F6691B-7818-5E05-7E71-BEC6CC6B2B6D}"/>
                </a:ext>
              </a:extLst>
            </xdr:cNvPr>
            <xdr:cNvGrpSpPr/>
          </xdr:nvGrpSpPr>
          <xdr:grpSpPr>
            <a:xfrm>
              <a:off x="495577" y="4801718"/>
              <a:ext cx="1185036" cy="844438"/>
              <a:chOff x="1342988" y="4927946"/>
              <a:chExt cx="1183550" cy="848036"/>
            </a:xfrm>
          </xdr:grpSpPr>
          <xdr:grpSp>
            <xdr:nvGrpSpPr>
              <xdr:cNvPr id="1970" name="R D">
                <a:extLst>
                  <a:ext uri="{FF2B5EF4-FFF2-40B4-BE49-F238E27FC236}">
                    <a16:creationId xmlns:a16="http://schemas.microsoft.com/office/drawing/2014/main" id="{6DF83A69-8943-7AD1-F8C1-E7EB91E5C677}"/>
                  </a:ext>
                </a:extLst>
              </xdr:cNvPr>
              <xdr:cNvGrpSpPr/>
            </xdr:nvGrpSpPr>
            <xdr:grpSpPr>
              <a:xfrm>
                <a:off x="1342988" y="5324690"/>
                <a:ext cx="1183550" cy="451292"/>
                <a:chOff x="938654" y="6970859"/>
                <a:chExt cx="1184152" cy="446414"/>
              </a:xfrm>
            </xdr:grpSpPr>
            <xdr:sp macro="" textlink="RFv_D_Ver">
              <xdr:nvSpPr>
                <xdr:cNvPr id="1979" name="RvD">
                  <a:extLst>
                    <a:ext uri="{FF2B5EF4-FFF2-40B4-BE49-F238E27FC236}">
                      <a16:creationId xmlns:a16="http://schemas.microsoft.com/office/drawing/2014/main" id="{C21B8E55-DB16-C17E-9D5D-9045FCADAA92}"/>
                    </a:ext>
                  </a:extLst>
                </xdr:cNvPr>
                <xdr:cNvSpPr txBox="1"/>
              </xdr:nvSpPr>
              <xdr:spPr>
                <a:xfrm>
                  <a:off x="1148915" y="7097905"/>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6D1F760-711D-47CD-9C56-ECE3193C509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D_Ver">
              <xdr:nvSpPr>
                <xdr:cNvPr id="1980" name="RhD">
                  <a:extLst>
                    <a:ext uri="{FF2B5EF4-FFF2-40B4-BE49-F238E27FC236}">
                      <a16:creationId xmlns:a16="http://schemas.microsoft.com/office/drawing/2014/main" id="{4DEC444C-1502-F2C5-12A2-7BC02DA537E6}"/>
                    </a:ext>
                  </a:extLst>
                </xdr:cNvPr>
                <xdr:cNvSpPr txBox="1"/>
              </xdr:nvSpPr>
              <xdr:spPr>
                <a:xfrm>
                  <a:off x="1137957" y="7245532"/>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2292BA6-3922-4ECC-84D9-56F41F8EF4B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D_Ver">
              <xdr:nvSpPr>
                <xdr:cNvPr id="1981" name="RM_D">
                  <a:extLst>
                    <a:ext uri="{FF2B5EF4-FFF2-40B4-BE49-F238E27FC236}">
                      <a16:creationId xmlns:a16="http://schemas.microsoft.com/office/drawing/2014/main" id="{77523BF3-18CE-1077-8089-A9D876174E33}"/>
                    </a:ext>
                  </a:extLst>
                </xdr:cNvPr>
                <xdr:cNvSpPr txBox="1"/>
              </xdr:nvSpPr>
              <xdr:spPr>
                <a:xfrm>
                  <a:off x="938654" y="6970859"/>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DADECE1C-6191-41C0-8371-D1D7D404B16D}"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1971" name="Apoyo D">
                <a:extLst>
                  <a:ext uri="{FF2B5EF4-FFF2-40B4-BE49-F238E27FC236}">
                    <a16:creationId xmlns:a16="http://schemas.microsoft.com/office/drawing/2014/main" id="{9244B707-434C-4282-49D5-CC432E48662A}"/>
                  </a:ext>
                </a:extLst>
              </xdr:cNvPr>
              <xdr:cNvGrpSpPr/>
            </xdr:nvGrpSpPr>
            <xdr:grpSpPr>
              <a:xfrm>
                <a:off x="1392906" y="4927946"/>
                <a:ext cx="473544" cy="585768"/>
                <a:chOff x="1242023" y="9122731"/>
                <a:chExt cx="471834" cy="587059"/>
              </a:xfrm>
            </xdr:grpSpPr>
            <xdr:grpSp>
              <xdr:nvGrpSpPr>
                <xdr:cNvPr id="1972" name="Apoyo Móvil">
                  <a:extLst>
                    <a:ext uri="{FF2B5EF4-FFF2-40B4-BE49-F238E27FC236}">
                      <a16:creationId xmlns:a16="http://schemas.microsoft.com/office/drawing/2014/main" id="{A7F57937-BF22-1518-ABFA-93CDBFB5FE07}"/>
                    </a:ext>
                  </a:extLst>
                </xdr:cNvPr>
                <xdr:cNvGrpSpPr/>
              </xdr:nvGrpSpPr>
              <xdr:grpSpPr>
                <a:xfrm>
                  <a:off x="1242331" y="9419598"/>
                  <a:ext cx="471526" cy="290192"/>
                  <a:chOff x="10284164" y="8440721"/>
                  <a:chExt cx="469817" cy="287368"/>
                </a:xfrm>
              </xdr:grpSpPr>
              <xdr:sp macro="" textlink="$AF$18">
                <xdr:nvSpPr>
                  <xdr:cNvPr id="1977" name="Suelo D">
                    <a:extLst>
                      <a:ext uri="{FF2B5EF4-FFF2-40B4-BE49-F238E27FC236}">
                        <a16:creationId xmlns:a16="http://schemas.microsoft.com/office/drawing/2014/main" id="{C9EB8A39-A062-982F-BA62-F6F3EDC3011E}"/>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DB8F04AC-A3F2-41BD-9B96-EF5E10AC6BD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8">
                <xdr:nvSpPr>
                  <xdr:cNvPr id="1978" name="Ruedas D">
                    <a:extLst>
                      <a:ext uri="{FF2B5EF4-FFF2-40B4-BE49-F238E27FC236}">
                        <a16:creationId xmlns:a16="http://schemas.microsoft.com/office/drawing/2014/main" id="{A2386DF8-CE30-4404-24CD-358788F46AC4}"/>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3ADEF0E-3955-41E6-A552-49C0FAA2B407}"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973" name="Apoyo FIjo">
                  <a:extLst>
                    <a:ext uri="{FF2B5EF4-FFF2-40B4-BE49-F238E27FC236}">
                      <a16:creationId xmlns:a16="http://schemas.microsoft.com/office/drawing/2014/main" id="{DC978774-6D2B-63F7-180E-208217C33FA1}"/>
                    </a:ext>
                  </a:extLst>
                </xdr:cNvPr>
                <xdr:cNvGrpSpPr/>
              </xdr:nvGrpSpPr>
              <xdr:grpSpPr>
                <a:xfrm>
                  <a:off x="1242023" y="9289134"/>
                  <a:ext cx="471526" cy="358984"/>
                  <a:chOff x="10283423" y="8314710"/>
                  <a:chExt cx="469817" cy="355491"/>
                </a:xfrm>
              </xdr:grpSpPr>
              <xdr:sp macro="" textlink="$AD$18">
                <xdr:nvSpPr>
                  <xdr:cNvPr id="1975" name="Suelo D">
                    <a:extLst>
                      <a:ext uri="{FF2B5EF4-FFF2-40B4-BE49-F238E27FC236}">
                        <a16:creationId xmlns:a16="http://schemas.microsoft.com/office/drawing/2014/main" id="{23D4D948-001B-DC62-670B-3D87A35827A0}"/>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D0ED632-27A3-4CCA-9C01-131328E810D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8">
                <xdr:nvSpPr>
                  <xdr:cNvPr id="1976" name="Triángulo D">
                    <a:extLst>
                      <a:ext uri="{FF2B5EF4-FFF2-40B4-BE49-F238E27FC236}">
                        <a16:creationId xmlns:a16="http://schemas.microsoft.com/office/drawing/2014/main" id="{6E9B4F2B-85E2-816E-45C4-7082D8823B71}"/>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9846CA-42FB-488F-A596-E1A7EC03323B}"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8">
              <xdr:nvSpPr>
                <xdr:cNvPr id="1974" name="Empotramiento D">
                  <a:extLst>
                    <a:ext uri="{FF2B5EF4-FFF2-40B4-BE49-F238E27FC236}">
                      <a16:creationId xmlns:a16="http://schemas.microsoft.com/office/drawing/2014/main" id="{B67BCDE3-99AD-367E-7306-D3A1EE435F11}"/>
                    </a:ext>
                  </a:extLst>
                </xdr:cNvPr>
                <xdr:cNvSpPr txBox="1"/>
              </xdr:nvSpPr>
              <xdr:spPr>
                <a:xfrm rot="16200000">
                  <a:off x="1215784" y="9224492"/>
                  <a:ext cx="475919" cy="272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0A61E1F-9A90-4A8E-90FF-C017F9A5C601}"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27" name="NUDO E">
              <a:extLst>
                <a:ext uri="{FF2B5EF4-FFF2-40B4-BE49-F238E27FC236}">
                  <a16:creationId xmlns:a16="http://schemas.microsoft.com/office/drawing/2014/main" id="{2F390506-351F-8B66-79F2-A619F0F1D91D}"/>
                </a:ext>
              </a:extLst>
            </xdr:cNvPr>
            <xdr:cNvGrpSpPr/>
          </xdr:nvGrpSpPr>
          <xdr:grpSpPr>
            <a:xfrm>
              <a:off x="349338" y="4818212"/>
              <a:ext cx="2147197" cy="679796"/>
              <a:chOff x="348943" y="4822201"/>
              <a:chExt cx="2150273" cy="677858"/>
            </a:xfrm>
          </xdr:grpSpPr>
          <xdr:grpSp>
            <xdr:nvGrpSpPr>
              <xdr:cNvPr id="1958" name="R E">
                <a:extLst>
                  <a:ext uri="{FF2B5EF4-FFF2-40B4-BE49-F238E27FC236}">
                    <a16:creationId xmlns:a16="http://schemas.microsoft.com/office/drawing/2014/main" id="{6051101E-4949-29F8-9FFD-7CD16F502F35}"/>
                  </a:ext>
                </a:extLst>
              </xdr:cNvPr>
              <xdr:cNvGrpSpPr/>
            </xdr:nvGrpSpPr>
            <xdr:grpSpPr>
              <a:xfrm>
                <a:off x="348943" y="4934553"/>
                <a:ext cx="2150273" cy="565506"/>
                <a:chOff x="96612" y="6730081"/>
                <a:chExt cx="2147875" cy="563264"/>
              </a:xfrm>
            </xdr:grpSpPr>
            <xdr:sp macro="" textlink="RFv_E_Ver">
              <xdr:nvSpPr>
                <xdr:cNvPr id="1967" name="RvE">
                  <a:extLst>
                    <a:ext uri="{FF2B5EF4-FFF2-40B4-BE49-F238E27FC236}">
                      <a16:creationId xmlns:a16="http://schemas.microsoft.com/office/drawing/2014/main" id="{BC48D1E3-AE94-FA8E-9D92-7BD602FA0B83}"/>
                    </a:ext>
                  </a:extLst>
                </xdr:cNvPr>
                <xdr:cNvSpPr txBox="1"/>
              </xdr:nvSpPr>
              <xdr:spPr>
                <a:xfrm>
                  <a:off x="1223061" y="7110962"/>
                  <a:ext cx="1021426" cy="182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053569D-A283-49CD-A88B-FDADED0A90C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E_Ver">
              <xdr:nvSpPr>
                <xdr:cNvPr id="1968" name="RhE">
                  <a:extLst>
                    <a:ext uri="{FF2B5EF4-FFF2-40B4-BE49-F238E27FC236}">
                      <a16:creationId xmlns:a16="http://schemas.microsoft.com/office/drawing/2014/main" id="{74355479-461A-7447-9408-54B9A4E065A8}"/>
                    </a:ext>
                  </a:extLst>
                </xdr:cNvPr>
                <xdr:cNvSpPr txBox="1"/>
              </xdr:nvSpPr>
              <xdr:spPr>
                <a:xfrm>
                  <a:off x="1268165" y="6958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502FA5E-8A8B-4963-9F63-70084A491D7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E_Ver">
              <xdr:nvSpPr>
                <xdr:cNvPr id="1969" name="RM_E">
                  <a:extLst>
                    <a:ext uri="{FF2B5EF4-FFF2-40B4-BE49-F238E27FC236}">
                      <a16:creationId xmlns:a16="http://schemas.microsoft.com/office/drawing/2014/main" id="{AE15FD10-EE05-3E3D-B137-0A5CADDFC1D5}"/>
                    </a:ext>
                  </a:extLst>
                </xdr:cNvPr>
                <xdr:cNvSpPr txBox="1"/>
              </xdr:nvSpPr>
              <xdr:spPr>
                <a:xfrm>
                  <a:off x="96612" y="6730081"/>
                  <a:ext cx="97032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62916376-6E15-4EF2-9CCA-C87AD5EA7072}"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1959" name="Apoyo E">
                <a:extLst>
                  <a:ext uri="{FF2B5EF4-FFF2-40B4-BE49-F238E27FC236}">
                    <a16:creationId xmlns:a16="http://schemas.microsoft.com/office/drawing/2014/main" id="{1DAE8B04-363D-C4BD-BDA4-A0B5EBDE2398}"/>
                  </a:ext>
                </a:extLst>
              </xdr:cNvPr>
              <xdr:cNvGrpSpPr/>
            </xdr:nvGrpSpPr>
            <xdr:grpSpPr>
              <a:xfrm>
                <a:off x="1241921" y="4822201"/>
                <a:ext cx="474310" cy="541771"/>
                <a:chOff x="1242023" y="9163066"/>
                <a:chExt cx="471834" cy="546724"/>
              </a:xfrm>
            </xdr:grpSpPr>
            <xdr:grpSp>
              <xdr:nvGrpSpPr>
                <xdr:cNvPr id="1960" name="Apoyo Móvil">
                  <a:extLst>
                    <a:ext uri="{FF2B5EF4-FFF2-40B4-BE49-F238E27FC236}">
                      <a16:creationId xmlns:a16="http://schemas.microsoft.com/office/drawing/2014/main" id="{B4933528-CCE8-370A-FC8F-8EC49720ABEC}"/>
                    </a:ext>
                  </a:extLst>
                </xdr:cNvPr>
                <xdr:cNvGrpSpPr/>
              </xdr:nvGrpSpPr>
              <xdr:grpSpPr>
                <a:xfrm>
                  <a:off x="1242331" y="9419598"/>
                  <a:ext cx="471526" cy="290192"/>
                  <a:chOff x="10284164" y="8440721"/>
                  <a:chExt cx="469817" cy="287368"/>
                </a:xfrm>
              </xdr:grpSpPr>
              <xdr:sp macro="" textlink="$AF$20">
                <xdr:nvSpPr>
                  <xdr:cNvPr id="1965" name="Suelo E">
                    <a:extLst>
                      <a:ext uri="{FF2B5EF4-FFF2-40B4-BE49-F238E27FC236}">
                        <a16:creationId xmlns:a16="http://schemas.microsoft.com/office/drawing/2014/main" id="{B27D918C-68C8-FCA3-D094-49A623D55D89}"/>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5BDD28A-7B1F-40F7-B98D-0927F239D3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0">
                <xdr:nvSpPr>
                  <xdr:cNvPr id="1966" name="Ruedas E">
                    <a:extLst>
                      <a:ext uri="{FF2B5EF4-FFF2-40B4-BE49-F238E27FC236}">
                        <a16:creationId xmlns:a16="http://schemas.microsoft.com/office/drawing/2014/main" id="{DF3308CC-F92F-CF43-7F21-318DF262969C}"/>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882A2E9C-7DB3-4EAF-8E0E-C15A23B5E6D3}"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961" name="Apoyo FIjo">
                  <a:extLst>
                    <a:ext uri="{FF2B5EF4-FFF2-40B4-BE49-F238E27FC236}">
                      <a16:creationId xmlns:a16="http://schemas.microsoft.com/office/drawing/2014/main" id="{61478B80-78F4-EE73-111D-517F84B0AB87}"/>
                    </a:ext>
                  </a:extLst>
                </xdr:cNvPr>
                <xdr:cNvGrpSpPr/>
              </xdr:nvGrpSpPr>
              <xdr:grpSpPr>
                <a:xfrm>
                  <a:off x="1242023" y="9289134"/>
                  <a:ext cx="471526" cy="358984"/>
                  <a:chOff x="10283423" y="8314710"/>
                  <a:chExt cx="469817" cy="355491"/>
                </a:xfrm>
              </xdr:grpSpPr>
              <xdr:sp macro="" textlink="$AD$20">
                <xdr:nvSpPr>
                  <xdr:cNvPr id="1963" name="Suelo E">
                    <a:extLst>
                      <a:ext uri="{FF2B5EF4-FFF2-40B4-BE49-F238E27FC236}">
                        <a16:creationId xmlns:a16="http://schemas.microsoft.com/office/drawing/2014/main" id="{79F7CD3E-8543-E83E-6B47-3EB0FB24E63B}"/>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6F0A6A2-C565-40A8-AB00-4C88D80615AC}"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0">
                <xdr:nvSpPr>
                  <xdr:cNvPr id="1964" name="Triángulo E">
                    <a:extLst>
                      <a:ext uri="{FF2B5EF4-FFF2-40B4-BE49-F238E27FC236}">
                        <a16:creationId xmlns:a16="http://schemas.microsoft.com/office/drawing/2014/main" id="{661A832F-850B-C892-97A9-2AC7DAE6E5B7}"/>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FFE167-D198-4A3D-8369-D738AA06208A}"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0">
              <xdr:nvSpPr>
                <xdr:cNvPr id="1962" name="Empotramiento E">
                  <a:extLst>
                    <a:ext uri="{FF2B5EF4-FFF2-40B4-BE49-F238E27FC236}">
                      <a16:creationId xmlns:a16="http://schemas.microsoft.com/office/drawing/2014/main" id="{573AEB23-CFBF-67EF-B493-2BE56F215C9B}"/>
                    </a:ext>
                  </a:extLst>
                </xdr:cNvPr>
                <xdr:cNvSpPr txBox="1"/>
              </xdr:nvSpPr>
              <xdr:spPr>
                <a:xfrm rot="16200000">
                  <a:off x="1239770" y="9264827"/>
                  <a:ext cx="475919" cy="272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D0F400B5-D164-4DE9-88AD-4DB8DA8E6B9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28" name="NUDO F">
              <a:extLst>
                <a:ext uri="{FF2B5EF4-FFF2-40B4-BE49-F238E27FC236}">
                  <a16:creationId xmlns:a16="http://schemas.microsoft.com/office/drawing/2014/main" id="{7BF8634D-1492-CB0D-E85A-4A667B26B10A}"/>
                </a:ext>
              </a:extLst>
            </xdr:cNvPr>
            <xdr:cNvGrpSpPr/>
          </xdr:nvGrpSpPr>
          <xdr:grpSpPr>
            <a:xfrm>
              <a:off x="1064190" y="4808102"/>
              <a:ext cx="1348915" cy="706918"/>
              <a:chOff x="-316791" y="4674058"/>
              <a:chExt cx="1350892" cy="704352"/>
            </a:xfrm>
          </xdr:grpSpPr>
          <xdr:grpSp>
            <xdr:nvGrpSpPr>
              <xdr:cNvPr id="1946" name="R F">
                <a:extLst>
                  <a:ext uri="{FF2B5EF4-FFF2-40B4-BE49-F238E27FC236}">
                    <a16:creationId xmlns:a16="http://schemas.microsoft.com/office/drawing/2014/main" id="{18218A1C-7C71-AAB4-18B4-9C56293178CF}"/>
                  </a:ext>
                </a:extLst>
              </xdr:cNvPr>
              <xdr:cNvGrpSpPr/>
            </xdr:nvGrpSpPr>
            <xdr:grpSpPr>
              <a:xfrm>
                <a:off x="-316791" y="4842435"/>
                <a:ext cx="1168444" cy="535975"/>
                <a:chOff x="-720606" y="6485809"/>
                <a:chExt cx="1167141" cy="533850"/>
              </a:xfrm>
            </xdr:grpSpPr>
            <xdr:sp macro="" textlink="RFv_F_Ver">
              <xdr:nvSpPr>
                <xdr:cNvPr id="1955" name="RvF">
                  <a:extLst>
                    <a:ext uri="{FF2B5EF4-FFF2-40B4-BE49-F238E27FC236}">
                      <a16:creationId xmlns:a16="http://schemas.microsoft.com/office/drawing/2014/main" id="{1FDA98F8-D7C6-13CC-8FAE-70A1FB01E9C4}"/>
                    </a:ext>
                  </a:extLst>
                </xdr:cNvPr>
                <xdr:cNvSpPr txBox="1"/>
              </xdr:nvSpPr>
              <xdr:spPr>
                <a:xfrm>
                  <a:off x="-527356" y="6850260"/>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C4F70B8-881F-4C70-8EF5-FF8F7FD575F4}"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F_Ver">
              <xdr:nvSpPr>
                <xdr:cNvPr id="1956" name="RhF">
                  <a:extLst>
                    <a:ext uri="{FF2B5EF4-FFF2-40B4-BE49-F238E27FC236}">
                      <a16:creationId xmlns:a16="http://schemas.microsoft.com/office/drawing/2014/main" id="{7A8B68E6-1B2C-6632-FF13-DEC041F8F8F7}"/>
                    </a:ext>
                  </a:extLst>
                </xdr:cNvPr>
                <xdr:cNvSpPr txBox="1"/>
              </xdr:nvSpPr>
              <xdr:spPr>
                <a:xfrm>
                  <a:off x="-720606" y="6660427"/>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BE3F4DDD-5135-4F11-9C6A-B6AAB649208A}"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F_Ver">
              <xdr:nvSpPr>
                <xdr:cNvPr id="1957" name="RM_F">
                  <a:extLst>
                    <a:ext uri="{FF2B5EF4-FFF2-40B4-BE49-F238E27FC236}">
                      <a16:creationId xmlns:a16="http://schemas.microsoft.com/office/drawing/2014/main" id="{43D357AC-A4D5-6737-DB7F-D848456D8C7A}"/>
                    </a:ext>
                  </a:extLst>
                </xdr:cNvPr>
                <xdr:cNvSpPr txBox="1"/>
              </xdr:nvSpPr>
              <xdr:spPr>
                <a:xfrm>
                  <a:off x="-705367" y="6485809"/>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5197EC8-A3D4-4548-A081-59F1136EFBC9}"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1947" name="Apoyo F">
                <a:extLst>
                  <a:ext uri="{FF2B5EF4-FFF2-40B4-BE49-F238E27FC236}">
                    <a16:creationId xmlns:a16="http://schemas.microsoft.com/office/drawing/2014/main" id="{1537BB35-86DD-0FF5-5870-F9CF2E71B33E}"/>
                  </a:ext>
                </a:extLst>
              </xdr:cNvPr>
              <xdr:cNvGrpSpPr/>
            </xdr:nvGrpSpPr>
            <xdr:grpSpPr>
              <a:xfrm>
                <a:off x="562475" y="4674058"/>
                <a:ext cx="471626" cy="568158"/>
                <a:chOff x="562305" y="4670996"/>
                <a:chExt cx="470576" cy="565923"/>
              </a:xfrm>
            </xdr:grpSpPr>
            <xdr:grpSp>
              <xdr:nvGrpSpPr>
                <xdr:cNvPr id="1948" name="Apoyo Movil F">
                  <a:extLst>
                    <a:ext uri="{FF2B5EF4-FFF2-40B4-BE49-F238E27FC236}">
                      <a16:creationId xmlns:a16="http://schemas.microsoft.com/office/drawing/2014/main" id="{C534C63E-587D-48D6-63CA-931331E226F7}"/>
                    </a:ext>
                  </a:extLst>
                </xdr:cNvPr>
                <xdr:cNvGrpSpPr/>
              </xdr:nvGrpSpPr>
              <xdr:grpSpPr>
                <a:xfrm>
                  <a:off x="562612" y="4951098"/>
                  <a:ext cx="470269" cy="285821"/>
                  <a:chOff x="562612" y="4951098"/>
                  <a:chExt cx="470269" cy="285821"/>
                </a:xfrm>
              </xdr:grpSpPr>
              <xdr:sp macro="" textlink="$AF$21">
                <xdr:nvSpPr>
                  <xdr:cNvPr id="1953" name="Suelo F">
                    <a:extLst>
                      <a:ext uri="{FF2B5EF4-FFF2-40B4-BE49-F238E27FC236}">
                        <a16:creationId xmlns:a16="http://schemas.microsoft.com/office/drawing/2014/main" id="{362D2E05-A10D-5B6B-91A2-D168743A521E}"/>
                      </a:ext>
                    </a:extLst>
                  </xdr:cNvPr>
                  <xdr:cNvSpPr txBox="1"/>
                </xdr:nvSpPr>
                <xdr:spPr>
                  <a:xfrm rot="10800000">
                    <a:off x="562612" y="4966124"/>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7B9F4E3-EF39-4556-850E-E850623C5AD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1">
                <xdr:nvSpPr>
                  <xdr:cNvPr id="1954" name="Ruedas F">
                    <a:extLst>
                      <a:ext uri="{FF2B5EF4-FFF2-40B4-BE49-F238E27FC236}">
                        <a16:creationId xmlns:a16="http://schemas.microsoft.com/office/drawing/2014/main" id="{CF713218-FE07-6F86-887D-163050086114}"/>
                      </a:ext>
                    </a:extLst>
                  </xdr:cNvPr>
                  <xdr:cNvSpPr txBox="1"/>
                </xdr:nvSpPr>
                <xdr:spPr>
                  <a:xfrm>
                    <a:off x="562612" y="4951098"/>
                    <a:ext cx="470269" cy="271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815F02A-466D-4C94-963C-6BD4C8230FC8}"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949" name="Apoyo Fijo F">
                  <a:extLst>
                    <a:ext uri="{FF2B5EF4-FFF2-40B4-BE49-F238E27FC236}">
                      <a16:creationId xmlns:a16="http://schemas.microsoft.com/office/drawing/2014/main" id="{6C77FB48-3E33-1C9C-6B23-6D118E3653FE}"/>
                    </a:ext>
                  </a:extLst>
                </xdr:cNvPr>
                <xdr:cNvGrpSpPr/>
              </xdr:nvGrpSpPr>
              <xdr:grpSpPr>
                <a:xfrm>
                  <a:off x="562305" y="4822599"/>
                  <a:ext cx="470269" cy="353577"/>
                  <a:chOff x="562305" y="4822599"/>
                  <a:chExt cx="470269" cy="353577"/>
                </a:xfrm>
              </xdr:grpSpPr>
              <xdr:sp macro="" textlink="$AD$21">
                <xdr:nvSpPr>
                  <xdr:cNvPr id="1951" name="Suelo F">
                    <a:extLst>
                      <a:ext uri="{FF2B5EF4-FFF2-40B4-BE49-F238E27FC236}">
                        <a16:creationId xmlns:a16="http://schemas.microsoft.com/office/drawing/2014/main" id="{934B8915-C838-A99D-54CE-3059397F0FD5}"/>
                      </a:ext>
                    </a:extLst>
                  </xdr:cNvPr>
                  <xdr:cNvSpPr txBox="1"/>
                </xdr:nvSpPr>
                <xdr:spPr>
                  <a:xfrm rot="10800000">
                    <a:off x="562305" y="4905381"/>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3BC129F-6DFF-40CB-B401-408B2253637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1">
                <xdr:nvSpPr>
                  <xdr:cNvPr id="1952" name="Triángulo F">
                    <a:extLst>
                      <a:ext uri="{FF2B5EF4-FFF2-40B4-BE49-F238E27FC236}">
                        <a16:creationId xmlns:a16="http://schemas.microsoft.com/office/drawing/2014/main" id="{A743384A-60B4-8816-6D95-FFD2060FBE5E}"/>
                      </a:ext>
                    </a:extLst>
                  </xdr:cNvPr>
                  <xdr:cNvSpPr txBox="1"/>
                </xdr:nvSpPr>
                <xdr:spPr>
                  <a:xfrm>
                    <a:off x="655755" y="4822599"/>
                    <a:ext cx="286909" cy="271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EF0C8C-D5B4-4DE7-A435-23315FDFD4E9}"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1">
              <xdr:nvSpPr>
                <xdr:cNvPr id="1950" name="Empotramiento F">
                  <a:extLst>
                    <a:ext uri="{FF2B5EF4-FFF2-40B4-BE49-F238E27FC236}">
                      <a16:creationId xmlns:a16="http://schemas.microsoft.com/office/drawing/2014/main" id="{5ECB5DFB-6C60-A25A-A332-715F5D000A3D}"/>
                    </a:ext>
                  </a:extLst>
                </xdr:cNvPr>
                <xdr:cNvSpPr txBox="1"/>
              </xdr:nvSpPr>
              <xdr:spPr>
                <a:xfrm rot="16200000">
                  <a:off x="544343" y="4770733"/>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3D38A89-1AE2-48E0-A48D-3C610B68CE7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29" name="NUDO G">
              <a:extLst>
                <a:ext uri="{FF2B5EF4-FFF2-40B4-BE49-F238E27FC236}">
                  <a16:creationId xmlns:a16="http://schemas.microsoft.com/office/drawing/2014/main" id="{67B5A313-F02A-633D-57DC-183F10CD5B9E}"/>
                </a:ext>
              </a:extLst>
            </xdr:cNvPr>
            <xdr:cNvGrpSpPr/>
          </xdr:nvGrpSpPr>
          <xdr:grpSpPr>
            <a:xfrm>
              <a:off x="1954304" y="4548554"/>
              <a:ext cx="1187472" cy="606559"/>
              <a:chOff x="1955865" y="4553630"/>
              <a:chExt cx="1188753" cy="604910"/>
            </a:xfrm>
          </xdr:grpSpPr>
          <xdr:grpSp>
            <xdr:nvGrpSpPr>
              <xdr:cNvPr id="1934" name="R G">
                <a:extLst>
                  <a:ext uri="{FF2B5EF4-FFF2-40B4-BE49-F238E27FC236}">
                    <a16:creationId xmlns:a16="http://schemas.microsoft.com/office/drawing/2014/main" id="{FDD05863-08BF-23EB-9C61-D8CFA870CA25}"/>
                  </a:ext>
                </a:extLst>
              </xdr:cNvPr>
              <xdr:cNvGrpSpPr/>
            </xdr:nvGrpSpPr>
            <xdr:grpSpPr>
              <a:xfrm>
                <a:off x="1955865" y="4553630"/>
                <a:ext cx="995532" cy="347846"/>
                <a:chOff x="-361245" y="6127876"/>
                <a:chExt cx="994422" cy="346472"/>
              </a:xfrm>
            </xdr:grpSpPr>
            <xdr:sp macro="" textlink="RFv_G_Ver">
              <xdr:nvSpPr>
                <xdr:cNvPr id="1943" name="RvG">
                  <a:extLst>
                    <a:ext uri="{FF2B5EF4-FFF2-40B4-BE49-F238E27FC236}">
                      <a16:creationId xmlns:a16="http://schemas.microsoft.com/office/drawing/2014/main" id="{5BF3B79B-D4CF-591B-514C-1EF8B6A25073}"/>
                    </a:ext>
                  </a:extLst>
                </xdr:cNvPr>
                <xdr:cNvSpPr txBox="1"/>
              </xdr:nvSpPr>
              <xdr:spPr>
                <a:xfrm>
                  <a:off x="-340714" y="612787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A22F03B0-E060-4148-A393-BAB67E80BA48}"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G_Ver">
              <xdr:nvSpPr>
                <xdr:cNvPr id="1944" name="RhG">
                  <a:extLst>
                    <a:ext uri="{FF2B5EF4-FFF2-40B4-BE49-F238E27FC236}">
                      <a16:creationId xmlns:a16="http://schemas.microsoft.com/office/drawing/2014/main" id="{8F3418D4-91E7-75D2-7252-B5FB32C0B735}"/>
                    </a:ext>
                  </a:extLst>
                </xdr:cNvPr>
                <xdr:cNvSpPr txBox="1"/>
              </xdr:nvSpPr>
              <xdr:spPr>
                <a:xfrm>
                  <a:off x="-341487" y="6240836"/>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0C5A9CF-F1FA-434C-982C-21DA449AA42F}"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G_Ver">
              <xdr:nvSpPr>
                <xdr:cNvPr id="1945" name="RM_G">
                  <a:extLst>
                    <a:ext uri="{FF2B5EF4-FFF2-40B4-BE49-F238E27FC236}">
                      <a16:creationId xmlns:a16="http://schemas.microsoft.com/office/drawing/2014/main" id="{BDEA2A88-6BD5-51D3-C506-B62F3CD16037}"/>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212AAEC9-A654-4DDE-B587-F6ED2DD38D29}"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1935" name="Apoyo G">
                <a:extLst>
                  <a:ext uri="{FF2B5EF4-FFF2-40B4-BE49-F238E27FC236}">
                    <a16:creationId xmlns:a16="http://schemas.microsoft.com/office/drawing/2014/main" id="{FD02F81C-FDB6-07E7-9B91-C5009055CAF4}"/>
                  </a:ext>
                </a:extLst>
              </xdr:cNvPr>
              <xdr:cNvGrpSpPr/>
            </xdr:nvGrpSpPr>
            <xdr:grpSpPr>
              <a:xfrm rot="10800000">
                <a:off x="2653917" y="4682168"/>
                <a:ext cx="490701" cy="476372"/>
                <a:chOff x="4712203" y="12978955"/>
                <a:chExt cx="490714" cy="481561"/>
              </a:xfrm>
            </xdr:grpSpPr>
            <xdr:grpSp>
              <xdr:nvGrpSpPr>
                <xdr:cNvPr id="1936" name="Apoyo Móvil">
                  <a:extLst>
                    <a:ext uri="{FF2B5EF4-FFF2-40B4-BE49-F238E27FC236}">
                      <a16:creationId xmlns:a16="http://schemas.microsoft.com/office/drawing/2014/main" id="{E4773E0B-AD85-E8A6-4BF9-944C3411E5E1}"/>
                    </a:ext>
                  </a:extLst>
                </xdr:cNvPr>
                <xdr:cNvGrpSpPr/>
              </xdr:nvGrpSpPr>
              <xdr:grpSpPr>
                <a:xfrm>
                  <a:off x="4727383" y="13169289"/>
                  <a:ext cx="475534" cy="291227"/>
                  <a:chOff x="10290702" y="8453513"/>
                  <a:chExt cx="469817" cy="287372"/>
                </a:xfrm>
              </xdr:grpSpPr>
              <xdr:sp macro="" textlink="$AE$22">
                <xdr:nvSpPr>
                  <xdr:cNvPr id="1941" name="Ruedas G">
                    <a:extLst>
                      <a:ext uri="{FF2B5EF4-FFF2-40B4-BE49-F238E27FC236}">
                        <a16:creationId xmlns:a16="http://schemas.microsoft.com/office/drawing/2014/main" id="{5B978C21-1E3D-53E7-E650-A8B31B7BFD58}"/>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FD29B93-2B99-4045-A3AC-CAC5BA3FE256}"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2">
                <xdr:nvSpPr>
                  <xdr:cNvPr id="1942" name="Suelo G">
                    <a:extLst>
                      <a:ext uri="{FF2B5EF4-FFF2-40B4-BE49-F238E27FC236}">
                        <a16:creationId xmlns:a16="http://schemas.microsoft.com/office/drawing/2014/main" id="{D0646F02-BCEB-B569-066F-7A81B2F3E36F}"/>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8BAD46D-E3F6-4BC0-8025-9CBF20652A91}"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937" name="Apoyo FIjo">
                  <a:extLst>
                    <a:ext uri="{FF2B5EF4-FFF2-40B4-BE49-F238E27FC236}">
                      <a16:creationId xmlns:a16="http://schemas.microsoft.com/office/drawing/2014/main" id="{33196857-ECBF-53AA-33A6-18DCF4F7775F}"/>
                    </a:ext>
                  </a:extLst>
                </xdr:cNvPr>
                <xdr:cNvGrpSpPr/>
              </xdr:nvGrpSpPr>
              <xdr:grpSpPr>
                <a:xfrm>
                  <a:off x="4726743" y="13031926"/>
                  <a:ext cx="475534" cy="354860"/>
                  <a:chOff x="10289636" y="8321106"/>
                  <a:chExt cx="469817" cy="350161"/>
                </a:xfrm>
              </xdr:grpSpPr>
              <xdr:sp macro="" textlink="$AC$22">
                <xdr:nvSpPr>
                  <xdr:cNvPr id="1939" name="Triángulo G">
                    <a:extLst>
                      <a:ext uri="{FF2B5EF4-FFF2-40B4-BE49-F238E27FC236}">
                        <a16:creationId xmlns:a16="http://schemas.microsoft.com/office/drawing/2014/main" id="{E2288A8B-7203-7E2D-E30D-237E9BEF0184}"/>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AFC722-D6D2-4D24-8EA3-C7E72DC9B5DD}"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2">
                <xdr:nvSpPr>
                  <xdr:cNvPr id="1940" name="Suelo G">
                    <a:extLst>
                      <a:ext uri="{FF2B5EF4-FFF2-40B4-BE49-F238E27FC236}">
                        <a16:creationId xmlns:a16="http://schemas.microsoft.com/office/drawing/2014/main" id="{D154089B-2ED3-5747-E84A-3F412DF6EDC3}"/>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6DF9A95-4E89-4D61-935A-7082F22646A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2">
              <xdr:nvSpPr>
                <xdr:cNvPr id="1938" name="Empotramiento G">
                  <a:extLst>
                    <a:ext uri="{FF2B5EF4-FFF2-40B4-BE49-F238E27FC236}">
                      <a16:creationId xmlns:a16="http://schemas.microsoft.com/office/drawing/2014/main" id="{D0B4BB13-F4C6-4F25-1F18-0EC0E3BB6F46}"/>
                    </a:ext>
                  </a:extLst>
                </xdr:cNvPr>
                <xdr:cNvSpPr txBox="1"/>
              </xdr:nvSpPr>
              <xdr:spPr>
                <a:xfrm rot="10800000">
                  <a:off x="4712203" y="12978955"/>
                  <a:ext cx="471015"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7C12813-F9E5-4F6A-AE48-92FBA8616C6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30" name="NUDO H">
              <a:extLst>
                <a:ext uri="{FF2B5EF4-FFF2-40B4-BE49-F238E27FC236}">
                  <a16:creationId xmlns:a16="http://schemas.microsoft.com/office/drawing/2014/main" id="{DD2E761D-09E9-5CE6-9F4F-613CB3C1850B}"/>
                </a:ext>
              </a:extLst>
            </xdr:cNvPr>
            <xdr:cNvGrpSpPr/>
          </xdr:nvGrpSpPr>
          <xdr:grpSpPr>
            <a:xfrm>
              <a:off x="3347841" y="4819104"/>
              <a:ext cx="1386641" cy="692654"/>
              <a:chOff x="3351378" y="4823090"/>
              <a:chExt cx="1388619" cy="690800"/>
            </a:xfrm>
          </xdr:grpSpPr>
          <xdr:grpSp>
            <xdr:nvGrpSpPr>
              <xdr:cNvPr id="1922" name="R H">
                <a:extLst>
                  <a:ext uri="{FF2B5EF4-FFF2-40B4-BE49-F238E27FC236}">
                    <a16:creationId xmlns:a16="http://schemas.microsoft.com/office/drawing/2014/main" id="{FB1A5B57-7927-439A-C270-D2F7C97AE239}"/>
                  </a:ext>
                </a:extLst>
              </xdr:cNvPr>
              <xdr:cNvGrpSpPr/>
            </xdr:nvGrpSpPr>
            <xdr:grpSpPr>
              <a:xfrm>
                <a:off x="3538909" y="4957474"/>
                <a:ext cx="1201088" cy="556416"/>
                <a:chOff x="1067815" y="6991833"/>
                <a:chExt cx="1199744" cy="554212"/>
              </a:xfrm>
            </xdr:grpSpPr>
            <xdr:sp macro="" textlink="RFv_H_Ver">
              <xdr:nvSpPr>
                <xdr:cNvPr id="1931" name="RvH">
                  <a:extLst>
                    <a:ext uri="{FF2B5EF4-FFF2-40B4-BE49-F238E27FC236}">
                      <a16:creationId xmlns:a16="http://schemas.microsoft.com/office/drawing/2014/main" id="{3DBA06A1-7B1C-E02D-DED1-2E0D293D32B4}"/>
                    </a:ext>
                  </a:extLst>
                </xdr:cNvPr>
                <xdr:cNvSpPr txBox="1"/>
              </xdr:nvSpPr>
              <xdr:spPr>
                <a:xfrm>
                  <a:off x="1067815" y="737664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35C6EA3-6491-482D-A6F0-29E54BA69E81}"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H_Ver">
              <xdr:nvSpPr>
                <xdr:cNvPr id="1932" name="RhH">
                  <a:extLst>
                    <a:ext uri="{FF2B5EF4-FFF2-40B4-BE49-F238E27FC236}">
                      <a16:creationId xmlns:a16="http://schemas.microsoft.com/office/drawing/2014/main" id="{BD6463F2-2841-84DC-EBB2-DC22C0005C8F}"/>
                    </a:ext>
                  </a:extLst>
                </xdr:cNvPr>
                <xdr:cNvSpPr txBox="1"/>
              </xdr:nvSpPr>
              <xdr:spPr>
                <a:xfrm>
                  <a:off x="1294567" y="7189682"/>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203C94E-10F8-4669-8654-FC833F291F73}"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H_Ver">
              <xdr:nvSpPr>
                <xdr:cNvPr id="1933" name="RM_H">
                  <a:extLst>
                    <a:ext uri="{FF2B5EF4-FFF2-40B4-BE49-F238E27FC236}">
                      <a16:creationId xmlns:a16="http://schemas.microsoft.com/office/drawing/2014/main" id="{5E97F544-0C3F-64CC-0220-76121984E9BF}"/>
                    </a:ext>
                  </a:extLst>
                </xdr:cNvPr>
                <xdr:cNvSpPr txBox="1"/>
              </xdr:nvSpPr>
              <xdr:spPr>
                <a:xfrm>
                  <a:off x="1277699" y="6991833"/>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ADF250C-B2FE-410B-8BDC-46FBD3A959D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923" name="Apoyo H">
                <a:extLst>
                  <a:ext uri="{FF2B5EF4-FFF2-40B4-BE49-F238E27FC236}">
                    <a16:creationId xmlns:a16="http://schemas.microsoft.com/office/drawing/2014/main" id="{B6E50EAA-0305-3E29-A46F-6CF61F3A42F6}"/>
                  </a:ext>
                </a:extLst>
              </xdr:cNvPr>
              <xdr:cNvGrpSpPr/>
            </xdr:nvGrpSpPr>
            <xdr:grpSpPr>
              <a:xfrm>
                <a:off x="3351378" y="4823090"/>
                <a:ext cx="474401" cy="568299"/>
                <a:chOff x="3351378" y="4823090"/>
                <a:chExt cx="474401" cy="568299"/>
              </a:xfrm>
            </xdr:grpSpPr>
            <xdr:grpSp>
              <xdr:nvGrpSpPr>
                <xdr:cNvPr id="1924" name="Apoyo Móvil">
                  <a:extLst>
                    <a:ext uri="{FF2B5EF4-FFF2-40B4-BE49-F238E27FC236}">
                      <a16:creationId xmlns:a16="http://schemas.microsoft.com/office/drawing/2014/main" id="{94012058-B7AE-DD88-B5D5-E5EB3FDA5C65}"/>
                    </a:ext>
                  </a:extLst>
                </xdr:cNvPr>
                <xdr:cNvGrpSpPr/>
              </xdr:nvGrpSpPr>
              <xdr:grpSpPr>
                <a:xfrm>
                  <a:off x="3352008" y="5103289"/>
                  <a:ext cx="473771" cy="288100"/>
                  <a:chOff x="9236846" y="8226342"/>
                  <a:chExt cx="469817" cy="287382"/>
                </a:xfrm>
              </xdr:grpSpPr>
              <xdr:sp macro="" textlink="$AE$23">
                <xdr:nvSpPr>
                  <xdr:cNvPr id="1929" name="Ruedas H">
                    <a:extLst>
                      <a:ext uri="{FF2B5EF4-FFF2-40B4-BE49-F238E27FC236}">
                        <a16:creationId xmlns:a16="http://schemas.microsoft.com/office/drawing/2014/main" id="{6A0F2E78-956F-4B0C-FAA0-7084FDB64646}"/>
                      </a:ext>
                    </a:extLst>
                  </xdr:cNvPr>
                  <xdr:cNvSpPr txBox="1"/>
                </xdr:nvSpPr>
                <xdr:spPr>
                  <a:xfrm>
                    <a:off x="9236846" y="8226342"/>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47BD5C1-84C3-4C16-9260-01038DAF0581}"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3">
                <xdr:nvSpPr>
                  <xdr:cNvPr id="1930" name="Suelo H">
                    <a:extLst>
                      <a:ext uri="{FF2B5EF4-FFF2-40B4-BE49-F238E27FC236}">
                        <a16:creationId xmlns:a16="http://schemas.microsoft.com/office/drawing/2014/main" id="{5D984B9E-4B41-B8B0-9073-799B2E309712}"/>
                      </a:ext>
                    </a:extLst>
                  </xdr:cNvPr>
                  <xdr:cNvSpPr txBox="1"/>
                </xdr:nvSpPr>
                <xdr:spPr>
                  <a:xfrm rot="10800000">
                    <a:off x="9236846" y="8241463"/>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A2B3BDC-EAB9-45C0-AB14-7825158325F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925" name="Apoyo FIjo">
                  <a:extLst>
                    <a:ext uri="{FF2B5EF4-FFF2-40B4-BE49-F238E27FC236}">
                      <a16:creationId xmlns:a16="http://schemas.microsoft.com/office/drawing/2014/main" id="{DBF71961-F704-CDE2-E072-44F66A2C0745}"/>
                    </a:ext>
                  </a:extLst>
                </xdr:cNvPr>
                <xdr:cNvGrpSpPr/>
              </xdr:nvGrpSpPr>
              <xdr:grpSpPr>
                <a:xfrm>
                  <a:off x="3351378" y="4970300"/>
                  <a:ext cx="473771" cy="351026"/>
                  <a:chOff x="9235780" y="8096854"/>
                  <a:chExt cx="469817" cy="350150"/>
                </a:xfrm>
              </xdr:grpSpPr>
              <xdr:sp macro="" textlink="$AC$23">
                <xdr:nvSpPr>
                  <xdr:cNvPr id="1927" name="Triángulo H">
                    <a:extLst>
                      <a:ext uri="{FF2B5EF4-FFF2-40B4-BE49-F238E27FC236}">
                        <a16:creationId xmlns:a16="http://schemas.microsoft.com/office/drawing/2014/main" id="{2FAB109E-932A-CCCD-8E55-F110E58C937C}"/>
                      </a:ext>
                    </a:extLst>
                  </xdr:cNvPr>
                  <xdr:cNvSpPr txBox="1"/>
                </xdr:nvSpPr>
                <xdr:spPr>
                  <a:xfrm>
                    <a:off x="9328097" y="8096854"/>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16E707-8B26-40AB-9B44-5DF3896E1FCC}"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3">
                <xdr:nvSpPr>
                  <xdr:cNvPr id="1928" name="Suelo H">
                    <a:extLst>
                      <a:ext uri="{FF2B5EF4-FFF2-40B4-BE49-F238E27FC236}">
                        <a16:creationId xmlns:a16="http://schemas.microsoft.com/office/drawing/2014/main" id="{FFE6171D-CE97-C948-1B84-132CF251665C}"/>
                      </a:ext>
                    </a:extLst>
                  </xdr:cNvPr>
                  <xdr:cNvSpPr txBox="1"/>
                </xdr:nvSpPr>
                <xdr:spPr>
                  <a:xfrm rot="10800000">
                    <a:off x="9235780" y="8174743"/>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E01BC87-B6CB-4D30-A836-D322B53FBD4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3">
              <xdr:nvSpPr>
                <xdr:cNvPr id="1926" name="Empotramiento H">
                  <a:extLst>
                    <a:ext uri="{FF2B5EF4-FFF2-40B4-BE49-F238E27FC236}">
                      <a16:creationId xmlns:a16="http://schemas.microsoft.com/office/drawing/2014/main" id="{A71552CB-F376-EA03-A462-DC9B800FB483}"/>
                    </a:ext>
                  </a:extLst>
                </xdr:cNvPr>
                <xdr:cNvSpPr txBox="1"/>
              </xdr:nvSpPr>
              <xdr:spPr>
                <a:xfrm rot="5400000">
                  <a:off x="3379693" y="4921320"/>
                  <a:ext cx="471003" cy="274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D72D5A2-C8D2-4F6F-B143-91532EFD7B7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31" name="NUDO I">
              <a:extLst>
                <a:ext uri="{FF2B5EF4-FFF2-40B4-BE49-F238E27FC236}">
                  <a16:creationId xmlns:a16="http://schemas.microsoft.com/office/drawing/2014/main" id="{901536F3-B001-F573-62FB-4CC06D012663}"/>
                </a:ext>
              </a:extLst>
            </xdr:cNvPr>
            <xdr:cNvGrpSpPr/>
          </xdr:nvGrpSpPr>
          <xdr:grpSpPr>
            <a:xfrm>
              <a:off x="4047167" y="4803316"/>
              <a:ext cx="1371590" cy="667488"/>
              <a:chOff x="4051492" y="4807918"/>
              <a:chExt cx="1373923" cy="665018"/>
            </a:xfrm>
          </xdr:grpSpPr>
          <xdr:grpSp>
            <xdr:nvGrpSpPr>
              <xdr:cNvPr id="1910" name="R I">
                <a:extLst>
                  <a:ext uri="{FF2B5EF4-FFF2-40B4-BE49-F238E27FC236}">
                    <a16:creationId xmlns:a16="http://schemas.microsoft.com/office/drawing/2014/main" id="{0F19C88C-345D-8206-9826-5830A63147E2}"/>
                  </a:ext>
                </a:extLst>
              </xdr:cNvPr>
              <xdr:cNvGrpSpPr/>
            </xdr:nvGrpSpPr>
            <xdr:grpSpPr>
              <a:xfrm>
                <a:off x="4224327" y="4916520"/>
                <a:ext cx="1201088" cy="556416"/>
                <a:chOff x="3351378" y="4823090"/>
                <a:chExt cx="1201088" cy="556416"/>
              </a:xfrm>
            </xdr:grpSpPr>
            <xdr:sp macro="" textlink="RFv_I_Ver">
              <xdr:nvSpPr>
                <xdr:cNvPr id="1919" name="RvI">
                  <a:extLst>
                    <a:ext uri="{FF2B5EF4-FFF2-40B4-BE49-F238E27FC236}">
                      <a16:creationId xmlns:a16="http://schemas.microsoft.com/office/drawing/2014/main" id="{5164F3B8-A67E-476D-45B7-7C191E3F2006}"/>
                    </a:ext>
                  </a:extLst>
                </xdr:cNvPr>
                <xdr:cNvSpPr txBox="1"/>
              </xdr:nvSpPr>
              <xdr:spPr>
                <a:xfrm>
                  <a:off x="3351378" y="5209433"/>
                  <a:ext cx="974982" cy="170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B8BE28D-6878-4137-9735-37ECF7F51BB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I_Ver">
              <xdr:nvSpPr>
                <xdr:cNvPr id="1920" name="RhI">
                  <a:extLst>
                    <a:ext uri="{FF2B5EF4-FFF2-40B4-BE49-F238E27FC236}">
                      <a16:creationId xmlns:a16="http://schemas.microsoft.com/office/drawing/2014/main" id="{BC2E63B1-C173-21B4-9C35-4EEC6F3340F7}"/>
                    </a:ext>
                  </a:extLst>
                </xdr:cNvPr>
                <xdr:cNvSpPr txBox="1"/>
              </xdr:nvSpPr>
              <xdr:spPr>
                <a:xfrm>
                  <a:off x="3578384" y="5021726"/>
                  <a:ext cx="974082" cy="17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9577CFE-4BDB-4D84-956C-B92598FEE1AB}"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I_Ver">
              <xdr:nvSpPr>
                <xdr:cNvPr id="1921" name="RM_I">
                  <a:extLst>
                    <a:ext uri="{FF2B5EF4-FFF2-40B4-BE49-F238E27FC236}">
                      <a16:creationId xmlns:a16="http://schemas.microsoft.com/office/drawing/2014/main" id="{53F2053B-5250-42B8-1F31-B2780CBC445B}"/>
                    </a:ext>
                  </a:extLst>
                </xdr:cNvPr>
                <xdr:cNvSpPr txBox="1"/>
              </xdr:nvSpPr>
              <xdr:spPr>
                <a:xfrm>
                  <a:off x="3561497" y="4823090"/>
                  <a:ext cx="971410" cy="17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C55C455-A123-4AC6-AFA6-51B0C6C5DA38}"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911" name="Apoyo I">
                <a:extLst>
                  <a:ext uri="{FF2B5EF4-FFF2-40B4-BE49-F238E27FC236}">
                    <a16:creationId xmlns:a16="http://schemas.microsoft.com/office/drawing/2014/main" id="{4C102024-58A5-622A-7180-92B0CFD441E7}"/>
                  </a:ext>
                </a:extLst>
              </xdr:cNvPr>
              <xdr:cNvGrpSpPr/>
            </xdr:nvGrpSpPr>
            <xdr:grpSpPr>
              <a:xfrm>
                <a:off x="4051492" y="4807918"/>
                <a:ext cx="474409" cy="574092"/>
                <a:chOff x="4726743" y="12880171"/>
                <a:chExt cx="476174" cy="580345"/>
              </a:xfrm>
            </xdr:grpSpPr>
            <xdr:grpSp>
              <xdr:nvGrpSpPr>
                <xdr:cNvPr id="1912" name="Apoyo Móvil">
                  <a:extLst>
                    <a:ext uri="{FF2B5EF4-FFF2-40B4-BE49-F238E27FC236}">
                      <a16:creationId xmlns:a16="http://schemas.microsoft.com/office/drawing/2014/main" id="{A4544CE7-E85F-B9B0-F360-A439DDED4658}"/>
                    </a:ext>
                  </a:extLst>
                </xdr:cNvPr>
                <xdr:cNvGrpSpPr/>
              </xdr:nvGrpSpPr>
              <xdr:grpSpPr>
                <a:xfrm>
                  <a:off x="4727383" y="13169289"/>
                  <a:ext cx="475534" cy="291227"/>
                  <a:chOff x="10290702" y="8453513"/>
                  <a:chExt cx="469817" cy="287372"/>
                </a:xfrm>
              </xdr:grpSpPr>
              <xdr:sp macro="" textlink="$AE$24">
                <xdr:nvSpPr>
                  <xdr:cNvPr id="1917" name="Ruedas I">
                    <a:extLst>
                      <a:ext uri="{FF2B5EF4-FFF2-40B4-BE49-F238E27FC236}">
                        <a16:creationId xmlns:a16="http://schemas.microsoft.com/office/drawing/2014/main" id="{2E6295F9-C3C5-0B5A-A1CE-0DE08F16CCB7}"/>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F3687D0-AFEC-499F-B342-DE371DAE5EAF}"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4">
                <xdr:nvSpPr>
                  <xdr:cNvPr id="1918" name="Suelo I">
                    <a:extLst>
                      <a:ext uri="{FF2B5EF4-FFF2-40B4-BE49-F238E27FC236}">
                        <a16:creationId xmlns:a16="http://schemas.microsoft.com/office/drawing/2014/main" id="{7DBCCC7B-DB64-924F-92F4-CB368E42D6C5}"/>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0BFA142-EBD0-419C-A6F8-BF8343ACBFFA}"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913" name="Apoyo FIjo">
                  <a:extLst>
                    <a:ext uri="{FF2B5EF4-FFF2-40B4-BE49-F238E27FC236}">
                      <a16:creationId xmlns:a16="http://schemas.microsoft.com/office/drawing/2014/main" id="{DBD215EA-6068-4220-E24D-453334754BCD}"/>
                    </a:ext>
                  </a:extLst>
                </xdr:cNvPr>
                <xdr:cNvGrpSpPr/>
              </xdr:nvGrpSpPr>
              <xdr:grpSpPr>
                <a:xfrm>
                  <a:off x="4726743" y="13031926"/>
                  <a:ext cx="475534" cy="354860"/>
                  <a:chOff x="10289636" y="8321106"/>
                  <a:chExt cx="469817" cy="350161"/>
                </a:xfrm>
              </xdr:grpSpPr>
              <xdr:sp macro="" textlink="$AC$24">
                <xdr:nvSpPr>
                  <xdr:cNvPr id="1915" name="Triángulo I">
                    <a:extLst>
                      <a:ext uri="{FF2B5EF4-FFF2-40B4-BE49-F238E27FC236}">
                        <a16:creationId xmlns:a16="http://schemas.microsoft.com/office/drawing/2014/main" id="{9B9AD41C-C968-641D-8ADD-38555C8907E4}"/>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6EAED6-7575-4F4B-88CC-14968C314DF6}"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4">
                <xdr:nvSpPr>
                  <xdr:cNvPr id="1916" name="Suelo I">
                    <a:extLst>
                      <a:ext uri="{FF2B5EF4-FFF2-40B4-BE49-F238E27FC236}">
                        <a16:creationId xmlns:a16="http://schemas.microsoft.com/office/drawing/2014/main" id="{13A6556F-BC84-12D3-18CC-5596825C86B0}"/>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5E3B90D-E44F-4106-BA66-600DBD043D5E}"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4">
              <xdr:nvSpPr>
                <xdr:cNvPr id="1914" name="Empotramiento I">
                  <a:extLst>
                    <a:ext uri="{FF2B5EF4-FFF2-40B4-BE49-F238E27FC236}">
                      <a16:creationId xmlns:a16="http://schemas.microsoft.com/office/drawing/2014/main" id="{7A08CE0D-80F3-2F88-1B4E-3E107D626903}"/>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32B7DEA5-5930-4551-BE32-4A6517693B64}"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32" name="NUDO J">
              <a:extLst>
                <a:ext uri="{FF2B5EF4-FFF2-40B4-BE49-F238E27FC236}">
                  <a16:creationId xmlns:a16="http://schemas.microsoft.com/office/drawing/2014/main" id="{7A0E2989-B19A-7815-ECF0-8428C032FBF4}"/>
                </a:ext>
              </a:extLst>
            </xdr:cNvPr>
            <xdr:cNvGrpSpPr/>
          </xdr:nvGrpSpPr>
          <xdr:grpSpPr>
            <a:xfrm>
              <a:off x="2649423" y="5086337"/>
              <a:ext cx="1159290" cy="763017"/>
              <a:chOff x="1645564" y="4568464"/>
              <a:chExt cx="1156605" cy="764523"/>
            </a:xfrm>
          </xdr:grpSpPr>
          <xdr:grpSp>
            <xdr:nvGrpSpPr>
              <xdr:cNvPr id="1898" name="R J">
                <a:extLst>
                  <a:ext uri="{FF2B5EF4-FFF2-40B4-BE49-F238E27FC236}">
                    <a16:creationId xmlns:a16="http://schemas.microsoft.com/office/drawing/2014/main" id="{F858A8A1-7867-F65A-6D0A-1F00A3B532C8}"/>
                  </a:ext>
                </a:extLst>
              </xdr:cNvPr>
              <xdr:cNvGrpSpPr/>
            </xdr:nvGrpSpPr>
            <xdr:grpSpPr>
              <a:xfrm>
                <a:off x="1809784" y="4568464"/>
                <a:ext cx="992385" cy="504169"/>
                <a:chOff x="500583" y="5976198"/>
                <a:chExt cx="994423" cy="497297"/>
              </a:xfrm>
            </xdr:grpSpPr>
            <xdr:sp macro="" textlink="RFv_J_Ver">
              <xdr:nvSpPr>
                <xdr:cNvPr id="1907" name="RvJ">
                  <a:extLst>
                    <a:ext uri="{FF2B5EF4-FFF2-40B4-BE49-F238E27FC236}">
                      <a16:creationId xmlns:a16="http://schemas.microsoft.com/office/drawing/2014/main" id="{4E70AD02-4A7B-A66E-BE67-D01C42EE2B70}"/>
                    </a:ext>
                  </a:extLst>
                </xdr:cNvPr>
                <xdr:cNvSpPr txBox="1"/>
              </xdr:nvSpPr>
              <xdr:spPr>
                <a:xfrm>
                  <a:off x="521115" y="6142773"/>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5CF6B5A-A589-4543-AECD-026ED2AE84D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J_Ver">
              <xdr:nvSpPr>
                <xdr:cNvPr id="1908" name="RhJ">
                  <a:extLst>
                    <a:ext uri="{FF2B5EF4-FFF2-40B4-BE49-F238E27FC236}">
                      <a16:creationId xmlns:a16="http://schemas.microsoft.com/office/drawing/2014/main" id="{AC55A079-782D-B111-75AF-EDF21499D937}"/>
                    </a:ext>
                  </a:extLst>
                </xdr:cNvPr>
                <xdr:cNvSpPr txBox="1"/>
              </xdr:nvSpPr>
              <xdr:spPr>
                <a:xfrm>
                  <a:off x="520342" y="597619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9D7BB1C-5538-45FC-B25A-212F923B841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J_Ver">
              <xdr:nvSpPr>
                <xdr:cNvPr id="1909" name="RM_J">
                  <a:extLst>
                    <a:ext uri="{FF2B5EF4-FFF2-40B4-BE49-F238E27FC236}">
                      <a16:creationId xmlns:a16="http://schemas.microsoft.com/office/drawing/2014/main" id="{CDDCAEC1-F9B6-30FC-8833-CA05D69F7E58}"/>
                    </a:ext>
                  </a:extLst>
                </xdr:cNvPr>
                <xdr:cNvSpPr txBox="1"/>
              </xdr:nvSpPr>
              <xdr:spPr>
                <a:xfrm>
                  <a:off x="500583" y="6301754"/>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9164DE3-A0D8-454B-8691-F80BBAF5E7A9}"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899" name="Apoyo J">
                <a:extLst>
                  <a:ext uri="{FF2B5EF4-FFF2-40B4-BE49-F238E27FC236}">
                    <a16:creationId xmlns:a16="http://schemas.microsoft.com/office/drawing/2014/main" id="{20A98685-C092-AE73-5C52-2768279DAA8A}"/>
                  </a:ext>
                </a:extLst>
              </xdr:cNvPr>
              <xdr:cNvGrpSpPr/>
            </xdr:nvGrpSpPr>
            <xdr:grpSpPr>
              <a:xfrm rot="10800000">
                <a:off x="1645564" y="4851947"/>
                <a:ext cx="489141" cy="481040"/>
                <a:chOff x="4712203" y="12978955"/>
                <a:chExt cx="490714" cy="481561"/>
              </a:xfrm>
            </xdr:grpSpPr>
            <xdr:grpSp>
              <xdr:nvGrpSpPr>
                <xdr:cNvPr id="1900" name="Apoyo Móvil">
                  <a:extLst>
                    <a:ext uri="{FF2B5EF4-FFF2-40B4-BE49-F238E27FC236}">
                      <a16:creationId xmlns:a16="http://schemas.microsoft.com/office/drawing/2014/main" id="{A84BA8EA-2DE0-FC0C-8F42-68C952E462EE}"/>
                    </a:ext>
                  </a:extLst>
                </xdr:cNvPr>
                <xdr:cNvGrpSpPr/>
              </xdr:nvGrpSpPr>
              <xdr:grpSpPr>
                <a:xfrm>
                  <a:off x="4727383" y="13169289"/>
                  <a:ext cx="475534" cy="291227"/>
                  <a:chOff x="10290702" y="8453513"/>
                  <a:chExt cx="469817" cy="287372"/>
                </a:xfrm>
              </xdr:grpSpPr>
              <xdr:sp macro="" textlink="$AE$25">
                <xdr:nvSpPr>
                  <xdr:cNvPr id="1905" name="Ruedas J">
                    <a:extLst>
                      <a:ext uri="{FF2B5EF4-FFF2-40B4-BE49-F238E27FC236}">
                        <a16:creationId xmlns:a16="http://schemas.microsoft.com/office/drawing/2014/main" id="{763F3F58-1C92-7674-C760-030696644964}"/>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240CFB4-2586-4B29-B058-9089243689F5}"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5">
                <xdr:nvSpPr>
                  <xdr:cNvPr id="1906" name="Suelo J">
                    <a:extLst>
                      <a:ext uri="{FF2B5EF4-FFF2-40B4-BE49-F238E27FC236}">
                        <a16:creationId xmlns:a16="http://schemas.microsoft.com/office/drawing/2014/main" id="{1A43A87B-C043-AEF2-0D5C-5DF61998AF71}"/>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4BC4E1B-D96C-46B5-B0F7-2E4F89D387F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901" name="Apoyo FIjo">
                  <a:extLst>
                    <a:ext uri="{FF2B5EF4-FFF2-40B4-BE49-F238E27FC236}">
                      <a16:creationId xmlns:a16="http://schemas.microsoft.com/office/drawing/2014/main" id="{0009EC46-1C25-960C-4781-2999BF956A7D}"/>
                    </a:ext>
                  </a:extLst>
                </xdr:cNvPr>
                <xdr:cNvGrpSpPr/>
              </xdr:nvGrpSpPr>
              <xdr:grpSpPr>
                <a:xfrm>
                  <a:off x="4726743" y="13031926"/>
                  <a:ext cx="475534" cy="354860"/>
                  <a:chOff x="10289636" y="8321106"/>
                  <a:chExt cx="469817" cy="350161"/>
                </a:xfrm>
              </xdr:grpSpPr>
              <xdr:sp macro="" textlink="$AC$25">
                <xdr:nvSpPr>
                  <xdr:cNvPr id="1903" name="Triángulo J">
                    <a:extLst>
                      <a:ext uri="{FF2B5EF4-FFF2-40B4-BE49-F238E27FC236}">
                        <a16:creationId xmlns:a16="http://schemas.microsoft.com/office/drawing/2014/main" id="{AFF2D5EC-1FBA-D1E6-524F-D7F065DB8B62}"/>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CA26B1F-9BE3-4933-A0FC-1D9B95E6C8D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5">
                <xdr:nvSpPr>
                  <xdr:cNvPr id="1904" name="Suelo J">
                    <a:extLst>
                      <a:ext uri="{FF2B5EF4-FFF2-40B4-BE49-F238E27FC236}">
                        <a16:creationId xmlns:a16="http://schemas.microsoft.com/office/drawing/2014/main" id="{5CF640A6-FFDB-D79F-EB1D-9D6BBD281B23}"/>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80DD02C-8EE3-4BE8-B495-BB258F1C1355}"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5">
              <xdr:nvSpPr>
                <xdr:cNvPr id="1902" name="Empotramiento J">
                  <a:extLst>
                    <a:ext uri="{FF2B5EF4-FFF2-40B4-BE49-F238E27FC236}">
                      <a16:creationId xmlns:a16="http://schemas.microsoft.com/office/drawing/2014/main" id="{2651F33B-FEE9-8527-E375-C13B27A91422}"/>
                    </a:ext>
                  </a:extLst>
                </xdr:cNvPr>
                <xdr:cNvSpPr txBox="1"/>
              </xdr:nvSpPr>
              <xdr:spPr>
                <a:xfrm rot="10800000">
                  <a:off x="4712203" y="12978955"/>
                  <a:ext cx="471015"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1D8474A-184F-4180-9512-247A823B299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33" name="NUDO K">
              <a:extLst>
                <a:ext uri="{FF2B5EF4-FFF2-40B4-BE49-F238E27FC236}">
                  <a16:creationId xmlns:a16="http://schemas.microsoft.com/office/drawing/2014/main" id="{3FC0B7B0-AFEF-B2F7-958D-63B5B701ADF7}"/>
                </a:ext>
              </a:extLst>
            </xdr:cNvPr>
            <xdr:cNvGrpSpPr/>
          </xdr:nvGrpSpPr>
          <xdr:grpSpPr>
            <a:xfrm>
              <a:off x="1663386" y="6338426"/>
              <a:ext cx="1455112" cy="679456"/>
              <a:chOff x="1664650" y="6337467"/>
              <a:chExt cx="1456690" cy="677603"/>
            </a:xfrm>
          </xdr:grpSpPr>
          <xdr:grpSp>
            <xdr:nvGrpSpPr>
              <xdr:cNvPr id="1886" name="R K">
                <a:extLst>
                  <a:ext uri="{FF2B5EF4-FFF2-40B4-BE49-F238E27FC236}">
                    <a16:creationId xmlns:a16="http://schemas.microsoft.com/office/drawing/2014/main" id="{9D18EE86-A003-5C7D-85A9-BE1C5B67E8E7}"/>
                  </a:ext>
                </a:extLst>
              </xdr:cNvPr>
              <xdr:cNvGrpSpPr/>
            </xdr:nvGrpSpPr>
            <xdr:grpSpPr>
              <a:xfrm>
                <a:off x="1664650" y="6537483"/>
                <a:ext cx="1279157" cy="477587"/>
                <a:chOff x="-632890" y="5834419"/>
                <a:chExt cx="1277729" cy="475696"/>
              </a:xfrm>
            </xdr:grpSpPr>
            <xdr:sp macro="" textlink="RFv_K_Ver">
              <xdr:nvSpPr>
                <xdr:cNvPr id="1895" name="RvK">
                  <a:extLst>
                    <a:ext uri="{FF2B5EF4-FFF2-40B4-BE49-F238E27FC236}">
                      <a16:creationId xmlns:a16="http://schemas.microsoft.com/office/drawing/2014/main" id="{E7B21FB6-7618-901B-9820-C15EB51181AF}"/>
                    </a:ext>
                  </a:extLst>
                </xdr:cNvPr>
                <xdr:cNvSpPr txBox="1"/>
              </xdr:nvSpPr>
              <xdr:spPr>
                <a:xfrm>
                  <a:off x="-329052" y="614071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7074C0BA-F6DF-46A1-A66B-0566679C27CF}"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K_Ver">
              <xdr:nvSpPr>
                <xdr:cNvPr id="1896" name="RhK">
                  <a:extLst>
                    <a:ext uri="{FF2B5EF4-FFF2-40B4-BE49-F238E27FC236}">
                      <a16:creationId xmlns:a16="http://schemas.microsoft.com/office/drawing/2014/main" id="{F18B26A1-8950-0AD4-A433-4220AA014FDB}"/>
                    </a:ext>
                  </a:extLst>
                </xdr:cNvPr>
                <xdr:cNvSpPr txBox="1"/>
              </xdr:nvSpPr>
              <xdr:spPr>
                <a:xfrm>
                  <a:off x="-358989" y="5977054"/>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B7EFA94D-7D33-40DE-BF7B-89CC7550CFBB}"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K_Ver">
              <xdr:nvSpPr>
                <xdr:cNvPr id="1897" name="RM_K">
                  <a:extLst>
                    <a:ext uri="{FF2B5EF4-FFF2-40B4-BE49-F238E27FC236}">
                      <a16:creationId xmlns:a16="http://schemas.microsoft.com/office/drawing/2014/main" id="{9E9234CA-C9A2-62C9-09F1-3513B5FEE4E2}"/>
                    </a:ext>
                  </a:extLst>
                </xdr:cNvPr>
                <xdr:cNvSpPr txBox="1"/>
              </xdr:nvSpPr>
              <xdr:spPr>
                <a:xfrm>
                  <a:off x="-632890" y="5834419"/>
                  <a:ext cx="1274053" cy="1784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6F0A68DF-3DE7-4379-9CB0-6CCE766D5CA8}"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1887" name="Apoyo K">
                <a:extLst>
                  <a:ext uri="{FF2B5EF4-FFF2-40B4-BE49-F238E27FC236}">
                    <a16:creationId xmlns:a16="http://schemas.microsoft.com/office/drawing/2014/main" id="{C5366B83-80DB-EFD2-1033-4B3ACEFF49C7}"/>
                  </a:ext>
                </a:extLst>
              </xdr:cNvPr>
              <xdr:cNvGrpSpPr/>
            </xdr:nvGrpSpPr>
            <xdr:grpSpPr>
              <a:xfrm>
                <a:off x="2649826" y="6337467"/>
                <a:ext cx="471514" cy="441265"/>
                <a:chOff x="1241967" y="9263559"/>
                <a:chExt cx="471890" cy="446231"/>
              </a:xfrm>
            </xdr:grpSpPr>
            <xdr:grpSp>
              <xdr:nvGrpSpPr>
                <xdr:cNvPr id="1888" name="Apoyo Móvil">
                  <a:extLst>
                    <a:ext uri="{FF2B5EF4-FFF2-40B4-BE49-F238E27FC236}">
                      <a16:creationId xmlns:a16="http://schemas.microsoft.com/office/drawing/2014/main" id="{9B0780F3-B701-F56B-A7A3-71CA20C99975}"/>
                    </a:ext>
                  </a:extLst>
                </xdr:cNvPr>
                <xdr:cNvGrpSpPr/>
              </xdr:nvGrpSpPr>
              <xdr:grpSpPr>
                <a:xfrm>
                  <a:off x="1242331" y="9419598"/>
                  <a:ext cx="471526" cy="290192"/>
                  <a:chOff x="10284164" y="8440721"/>
                  <a:chExt cx="469817" cy="287368"/>
                </a:xfrm>
              </xdr:grpSpPr>
              <xdr:sp macro="" textlink="$AF$26">
                <xdr:nvSpPr>
                  <xdr:cNvPr id="1893" name="Suelo K">
                    <a:extLst>
                      <a:ext uri="{FF2B5EF4-FFF2-40B4-BE49-F238E27FC236}">
                        <a16:creationId xmlns:a16="http://schemas.microsoft.com/office/drawing/2014/main" id="{7D4A4112-0501-C75C-ECC4-FF9A28B9987C}"/>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7A8A3CC-3FEC-41D6-B0B4-6809D2213C4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6">
                <xdr:nvSpPr>
                  <xdr:cNvPr id="1894" name="Ruedas K">
                    <a:extLst>
                      <a:ext uri="{FF2B5EF4-FFF2-40B4-BE49-F238E27FC236}">
                        <a16:creationId xmlns:a16="http://schemas.microsoft.com/office/drawing/2014/main" id="{EB7F8FD1-A946-233A-41D3-0BCE633FA339}"/>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87CF1FA-9AEF-4DCE-AACD-B02C32A0372B}"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889" name="Apoyo FIjo">
                  <a:extLst>
                    <a:ext uri="{FF2B5EF4-FFF2-40B4-BE49-F238E27FC236}">
                      <a16:creationId xmlns:a16="http://schemas.microsoft.com/office/drawing/2014/main" id="{392CA9EC-457D-7792-1A7C-EFF167D1F3FC}"/>
                    </a:ext>
                  </a:extLst>
                </xdr:cNvPr>
                <xdr:cNvGrpSpPr/>
              </xdr:nvGrpSpPr>
              <xdr:grpSpPr>
                <a:xfrm>
                  <a:off x="1242023" y="9289134"/>
                  <a:ext cx="471526" cy="358984"/>
                  <a:chOff x="10283423" y="8314710"/>
                  <a:chExt cx="469817" cy="355491"/>
                </a:xfrm>
              </xdr:grpSpPr>
              <xdr:sp macro="" textlink="$AD$26">
                <xdr:nvSpPr>
                  <xdr:cNvPr id="1891" name="Suelo K">
                    <a:extLst>
                      <a:ext uri="{FF2B5EF4-FFF2-40B4-BE49-F238E27FC236}">
                        <a16:creationId xmlns:a16="http://schemas.microsoft.com/office/drawing/2014/main" id="{BA4E04EB-0388-2B33-E214-7A3A42676448}"/>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DD81FF8-235A-4243-8CA6-7B051713D17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6">
                <xdr:nvSpPr>
                  <xdr:cNvPr id="1892" name="Triángulo K">
                    <a:extLst>
                      <a:ext uri="{FF2B5EF4-FFF2-40B4-BE49-F238E27FC236}">
                        <a16:creationId xmlns:a16="http://schemas.microsoft.com/office/drawing/2014/main" id="{8CD55A94-4A4B-F2AC-C956-B8B836D47019}"/>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742F80-D433-43EB-AFD2-ACCCC79E17A4}"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6">
              <xdr:nvSpPr>
                <xdr:cNvPr id="1890" name="Empotramiento K">
                  <a:extLst>
                    <a:ext uri="{FF2B5EF4-FFF2-40B4-BE49-F238E27FC236}">
                      <a16:creationId xmlns:a16="http://schemas.microsoft.com/office/drawing/2014/main" id="{566E113D-9B76-A96C-4C69-994E06C0B203}"/>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1CCED8E-E548-42EE-9DC0-28242874174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34" name="NUDO L">
              <a:extLst>
                <a:ext uri="{FF2B5EF4-FFF2-40B4-BE49-F238E27FC236}">
                  <a16:creationId xmlns:a16="http://schemas.microsoft.com/office/drawing/2014/main" id="{8037DE3F-AACE-4092-3D71-383113F169AE}"/>
                </a:ext>
              </a:extLst>
            </xdr:cNvPr>
            <xdr:cNvGrpSpPr/>
          </xdr:nvGrpSpPr>
          <xdr:grpSpPr>
            <a:xfrm>
              <a:off x="3333279" y="6211145"/>
              <a:ext cx="1384927" cy="688924"/>
              <a:chOff x="4888025" y="6380579"/>
              <a:chExt cx="1384670" cy="692431"/>
            </a:xfrm>
          </xdr:grpSpPr>
          <xdr:grpSp>
            <xdr:nvGrpSpPr>
              <xdr:cNvPr id="1874" name="R L">
                <a:extLst>
                  <a:ext uri="{FF2B5EF4-FFF2-40B4-BE49-F238E27FC236}">
                    <a16:creationId xmlns:a16="http://schemas.microsoft.com/office/drawing/2014/main" id="{D75B5033-5C5C-C1C2-4DE8-F495F55F7B32}"/>
                  </a:ext>
                </a:extLst>
              </xdr:cNvPr>
              <xdr:cNvGrpSpPr/>
            </xdr:nvGrpSpPr>
            <xdr:grpSpPr>
              <a:xfrm>
                <a:off x="5075852" y="6508802"/>
                <a:ext cx="1196843" cy="564208"/>
                <a:chOff x="-576925" y="6302607"/>
                <a:chExt cx="1193853" cy="557114"/>
              </a:xfrm>
            </xdr:grpSpPr>
            <xdr:sp macro="" textlink="RFv_L_Ver">
              <xdr:nvSpPr>
                <xdr:cNvPr id="1883" name="RvL">
                  <a:extLst>
                    <a:ext uri="{FF2B5EF4-FFF2-40B4-BE49-F238E27FC236}">
                      <a16:creationId xmlns:a16="http://schemas.microsoft.com/office/drawing/2014/main" id="{01DA042D-35DA-2E60-1A6A-6E8BFE7A3D66}"/>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B0590FF-2B56-448E-91C0-243749A0BA0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L_Ver">
              <xdr:nvSpPr>
                <xdr:cNvPr id="1884" name="RhL">
                  <a:extLst>
                    <a:ext uri="{FF2B5EF4-FFF2-40B4-BE49-F238E27FC236}">
                      <a16:creationId xmlns:a16="http://schemas.microsoft.com/office/drawing/2014/main" id="{1EFB8579-F912-BADE-859C-FEBA7E9F917B}"/>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D3C64C9-32C2-4A20-94A5-812357B229FC}"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L_Ver">
              <xdr:nvSpPr>
                <xdr:cNvPr id="1885" name="RM_L">
                  <a:extLst>
                    <a:ext uri="{FF2B5EF4-FFF2-40B4-BE49-F238E27FC236}">
                      <a16:creationId xmlns:a16="http://schemas.microsoft.com/office/drawing/2014/main" id="{A8ECB5C0-BB4F-DDE8-1ABB-01133E0CCDDE}"/>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1B44410-E70E-4146-9072-02B877BD98CA}"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875" name="Apoyo L">
                <a:extLst>
                  <a:ext uri="{FF2B5EF4-FFF2-40B4-BE49-F238E27FC236}">
                    <a16:creationId xmlns:a16="http://schemas.microsoft.com/office/drawing/2014/main" id="{1EC3E64E-EF84-7066-45E0-A8E1EB2A05ED}"/>
                  </a:ext>
                </a:extLst>
              </xdr:cNvPr>
              <xdr:cNvGrpSpPr/>
            </xdr:nvGrpSpPr>
            <xdr:grpSpPr>
              <a:xfrm>
                <a:off x="4888025" y="6380579"/>
                <a:ext cx="477673" cy="579093"/>
                <a:chOff x="4726743" y="12880171"/>
                <a:chExt cx="476174" cy="580345"/>
              </a:xfrm>
            </xdr:grpSpPr>
            <xdr:grpSp>
              <xdr:nvGrpSpPr>
                <xdr:cNvPr id="1876" name="Apoyo Móvil">
                  <a:extLst>
                    <a:ext uri="{FF2B5EF4-FFF2-40B4-BE49-F238E27FC236}">
                      <a16:creationId xmlns:a16="http://schemas.microsoft.com/office/drawing/2014/main" id="{AD92AF1D-5932-C2AC-A8CF-17011D742E83}"/>
                    </a:ext>
                  </a:extLst>
                </xdr:cNvPr>
                <xdr:cNvGrpSpPr/>
              </xdr:nvGrpSpPr>
              <xdr:grpSpPr>
                <a:xfrm>
                  <a:off x="4727383" y="13169289"/>
                  <a:ext cx="475534" cy="291227"/>
                  <a:chOff x="10290702" y="8453513"/>
                  <a:chExt cx="469817" cy="287372"/>
                </a:xfrm>
              </xdr:grpSpPr>
              <xdr:sp macro="" textlink="$AE$27">
                <xdr:nvSpPr>
                  <xdr:cNvPr id="1881" name="Ruedas L">
                    <a:extLst>
                      <a:ext uri="{FF2B5EF4-FFF2-40B4-BE49-F238E27FC236}">
                        <a16:creationId xmlns:a16="http://schemas.microsoft.com/office/drawing/2014/main" id="{F1A873B7-0FC5-3D29-3E1D-FBF8AEF0D94E}"/>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2CF46B3-5A4D-46DD-B9CD-7CD74FF1DEAD}"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7">
                <xdr:nvSpPr>
                  <xdr:cNvPr id="1882" name="Suelo L">
                    <a:extLst>
                      <a:ext uri="{FF2B5EF4-FFF2-40B4-BE49-F238E27FC236}">
                        <a16:creationId xmlns:a16="http://schemas.microsoft.com/office/drawing/2014/main" id="{00091ADA-1873-B6C4-84B7-010036B03BCC}"/>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12F9D5E-705A-4F69-BFD3-01DC16BE457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877" name="Apoyo FIjo">
                  <a:extLst>
                    <a:ext uri="{FF2B5EF4-FFF2-40B4-BE49-F238E27FC236}">
                      <a16:creationId xmlns:a16="http://schemas.microsoft.com/office/drawing/2014/main" id="{4165110B-CA35-D366-FA45-57E7B1984A89}"/>
                    </a:ext>
                  </a:extLst>
                </xdr:cNvPr>
                <xdr:cNvGrpSpPr/>
              </xdr:nvGrpSpPr>
              <xdr:grpSpPr>
                <a:xfrm>
                  <a:off x="4726743" y="13031926"/>
                  <a:ext cx="475534" cy="354860"/>
                  <a:chOff x="10289636" y="8321106"/>
                  <a:chExt cx="469817" cy="350161"/>
                </a:xfrm>
              </xdr:grpSpPr>
              <xdr:sp macro="" textlink="$AC$27">
                <xdr:nvSpPr>
                  <xdr:cNvPr id="1879" name="Triángulo L">
                    <a:extLst>
                      <a:ext uri="{FF2B5EF4-FFF2-40B4-BE49-F238E27FC236}">
                        <a16:creationId xmlns:a16="http://schemas.microsoft.com/office/drawing/2014/main" id="{60D3FC52-9D50-CDC2-5D64-7A7B2474B192}"/>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B0D419-8180-448A-9F84-D32851FD9A3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7">
                <xdr:nvSpPr>
                  <xdr:cNvPr id="1880" name="Suelo L">
                    <a:extLst>
                      <a:ext uri="{FF2B5EF4-FFF2-40B4-BE49-F238E27FC236}">
                        <a16:creationId xmlns:a16="http://schemas.microsoft.com/office/drawing/2014/main" id="{2F76632D-65A8-B0AB-E94B-6EAB738DF554}"/>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A3DCDCE-52A3-4302-82CB-AEB12CB4FDC8}"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7">
              <xdr:nvSpPr>
                <xdr:cNvPr id="1878" name="Empotramiento L">
                  <a:extLst>
                    <a:ext uri="{FF2B5EF4-FFF2-40B4-BE49-F238E27FC236}">
                      <a16:creationId xmlns:a16="http://schemas.microsoft.com/office/drawing/2014/main" id="{483CE8FD-00B0-2942-DECE-388153AF66AF}"/>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B4C4C3C3-29E9-463C-9E03-21A2F37D275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35" name="NUDO M">
              <a:extLst>
                <a:ext uri="{FF2B5EF4-FFF2-40B4-BE49-F238E27FC236}">
                  <a16:creationId xmlns:a16="http://schemas.microsoft.com/office/drawing/2014/main" id="{AE71F37B-4B1C-2B3E-8A0D-154D0FCBBE0D}"/>
                </a:ext>
              </a:extLst>
            </xdr:cNvPr>
            <xdr:cNvGrpSpPr/>
          </xdr:nvGrpSpPr>
          <xdr:grpSpPr>
            <a:xfrm>
              <a:off x="4044332" y="6210534"/>
              <a:ext cx="1383199" cy="688924"/>
              <a:chOff x="3484802" y="6367216"/>
              <a:chExt cx="1384670" cy="692431"/>
            </a:xfrm>
          </xdr:grpSpPr>
          <xdr:grpSp>
            <xdr:nvGrpSpPr>
              <xdr:cNvPr id="1862" name="R M">
                <a:extLst>
                  <a:ext uri="{FF2B5EF4-FFF2-40B4-BE49-F238E27FC236}">
                    <a16:creationId xmlns:a16="http://schemas.microsoft.com/office/drawing/2014/main" id="{D9126267-9EBA-4527-95A2-CFB3DD61A8DF}"/>
                  </a:ext>
                </a:extLst>
              </xdr:cNvPr>
              <xdr:cNvGrpSpPr/>
            </xdr:nvGrpSpPr>
            <xdr:grpSpPr>
              <a:xfrm>
                <a:off x="3672629" y="6495439"/>
                <a:ext cx="1196843" cy="564208"/>
                <a:chOff x="-576925" y="6302607"/>
                <a:chExt cx="1193853" cy="557114"/>
              </a:xfrm>
            </xdr:grpSpPr>
            <xdr:sp macro="" textlink="RFv_M_Ver">
              <xdr:nvSpPr>
                <xdr:cNvPr id="1871" name="RvM">
                  <a:extLst>
                    <a:ext uri="{FF2B5EF4-FFF2-40B4-BE49-F238E27FC236}">
                      <a16:creationId xmlns:a16="http://schemas.microsoft.com/office/drawing/2014/main" id="{4945DE69-51EF-EA02-87D8-296BAEE26E97}"/>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C763009-B44D-43BA-803C-23EA2F8F9D7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M_Ver">
              <xdr:nvSpPr>
                <xdr:cNvPr id="1872" name="RhM">
                  <a:extLst>
                    <a:ext uri="{FF2B5EF4-FFF2-40B4-BE49-F238E27FC236}">
                      <a16:creationId xmlns:a16="http://schemas.microsoft.com/office/drawing/2014/main" id="{87896FC9-2786-7614-E2DF-2B739BE15A3C}"/>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21B6BF8-0869-402F-B1BC-BF10660A688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M_Ver">
              <xdr:nvSpPr>
                <xdr:cNvPr id="1873" name="RM_M">
                  <a:extLst>
                    <a:ext uri="{FF2B5EF4-FFF2-40B4-BE49-F238E27FC236}">
                      <a16:creationId xmlns:a16="http://schemas.microsoft.com/office/drawing/2014/main" id="{19272FEA-285F-5A5E-CD26-A7EB41B3EA16}"/>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A231CDE-7E71-4BE8-8C0A-62922B424363}"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863" name="Apoyo M">
                <a:extLst>
                  <a:ext uri="{FF2B5EF4-FFF2-40B4-BE49-F238E27FC236}">
                    <a16:creationId xmlns:a16="http://schemas.microsoft.com/office/drawing/2014/main" id="{1747B847-F376-9A5E-55CB-0CFFE13F183F}"/>
                  </a:ext>
                </a:extLst>
              </xdr:cNvPr>
              <xdr:cNvGrpSpPr/>
            </xdr:nvGrpSpPr>
            <xdr:grpSpPr>
              <a:xfrm>
                <a:off x="3484802" y="6367216"/>
                <a:ext cx="477673" cy="579093"/>
                <a:chOff x="4726743" y="12880171"/>
                <a:chExt cx="476174" cy="580345"/>
              </a:xfrm>
            </xdr:grpSpPr>
            <xdr:grpSp>
              <xdr:nvGrpSpPr>
                <xdr:cNvPr id="1864" name="Apoyo Móvil">
                  <a:extLst>
                    <a:ext uri="{FF2B5EF4-FFF2-40B4-BE49-F238E27FC236}">
                      <a16:creationId xmlns:a16="http://schemas.microsoft.com/office/drawing/2014/main" id="{FD2A9496-2E94-52F2-8ED9-720C809FA2DC}"/>
                    </a:ext>
                  </a:extLst>
                </xdr:cNvPr>
                <xdr:cNvGrpSpPr/>
              </xdr:nvGrpSpPr>
              <xdr:grpSpPr>
                <a:xfrm>
                  <a:off x="4727383" y="13169289"/>
                  <a:ext cx="475534" cy="291227"/>
                  <a:chOff x="10290702" y="8453513"/>
                  <a:chExt cx="469817" cy="287372"/>
                </a:xfrm>
              </xdr:grpSpPr>
              <xdr:sp macro="" textlink="$AE$28">
                <xdr:nvSpPr>
                  <xdr:cNvPr id="1869" name="Ruedas M">
                    <a:extLst>
                      <a:ext uri="{FF2B5EF4-FFF2-40B4-BE49-F238E27FC236}">
                        <a16:creationId xmlns:a16="http://schemas.microsoft.com/office/drawing/2014/main" id="{EF3ABD0F-2184-1584-AF05-94497F70300A}"/>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E78A466-9CC8-47C7-BC80-C7883BAD72C3}"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8">
                <xdr:nvSpPr>
                  <xdr:cNvPr id="1870" name="Suelo M">
                    <a:extLst>
                      <a:ext uri="{FF2B5EF4-FFF2-40B4-BE49-F238E27FC236}">
                        <a16:creationId xmlns:a16="http://schemas.microsoft.com/office/drawing/2014/main" id="{4DB499A0-0346-C8B9-9D05-992879BD8DDB}"/>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B246354D-7C3F-4CAA-A9F4-0DF56103C73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865" name="Apoyo FIjo">
                  <a:extLst>
                    <a:ext uri="{FF2B5EF4-FFF2-40B4-BE49-F238E27FC236}">
                      <a16:creationId xmlns:a16="http://schemas.microsoft.com/office/drawing/2014/main" id="{2F509D0A-1E1A-3689-4EB5-4EDFC6825842}"/>
                    </a:ext>
                  </a:extLst>
                </xdr:cNvPr>
                <xdr:cNvGrpSpPr/>
              </xdr:nvGrpSpPr>
              <xdr:grpSpPr>
                <a:xfrm>
                  <a:off x="4726743" y="13031926"/>
                  <a:ext cx="475534" cy="354860"/>
                  <a:chOff x="10289636" y="8321106"/>
                  <a:chExt cx="469817" cy="350161"/>
                </a:xfrm>
              </xdr:grpSpPr>
              <xdr:sp macro="" textlink="$AC$28">
                <xdr:nvSpPr>
                  <xdr:cNvPr id="1867" name="Triángulo M">
                    <a:extLst>
                      <a:ext uri="{FF2B5EF4-FFF2-40B4-BE49-F238E27FC236}">
                        <a16:creationId xmlns:a16="http://schemas.microsoft.com/office/drawing/2014/main" id="{CD00EABD-3B27-8AE6-030A-0D5E0F417F4F}"/>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F285E5-BD5A-469C-B700-94AB636128AD}"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8">
                <xdr:nvSpPr>
                  <xdr:cNvPr id="1868" name="Suelo M">
                    <a:extLst>
                      <a:ext uri="{FF2B5EF4-FFF2-40B4-BE49-F238E27FC236}">
                        <a16:creationId xmlns:a16="http://schemas.microsoft.com/office/drawing/2014/main" id="{1A04C48D-6AF4-82E2-30D5-C26C19491F61}"/>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94B72B0-DB91-4851-9CC0-43A7C7EAE15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8">
              <xdr:nvSpPr>
                <xdr:cNvPr id="1866" name="Empotramiento M">
                  <a:extLst>
                    <a:ext uri="{FF2B5EF4-FFF2-40B4-BE49-F238E27FC236}">
                      <a16:creationId xmlns:a16="http://schemas.microsoft.com/office/drawing/2014/main" id="{4ED9A5FC-E359-935D-E265-AFA66D2C6068}"/>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E0F30D1-C7D9-4A22-B829-FA415160E83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36" name="NUDO N">
              <a:extLst>
                <a:ext uri="{FF2B5EF4-FFF2-40B4-BE49-F238E27FC236}">
                  <a16:creationId xmlns:a16="http://schemas.microsoft.com/office/drawing/2014/main" id="{D63364A4-16BB-4021-683C-8BE04FF0536E}"/>
                </a:ext>
              </a:extLst>
            </xdr:cNvPr>
            <xdr:cNvGrpSpPr/>
          </xdr:nvGrpSpPr>
          <xdr:grpSpPr>
            <a:xfrm>
              <a:off x="4736759" y="6224508"/>
              <a:ext cx="1382227" cy="688924"/>
              <a:chOff x="4742274" y="6224169"/>
              <a:chExt cx="1382752" cy="686451"/>
            </a:xfrm>
          </xdr:grpSpPr>
          <xdr:grpSp>
            <xdr:nvGrpSpPr>
              <xdr:cNvPr id="1850" name="R N">
                <a:extLst>
                  <a:ext uri="{FF2B5EF4-FFF2-40B4-BE49-F238E27FC236}">
                    <a16:creationId xmlns:a16="http://schemas.microsoft.com/office/drawing/2014/main" id="{5957FA5E-B505-659B-EED7-6F300E3B1162}"/>
                  </a:ext>
                </a:extLst>
              </xdr:cNvPr>
              <xdr:cNvGrpSpPr/>
            </xdr:nvGrpSpPr>
            <xdr:grpSpPr>
              <a:xfrm>
                <a:off x="4929841" y="6351285"/>
                <a:ext cx="1195185" cy="559335"/>
                <a:chOff x="-576925" y="6302607"/>
                <a:chExt cx="1193853" cy="557114"/>
              </a:xfrm>
            </xdr:grpSpPr>
            <xdr:sp macro="" textlink="RFv_N_Ver">
              <xdr:nvSpPr>
                <xdr:cNvPr id="1859" name="RvN">
                  <a:extLst>
                    <a:ext uri="{FF2B5EF4-FFF2-40B4-BE49-F238E27FC236}">
                      <a16:creationId xmlns:a16="http://schemas.microsoft.com/office/drawing/2014/main" id="{3F8F7071-D45A-44C7-23A1-955A4DDCE801}"/>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886EDB3-D369-4EBD-AEC7-1F324470783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N_Ver">
              <xdr:nvSpPr>
                <xdr:cNvPr id="1860" name="RhN">
                  <a:extLst>
                    <a:ext uri="{FF2B5EF4-FFF2-40B4-BE49-F238E27FC236}">
                      <a16:creationId xmlns:a16="http://schemas.microsoft.com/office/drawing/2014/main" id="{6B7B78B2-83E6-5CE8-CA25-5A1DA5225CF1}"/>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6F86A9B-712C-4894-9DD2-B89E616C91D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N_Ver">
              <xdr:nvSpPr>
                <xdr:cNvPr id="1861" name="RM_N">
                  <a:extLst>
                    <a:ext uri="{FF2B5EF4-FFF2-40B4-BE49-F238E27FC236}">
                      <a16:creationId xmlns:a16="http://schemas.microsoft.com/office/drawing/2014/main" id="{A892C43A-5EA9-6535-7066-D0C04AC9D8D4}"/>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4450F07-C13A-4AB7-8C22-CBB562DF05F8}"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851" name="Apoyo N">
                <a:extLst>
                  <a:ext uri="{FF2B5EF4-FFF2-40B4-BE49-F238E27FC236}">
                    <a16:creationId xmlns:a16="http://schemas.microsoft.com/office/drawing/2014/main" id="{0F1AE4DF-7EC7-FF49-A97A-C1BB8765C579}"/>
                  </a:ext>
                </a:extLst>
              </xdr:cNvPr>
              <xdr:cNvGrpSpPr/>
            </xdr:nvGrpSpPr>
            <xdr:grpSpPr>
              <a:xfrm>
                <a:off x="4742274" y="6224169"/>
                <a:ext cx="477011" cy="574092"/>
                <a:chOff x="4726743" y="12880171"/>
                <a:chExt cx="476174" cy="580345"/>
              </a:xfrm>
            </xdr:grpSpPr>
            <xdr:grpSp>
              <xdr:nvGrpSpPr>
                <xdr:cNvPr id="1852" name="Apoyo Móvil">
                  <a:extLst>
                    <a:ext uri="{FF2B5EF4-FFF2-40B4-BE49-F238E27FC236}">
                      <a16:creationId xmlns:a16="http://schemas.microsoft.com/office/drawing/2014/main" id="{63E038AB-3C17-5A80-BE1F-683DC7EDC767}"/>
                    </a:ext>
                  </a:extLst>
                </xdr:cNvPr>
                <xdr:cNvGrpSpPr/>
              </xdr:nvGrpSpPr>
              <xdr:grpSpPr>
                <a:xfrm>
                  <a:off x="4727383" y="13169289"/>
                  <a:ext cx="475534" cy="291227"/>
                  <a:chOff x="10290702" y="8453513"/>
                  <a:chExt cx="469817" cy="287372"/>
                </a:xfrm>
              </xdr:grpSpPr>
              <xdr:sp macro="" textlink="$AE$29">
                <xdr:nvSpPr>
                  <xdr:cNvPr id="1857" name="Ruedas N">
                    <a:extLst>
                      <a:ext uri="{FF2B5EF4-FFF2-40B4-BE49-F238E27FC236}">
                        <a16:creationId xmlns:a16="http://schemas.microsoft.com/office/drawing/2014/main" id="{A1A219AB-9328-CA16-880A-AB588B2C50C2}"/>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3C49818-DE30-4C8A-9126-1C4FEBC65539}"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9">
                <xdr:nvSpPr>
                  <xdr:cNvPr id="1858" name="Suelo N">
                    <a:extLst>
                      <a:ext uri="{FF2B5EF4-FFF2-40B4-BE49-F238E27FC236}">
                        <a16:creationId xmlns:a16="http://schemas.microsoft.com/office/drawing/2014/main" id="{C674B5FE-FA6B-77FB-7F8E-E279E20F2B1B}"/>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A4E30AC-4D54-4B6F-83C5-F6F18D0F14F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853" name="Apoyo FIjo">
                  <a:extLst>
                    <a:ext uri="{FF2B5EF4-FFF2-40B4-BE49-F238E27FC236}">
                      <a16:creationId xmlns:a16="http://schemas.microsoft.com/office/drawing/2014/main" id="{39BCB397-6C81-FE5B-7492-FFD73B2D3610}"/>
                    </a:ext>
                  </a:extLst>
                </xdr:cNvPr>
                <xdr:cNvGrpSpPr/>
              </xdr:nvGrpSpPr>
              <xdr:grpSpPr>
                <a:xfrm>
                  <a:off x="4726743" y="13031926"/>
                  <a:ext cx="475534" cy="354860"/>
                  <a:chOff x="10289636" y="8321106"/>
                  <a:chExt cx="469817" cy="350161"/>
                </a:xfrm>
              </xdr:grpSpPr>
              <xdr:sp macro="" textlink="$AC$29">
                <xdr:nvSpPr>
                  <xdr:cNvPr id="1855" name="Triángulo N">
                    <a:extLst>
                      <a:ext uri="{FF2B5EF4-FFF2-40B4-BE49-F238E27FC236}">
                        <a16:creationId xmlns:a16="http://schemas.microsoft.com/office/drawing/2014/main" id="{2299D5E9-2415-B236-2489-CACE032CCE1E}"/>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7D8DCE-E58F-41BB-9615-EB56E9CB7751}"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9">
                <xdr:nvSpPr>
                  <xdr:cNvPr id="1856" name="Suelo N">
                    <a:extLst>
                      <a:ext uri="{FF2B5EF4-FFF2-40B4-BE49-F238E27FC236}">
                        <a16:creationId xmlns:a16="http://schemas.microsoft.com/office/drawing/2014/main" id="{17549C6E-5707-A200-9BBF-44CDC36E6906}"/>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6808C00-545A-44A2-8B09-A893562F590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9">
              <xdr:nvSpPr>
                <xdr:cNvPr id="1854" name="Empotramiento N">
                  <a:extLst>
                    <a:ext uri="{FF2B5EF4-FFF2-40B4-BE49-F238E27FC236}">
                      <a16:creationId xmlns:a16="http://schemas.microsoft.com/office/drawing/2014/main" id="{35FE71BC-0A20-C03D-AC4B-DBA4C5ABC919}"/>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87748AC-FCC4-4D07-B1AB-FEB28A9D5114}"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1837" name="NUDO O">
              <a:extLst>
                <a:ext uri="{FF2B5EF4-FFF2-40B4-BE49-F238E27FC236}">
                  <a16:creationId xmlns:a16="http://schemas.microsoft.com/office/drawing/2014/main" id="{0F5FCC9E-DFB4-012A-3B8B-C921BC5203F2}"/>
                </a:ext>
              </a:extLst>
            </xdr:cNvPr>
            <xdr:cNvGrpSpPr/>
          </xdr:nvGrpSpPr>
          <xdr:grpSpPr>
            <a:xfrm>
              <a:off x="3320201" y="7036864"/>
              <a:ext cx="1876975" cy="587288"/>
              <a:chOff x="3315459" y="7053645"/>
              <a:chExt cx="1876013" cy="591593"/>
            </a:xfrm>
          </xdr:grpSpPr>
          <xdr:grpSp>
            <xdr:nvGrpSpPr>
              <xdr:cNvPr id="1838" name="R O">
                <a:extLst>
                  <a:ext uri="{FF2B5EF4-FFF2-40B4-BE49-F238E27FC236}">
                    <a16:creationId xmlns:a16="http://schemas.microsoft.com/office/drawing/2014/main" id="{BBC2463F-2D71-CFD7-4343-FC9D31A01B4E}"/>
                  </a:ext>
                </a:extLst>
              </xdr:cNvPr>
              <xdr:cNvGrpSpPr/>
            </xdr:nvGrpSpPr>
            <xdr:grpSpPr>
              <a:xfrm>
                <a:off x="3315459" y="7247927"/>
                <a:ext cx="1876013" cy="397311"/>
                <a:chOff x="-55801" y="7087099"/>
                <a:chExt cx="1876363" cy="391557"/>
              </a:xfrm>
            </xdr:grpSpPr>
            <xdr:sp macro="" textlink="RFv_O_Ver">
              <xdr:nvSpPr>
                <xdr:cNvPr id="1847" name="RvO">
                  <a:extLst>
                    <a:ext uri="{FF2B5EF4-FFF2-40B4-BE49-F238E27FC236}">
                      <a16:creationId xmlns:a16="http://schemas.microsoft.com/office/drawing/2014/main" id="{2ABA6325-FAC0-11F1-53D8-59AE681C0123}"/>
                    </a:ext>
                  </a:extLst>
                </xdr:cNvPr>
                <xdr:cNvSpPr txBox="1"/>
              </xdr:nvSpPr>
              <xdr:spPr>
                <a:xfrm>
                  <a:off x="-1825" y="7309257"/>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AE10C883-DAEC-48C6-A9D5-BB2C2B741D76}"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O_Ver">
              <xdr:nvSpPr>
                <xdr:cNvPr id="1848" name="RhO">
                  <a:extLst>
                    <a:ext uri="{FF2B5EF4-FFF2-40B4-BE49-F238E27FC236}">
                      <a16:creationId xmlns:a16="http://schemas.microsoft.com/office/drawing/2014/main" id="{9592A044-E113-BF4B-0D81-F9927D623056}"/>
                    </a:ext>
                  </a:extLst>
                </xdr:cNvPr>
                <xdr:cNvSpPr txBox="1"/>
              </xdr:nvSpPr>
              <xdr:spPr>
                <a:xfrm>
                  <a:off x="-55801" y="7087099"/>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094463D-6F7F-4257-8B44-C4AD8D28477C}"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O_Ver">
              <xdr:nvSpPr>
                <xdr:cNvPr id="1849" name="RM_O">
                  <a:extLst>
                    <a:ext uri="{FF2B5EF4-FFF2-40B4-BE49-F238E27FC236}">
                      <a16:creationId xmlns:a16="http://schemas.microsoft.com/office/drawing/2014/main" id="{7DAAF3ED-A864-997F-819C-76381F229FA9}"/>
                    </a:ext>
                  </a:extLst>
                </xdr:cNvPr>
                <xdr:cNvSpPr txBox="1"/>
              </xdr:nvSpPr>
              <xdr:spPr>
                <a:xfrm>
                  <a:off x="850239" y="711219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0746AACC-F734-4FD5-BE0D-A66A1A16B704}"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1839" name="Apoyo O">
                <a:extLst>
                  <a:ext uri="{FF2B5EF4-FFF2-40B4-BE49-F238E27FC236}">
                    <a16:creationId xmlns:a16="http://schemas.microsoft.com/office/drawing/2014/main" id="{3A830153-D5E6-5B92-FBF2-FE7322C89903}"/>
                  </a:ext>
                </a:extLst>
              </xdr:cNvPr>
              <xdr:cNvGrpSpPr/>
            </xdr:nvGrpSpPr>
            <xdr:grpSpPr>
              <a:xfrm>
                <a:off x="4035140" y="7053645"/>
                <a:ext cx="470962" cy="447395"/>
                <a:chOff x="1241967" y="9263559"/>
                <a:chExt cx="471890" cy="446201"/>
              </a:xfrm>
            </xdr:grpSpPr>
            <xdr:grpSp>
              <xdr:nvGrpSpPr>
                <xdr:cNvPr id="1840" name="Apoyo Móvil">
                  <a:extLst>
                    <a:ext uri="{FF2B5EF4-FFF2-40B4-BE49-F238E27FC236}">
                      <a16:creationId xmlns:a16="http://schemas.microsoft.com/office/drawing/2014/main" id="{61CFDF04-63C3-C07E-FFDD-2F41C7E88C84}"/>
                    </a:ext>
                  </a:extLst>
                </xdr:cNvPr>
                <xdr:cNvGrpSpPr/>
              </xdr:nvGrpSpPr>
              <xdr:grpSpPr>
                <a:xfrm>
                  <a:off x="1242331" y="9419552"/>
                  <a:ext cx="471526" cy="290208"/>
                  <a:chOff x="10284165" y="8440687"/>
                  <a:chExt cx="469817" cy="287384"/>
                </a:xfrm>
              </xdr:grpSpPr>
              <xdr:sp macro="" textlink="$AF$30">
                <xdr:nvSpPr>
                  <xdr:cNvPr id="1845" name="Suelo O">
                    <a:extLst>
                      <a:ext uri="{FF2B5EF4-FFF2-40B4-BE49-F238E27FC236}">
                        <a16:creationId xmlns:a16="http://schemas.microsoft.com/office/drawing/2014/main" id="{BA24D48C-6A22-52C1-ED3E-C4AA772C750C}"/>
                      </a:ext>
                    </a:extLst>
                  </xdr:cNvPr>
                  <xdr:cNvSpPr txBox="1"/>
                </xdr:nvSpPr>
                <xdr:spPr>
                  <a:xfrm rot="10800000">
                    <a:off x="10284165" y="8455811"/>
                    <a:ext cx="469817" cy="272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EE8C2A1-74A3-4774-836F-823CA4CC4E7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30">
                <xdr:nvSpPr>
                  <xdr:cNvPr id="1846" name="Ruedas O">
                    <a:extLst>
                      <a:ext uri="{FF2B5EF4-FFF2-40B4-BE49-F238E27FC236}">
                        <a16:creationId xmlns:a16="http://schemas.microsoft.com/office/drawing/2014/main" id="{49E255D3-CD3B-8480-B9E3-E3C20E901094}"/>
                      </a:ext>
                    </a:extLst>
                  </xdr:cNvPr>
                  <xdr:cNvSpPr txBox="1"/>
                </xdr:nvSpPr>
                <xdr:spPr>
                  <a:xfrm>
                    <a:off x="10284165" y="8440687"/>
                    <a:ext cx="469817" cy="27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FC3E696-B4C5-4092-91C3-CA76DDF6C47C}"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1841" name="Apoyo FIjo">
                  <a:extLst>
                    <a:ext uri="{FF2B5EF4-FFF2-40B4-BE49-F238E27FC236}">
                      <a16:creationId xmlns:a16="http://schemas.microsoft.com/office/drawing/2014/main" id="{5403D893-F01E-951F-7C48-D16F25E3255B}"/>
                    </a:ext>
                  </a:extLst>
                </xdr:cNvPr>
                <xdr:cNvGrpSpPr/>
              </xdr:nvGrpSpPr>
              <xdr:grpSpPr>
                <a:xfrm>
                  <a:off x="1242023" y="9289134"/>
                  <a:ext cx="471526" cy="358984"/>
                  <a:chOff x="10283423" y="8314710"/>
                  <a:chExt cx="469817" cy="355491"/>
                </a:xfrm>
              </xdr:grpSpPr>
              <xdr:sp macro="" textlink="$AD$30">
                <xdr:nvSpPr>
                  <xdr:cNvPr id="1843" name="Suelo O">
                    <a:extLst>
                      <a:ext uri="{FF2B5EF4-FFF2-40B4-BE49-F238E27FC236}">
                        <a16:creationId xmlns:a16="http://schemas.microsoft.com/office/drawing/2014/main" id="{574CFD04-7732-583E-701D-395C230B1B62}"/>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E06FE54-1113-40C4-BD17-F88845924B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30">
                <xdr:nvSpPr>
                  <xdr:cNvPr id="1844" name="Triángulo O">
                    <a:extLst>
                      <a:ext uri="{FF2B5EF4-FFF2-40B4-BE49-F238E27FC236}">
                        <a16:creationId xmlns:a16="http://schemas.microsoft.com/office/drawing/2014/main" id="{C2ACE99B-C177-060E-7055-6B861BF36CEA}"/>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F436A5-337A-4E68-9879-A72302E588F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30">
              <xdr:nvSpPr>
                <xdr:cNvPr id="1842" name="Empotramiento O">
                  <a:extLst>
                    <a:ext uri="{FF2B5EF4-FFF2-40B4-BE49-F238E27FC236}">
                      <a16:creationId xmlns:a16="http://schemas.microsoft.com/office/drawing/2014/main" id="{83A8E8D2-9583-C8C2-D121-170E26EFE84D}"/>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13DD8D3-BE3E-470F-A8F4-B496E3F3CAA5}"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grpSp>
        <xdr:nvGrpSpPr>
          <xdr:cNvPr id="1548" name="ESTRUCTURA">
            <a:extLst>
              <a:ext uri="{FF2B5EF4-FFF2-40B4-BE49-F238E27FC236}">
                <a16:creationId xmlns:a16="http://schemas.microsoft.com/office/drawing/2014/main" id="{48436255-7D3D-9A13-41EF-D1D9DD9364F9}"/>
              </a:ext>
            </a:extLst>
          </xdr:cNvPr>
          <xdr:cNvGrpSpPr/>
        </xdr:nvGrpSpPr>
        <xdr:grpSpPr>
          <a:xfrm>
            <a:off x="96785" y="5591092"/>
            <a:ext cx="4947500" cy="2820986"/>
            <a:chOff x="96785" y="5580656"/>
            <a:chExt cx="4939231" cy="2845350"/>
          </a:xfrm>
        </xdr:grpSpPr>
        <xdr:grpSp>
          <xdr:nvGrpSpPr>
            <xdr:cNvPr id="1706" name="AB">
              <a:extLst>
                <a:ext uri="{FF2B5EF4-FFF2-40B4-BE49-F238E27FC236}">
                  <a16:creationId xmlns:a16="http://schemas.microsoft.com/office/drawing/2014/main" id="{0874ADDE-C819-EE94-655C-C5C7C89B482C}"/>
                </a:ext>
              </a:extLst>
            </xdr:cNvPr>
            <xdr:cNvGrpSpPr/>
          </xdr:nvGrpSpPr>
          <xdr:grpSpPr>
            <a:xfrm>
              <a:off x="96785" y="7577763"/>
              <a:ext cx="751918" cy="836724"/>
              <a:chOff x="96785" y="7577763"/>
              <a:chExt cx="751918" cy="836724"/>
            </a:xfrm>
          </xdr:grpSpPr>
          <xdr:sp macro="" textlink="$Y$15">
            <xdr:nvSpPr>
              <xdr:cNvPr id="1816" name="Barra AB">
                <a:extLst>
                  <a:ext uri="{FF2B5EF4-FFF2-40B4-BE49-F238E27FC236}">
                    <a16:creationId xmlns:a16="http://schemas.microsoft.com/office/drawing/2014/main" id="{EF72557C-F274-52D1-6C3F-736A65AB6F85}"/>
                  </a:ext>
                </a:extLst>
              </xdr:cNvPr>
              <xdr:cNvSpPr txBox="1"/>
            </xdr:nvSpPr>
            <xdr:spPr>
              <a:xfrm rot="16200000">
                <a:off x="420962" y="7931694"/>
                <a:ext cx="708099" cy="1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199A997-BF91-48FD-92F0-E50BD19F794A}"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817" name="Cota">
                <a:extLst>
                  <a:ext uri="{FF2B5EF4-FFF2-40B4-BE49-F238E27FC236}">
                    <a16:creationId xmlns:a16="http://schemas.microsoft.com/office/drawing/2014/main" id="{D3486FD8-73D9-FDFA-7B43-0FBA7011FEFE}"/>
                  </a:ext>
                </a:extLst>
              </xdr:cNvPr>
              <xdr:cNvGrpSpPr/>
            </xdr:nvGrpSpPr>
            <xdr:grpSpPr>
              <a:xfrm>
                <a:off x="96785" y="7577763"/>
                <a:ext cx="594232" cy="836724"/>
                <a:chOff x="10021477" y="7645975"/>
                <a:chExt cx="594182" cy="843363"/>
              </a:xfrm>
            </xdr:grpSpPr>
            <xdr:sp macro="" textlink="$AA$15">
              <xdr:nvSpPr>
                <xdr:cNvPr id="1819" name="Vertical BA">
                  <a:extLst>
                    <a:ext uri="{FF2B5EF4-FFF2-40B4-BE49-F238E27FC236}">
                      <a16:creationId xmlns:a16="http://schemas.microsoft.com/office/drawing/2014/main" id="{38AE1BA9-1476-507F-C525-32EB4601EECB}"/>
                    </a:ext>
                  </a:extLst>
                </xdr:cNvPr>
                <xdr:cNvSpPr txBox="1"/>
              </xdr:nvSpPr>
              <xdr:spPr>
                <a:xfrm>
                  <a:off x="10103075"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4693C7F9-C5C4-4D9B-8B20-6D20BE3F0E04}"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AB_Ver">
              <xdr:nvSpPr>
                <xdr:cNvPr id="1820" name="L_AB">
                  <a:extLst>
                    <a:ext uri="{FF2B5EF4-FFF2-40B4-BE49-F238E27FC236}">
                      <a16:creationId xmlns:a16="http://schemas.microsoft.com/office/drawing/2014/main" id="{F54B9310-AB30-400C-39B0-E7603E34679E}"/>
                    </a:ext>
                  </a:extLst>
                </xdr:cNvPr>
                <xdr:cNvSpPr txBox="1"/>
              </xdr:nvSpPr>
              <xdr:spPr>
                <a:xfrm rot="16200000">
                  <a:off x="977676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0BBCFF5-3C36-4CFD-AAB0-79507C53DED4}" type="TxLink">
                    <a:rPr lang="en-US" sz="900" b="0" i="0" u="none" strike="noStrike">
                      <a:solidFill>
                        <a:srgbClr val="000000"/>
                      </a:solidFill>
                      <a:latin typeface="Calibri"/>
                      <a:ea typeface="Calibri"/>
                      <a:cs typeface="Calibri"/>
                    </a:rPr>
                    <a:pPr algn="ctr"/>
                    <a:t> </a:t>
                  </a:fld>
                  <a:endParaRPr lang="es-ES" sz="1100"/>
                </a:p>
              </xdr:txBody>
            </xdr:sp>
            <xdr:sp macro="" textlink="$Z$15">
              <xdr:nvSpPr>
                <xdr:cNvPr id="1821" name="Flecha AB">
                  <a:extLst>
                    <a:ext uri="{FF2B5EF4-FFF2-40B4-BE49-F238E27FC236}">
                      <a16:creationId xmlns:a16="http://schemas.microsoft.com/office/drawing/2014/main" id="{9A69C599-0EC8-7940-F25C-DA2B385D58DC}"/>
                    </a:ext>
                  </a:extLst>
                </xdr:cNvPr>
                <xdr:cNvSpPr txBox="1"/>
              </xdr:nvSpPr>
              <xdr:spPr>
                <a:xfrm rot="16200000">
                  <a:off x="9836444" y="7904551"/>
                  <a:ext cx="713169" cy="34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F22FE89-DF16-4C88-803D-A5EB2F15DE5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5">
              <xdr:nvSpPr>
                <xdr:cNvPr id="1822" name="Vertical AB">
                  <a:extLst>
                    <a:ext uri="{FF2B5EF4-FFF2-40B4-BE49-F238E27FC236}">
                      <a16:creationId xmlns:a16="http://schemas.microsoft.com/office/drawing/2014/main" id="{14D6A1AA-E75F-B10E-CD36-BB23755594B8}"/>
                    </a:ext>
                  </a:extLst>
                </xdr:cNvPr>
                <xdr:cNvSpPr txBox="1"/>
              </xdr:nvSpPr>
              <xdr:spPr>
                <a:xfrm>
                  <a:off x="10099504" y="8337373"/>
                  <a:ext cx="507963"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34732A0-EBB4-48DC-AA26-4C5D2E0E94E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5">
            <xdr:nvSpPr>
              <xdr:cNvPr id="1818" name="A">
                <a:extLst>
                  <a:ext uri="{FF2B5EF4-FFF2-40B4-BE49-F238E27FC236}">
                    <a16:creationId xmlns:a16="http://schemas.microsoft.com/office/drawing/2014/main" id="{BCEE6C6A-6FA3-BD62-AC5D-229D0B1E7C5D}"/>
                  </a:ext>
                </a:extLst>
              </xdr:cNvPr>
              <xdr:cNvSpPr txBox="1"/>
            </xdr:nvSpPr>
            <xdr:spPr>
              <a:xfrm>
                <a:off x="669116" y="8223599"/>
                <a:ext cx="80324" cy="156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C941F89-CD4D-4DCC-BBBA-EAADF87ECBB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07" name="BC">
              <a:extLst>
                <a:ext uri="{FF2B5EF4-FFF2-40B4-BE49-F238E27FC236}">
                  <a16:creationId xmlns:a16="http://schemas.microsoft.com/office/drawing/2014/main" id="{9D9D5B4B-DCDD-1DEA-C661-CF24226C3C21}"/>
                </a:ext>
              </a:extLst>
            </xdr:cNvPr>
            <xdr:cNvGrpSpPr/>
          </xdr:nvGrpSpPr>
          <xdr:grpSpPr>
            <a:xfrm>
              <a:off x="125083" y="6875559"/>
              <a:ext cx="722173" cy="843871"/>
              <a:chOff x="125083" y="6875559"/>
              <a:chExt cx="722173" cy="843871"/>
            </a:xfrm>
          </xdr:grpSpPr>
          <xdr:sp macro="" textlink="$Y$16">
            <xdr:nvSpPr>
              <xdr:cNvPr id="1809" name="Barra BC">
                <a:extLst>
                  <a:ext uri="{FF2B5EF4-FFF2-40B4-BE49-F238E27FC236}">
                    <a16:creationId xmlns:a16="http://schemas.microsoft.com/office/drawing/2014/main" id="{1D679932-1CA5-7240-95C6-D487D80BE9E7}"/>
                  </a:ext>
                </a:extLst>
              </xdr:cNvPr>
              <xdr:cNvSpPr txBox="1"/>
            </xdr:nvSpPr>
            <xdr:spPr>
              <a:xfrm rot="16200000">
                <a:off x="418378" y="7232140"/>
                <a:ext cx="710051" cy="147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1BFEBF3-7E32-471E-A9EE-1ECD42AA8637}"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810" name="Cota">
                <a:extLst>
                  <a:ext uri="{FF2B5EF4-FFF2-40B4-BE49-F238E27FC236}">
                    <a16:creationId xmlns:a16="http://schemas.microsoft.com/office/drawing/2014/main" id="{741BBAC5-9FF1-393A-F1D2-1C4F9C5DBE38}"/>
                  </a:ext>
                </a:extLst>
              </xdr:cNvPr>
              <xdr:cNvGrpSpPr/>
            </xdr:nvGrpSpPr>
            <xdr:grpSpPr>
              <a:xfrm>
                <a:off x="125083" y="6875559"/>
                <a:ext cx="564148" cy="839000"/>
                <a:chOff x="10052795" y="7646008"/>
                <a:chExt cx="562869" cy="843332"/>
              </a:xfrm>
            </xdr:grpSpPr>
            <xdr:sp macro="" textlink="AA16">
              <xdr:nvSpPr>
                <xdr:cNvPr id="1812" name="Vertical BC">
                  <a:extLst>
                    <a:ext uri="{FF2B5EF4-FFF2-40B4-BE49-F238E27FC236}">
                      <a16:creationId xmlns:a16="http://schemas.microsoft.com/office/drawing/2014/main" id="{E6ECAACD-2D4E-AC54-9568-137B920F74B6}"/>
                    </a:ext>
                  </a:extLst>
                </xdr:cNvPr>
                <xdr:cNvSpPr txBox="1"/>
              </xdr:nvSpPr>
              <xdr:spPr>
                <a:xfrm>
                  <a:off x="10103080" y="7646008"/>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92B0F44-3B9B-45BB-8E26-687B3FFF21A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BC_Ver">
              <xdr:nvSpPr>
                <xdr:cNvPr id="1813" name="L_BC">
                  <a:extLst>
                    <a:ext uri="{FF2B5EF4-FFF2-40B4-BE49-F238E27FC236}">
                      <a16:creationId xmlns:a16="http://schemas.microsoft.com/office/drawing/2014/main" id="{F6248878-A57C-FEA0-39D6-52DCBC5EE3B8}"/>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2C3CA30-478C-4FDB-B934-6699CEB01075}" type="TxLink">
                    <a:rPr lang="en-US" sz="900" b="0" i="0" u="none" strike="noStrike">
                      <a:solidFill>
                        <a:srgbClr val="000000"/>
                      </a:solidFill>
                      <a:latin typeface="Calibri"/>
                      <a:ea typeface="Calibri"/>
                      <a:cs typeface="Calibri"/>
                    </a:rPr>
                    <a:pPr algn="ctr"/>
                    <a:t> </a:t>
                  </a:fld>
                  <a:endParaRPr lang="es-ES" sz="1100"/>
                </a:p>
              </xdr:txBody>
            </xdr:sp>
            <xdr:sp macro="" textlink="Z16">
              <xdr:nvSpPr>
                <xdr:cNvPr id="1814" name="Flecha BC">
                  <a:extLst>
                    <a:ext uri="{FF2B5EF4-FFF2-40B4-BE49-F238E27FC236}">
                      <a16:creationId xmlns:a16="http://schemas.microsoft.com/office/drawing/2014/main" id="{7EFDC12E-785A-D253-64C3-614FC3B34C22}"/>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E876628-044B-4069-B4C2-FBE1B43B5F65}"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6">
              <xdr:nvSpPr>
                <xdr:cNvPr id="1815" name="Vertical BC">
                  <a:extLst>
                    <a:ext uri="{FF2B5EF4-FFF2-40B4-BE49-F238E27FC236}">
                      <a16:creationId xmlns:a16="http://schemas.microsoft.com/office/drawing/2014/main" id="{B22D1A25-E423-387F-AD52-E62D686F64D3}"/>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4E0B917-C290-42D9-9BFB-BAD109477DDA}"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6">
            <xdr:nvSpPr>
              <xdr:cNvPr id="1811" name="B">
                <a:extLst>
                  <a:ext uri="{FF2B5EF4-FFF2-40B4-BE49-F238E27FC236}">
                    <a16:creationId xmlns:a16="http://schemas.microsoft.com/office/drawing/2014/main" id="{F4A2C296-7C6E-1549-B5A2-B948D31B4438}"/>
                  </a:ext>
                </a:extLst>
              </xdr:cNvPr>
              <xdr:cNvSpPr txBox="1"/>
            </xdr:nvSpPr>
            <xdr:spPr>
              <a:xfrm>
                <a:off x="681274" y="7562505"/>
                <a:ext cx="80500" cy="156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6E508EC-DE81-48AB-8D07-568C3049B8ED}"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08" name="CD">
              <a:extLst>
                <a:ext uri="{FF2B5EF4-FFF2-40B4-BE49-F238E27FC236}">
                  <a16:creationId xmlns:a16="http://schemas.microsoft.com/office/drawing/2014/main" id="{E332A64E-0B6C-1307-36B1-A1ADB8B493E9}"/>
                </a:ext>
              </a:extLst>
            </xdr:cNvPr>
            <xdr:cNvGrpSpPr/>
          </xdr:nvGrpSpPr>
          <xdr:grpSpPr>
            <a:xfrm>
              <a:off x="125896" y="6178983"/>
              <a:ext cx="722172" cy="841615"/>
              <a:chOff x="125896" y="6178983"/>
              <a:chExt cx="722172" cy="841615"/>
            </a:xfrm>
          </xdr:grpSpPr>
          <xdr:sp macro="" textlink="Y17">
            <xdr:nvSpPr>
              <xdr:cNvPr id="1802" name="Barra CD">
                <a:extLst>
                  <a:ext uri="{FF2B5EF4-FFF2-40B4-BE49-F238E27FC236}">
                    <a16:creationId xmlns:a16="http://schemas.microsoft.com/office/drawing/2014/main" id="{4040FB3B-EE3C-D621-971D-1A5098EB032E}"/>
                  </a:ext>
                </a:extLst>
              </xdr:cNvPr>
              <xdr:cNvSpPr txBox="1"/>
            </xdr:nvSpPr>
            <xdr:spPr>
              <a:xfrm rot="16200000">
                <a:off x="419185" y="6531370"/>
                <a:ext cx="710061" cy="147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5B82EDE-687B-4126-A474-EAAA6659AF20}"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803" name="Cota">
                <a:extLst>
                  <a:ext uri="{FF2B5EF4-FFF2-40B4-BE49-F238E27FC236}">
                    <a16:creationId xmlns:a16="http://schemas.microsoft.com/office/drawing/2014/main" id="{29D5EC55-3426-307A-7CD3-B2DF52C206B2}"/>
                  </a:ext>
                </a:extLst>
              </xdr:cNvPr>
              <xdr:cNvGrpSpPr/>
            </xdr:nvGrpSpPr>
            <xdr:grpSpPr>
              <a:xfrm>
                <a:off x="125896" y="6178983"/>
                <a:ext cx="564147" cy="841615"/>
                <a:chOff x="10052796" y="7648551"/>
                <a:chExt cx="562868" cy="845947"/>
              </a:xfrm>
            </xdr:grpSpPr>
            <xdr:sp macro="" textlink="AA17">
              <xdr:nvSpPr>
                <xdr:cNvPr id="1805" name="Vertical CD">
                  <a:extLst>
                    <a:ext uri="{FF2B5EF4-FFF2-40B4-BE49-F238E27FC236}">
                      <a16:creationId xmlns:a16="http://schemas.microsoft.com/office/drawing/2014/main" id="{3216CD66-1CD6-6DF7-8DB2-62AC632734A7}"/>
                    </a:ext>
                  </a:extLst>
                </xdr:cNvPr>
                <xdr:cNvSpPr txBox="1"/>
              </xdr:nvSpPr>
              <xdr:spPr>
                <a:xfrm>
                  <a:off x="10103080" y="7648551"/>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27739F2-016D-422A-9C6E-EC93482D870D}"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CE_Ver">
              <xdr:nvSpPr>
                <xdr:cNvPr id="1806" name="L_CD">
                  <a:extLst>
                    <a:ext uri="{FF2B5EF4-FFF2-40B4-BE49-F238E27FC236}">
                      <a16:creationId xmlns:a16="http://schemas.microsoft.com/office/drawing/2014/main" id="{CAD5E09F-2E31-1B88-9880-C3031F38DEBC}"/>
                    </a:ext>
                  </a:extLst>
                </xdr:cNvPr>
                <xdr:cNvSpPr txBox="1"/>
              </xdr:nvSpPr>
              <xdr:spPr>
                <a:xfrm rot="16200000">
                  <a:off x="9776748" y="8005393"/>
                  <a:ext cx="698095"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E453D3E-DE0B-4111-8339-EC6074A0874E}" type="TxLink">
                    <a:rPr lang="en-US" sz="900" b="0" i="0" u="none" strike="noStrike">
                      <a:solidFill>
                        <a:srgbClr val="000000"/>
                      </a:solidFill>
                      <a:latin typeface="Calibri"/>
                      <a:ea typeface="Calibri"/>
                      <a:cs typeface="Calibri"/>
                    </a:rPr>
                    <a:pPr algn="ctr"/>
                    <a:t> </a:t>
                  </a:fld>
                  <a:endParaRPr lang="es-ES" sz="1100"/>
                </a:p>
              </xdr:txBody>
            </xdr:sp>
            <xdr:sp macro="" textlink="Z17">
              <xdr:nvSpPr>
                <xdr:cNvPr id="1807" name="Flecha CD">
                  <a:extLst>
                    <a:ext uri="{FF2B5EF4-FFF2-40B4-BE49-F238E27FC236}">
                      <a16:creationId xmlns:a16="http://schemas.microsoft.com/office/drawing/2014/main" id="{B5D1B121-6537-1446-5B24-A7FDB6E5E9AC}"/>
                    </a:ext>
                  </a:extLst>
                </xdr:cNvPr>
                <xdr:cNvSpPr txBox="1"/>
              </xdr:nvSpPr>
              <xdr:spPr>
                <a:xfrm rot="16200000">
                  <a:off x="9836441" y="8005001"/>
                  <a:ext cx="713170"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C3ACD96-30BC-4EBE-8D42-BC65F92FBA14}"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7">
              <xdr:nvSpPr>
                <xdr:cNvPr id="1808" name="Vertical CD">
                  <a:extLst>
                    <a:ext uri="{FF2B5EF4-FFF2-40B4-BE49-F238E27FC236}">
                      <a16:creationId xmlns:a16="http://schemas.microsoft.com/office/drawing/2014/main" id="{7DCCAEA4-80DD-ECAC-866F-EC726681E36D}"/>
                    </a:ext>
                  </a:extLst>
                </xdr:cNvPr>
                <xdr:cNvSpPr txBox="1"/>
              </xdr:nvSpPr>
              <xdr:spPr>
                <a:xfrm>
                  <a:off x="10099514" y="8342533"/>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BD950AB-3F2E-4A3C-9589-E0BCD1938A34}"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7">
            <xdr:nvSpPr>
              <xdr:cNvPr id="1804" name="C">
                <a:extLst>
                  <a:ext uri="{FF2B5EF4-FFF2-40B4-BE49-F238E27FC236}">
                    <a16:creationId xmlns:a16="http://schemas.microsoft.com/office/drawing/2014/main" id="{AAAFDB92-EBB6-F66B-C5BB-79DEDF06EEC0}"/>
                  </a:ext>
                </a:extLst>
              </xdr:cNvPr>
              <xdr:cNvSpPr txBox="1"/>
            </xdr:nvSpPr>
            <xdr:spPr>
              <a:xfrm>
                <a:off x="682086" y="6839887"/>
                <a:ext cx="80500" cy="156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75C3138-160E-47C4-A70A-DD1A5CEF95B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09" name="CE">
              <a:extLst>
                <a:ext uri="{FF2B5EF4-FFF2-40B4-BE49-F238E27FC236}">
                  <a16:creationId xmlns:a16="http://schemas.microsoft.com/office/drawing/2014/main" id="{1BEBB11C-2F69-B1CF-F8E6-A2864E57E2BE}"/>
                </a:ext>
              </a:extLst>
            </xdr:cNvPr>
            <xdr:cNvGrpSpPr/>
          </xdr:nvGrpSpPr>
          <xdr:grpSpPr>
            <a:xfrm>
              <a:off x="668240" y="6403653"/>
              <a:ext cx="919793" cy="356043"/>
              <a:chOff x="668240" y="6403653"/>
              <a:chExt cx="919793" cy="356043"/>
            </a:xfrm>
          </xdr:grpSpPr>
          <xdr:sp macro="" textlink="$Y$19">
            <xdr:nvSpPr>
              <xdr:cNvPr id="1799" name="Barra CD'">
                <a:extLst>
                  <a:ext uri="{FF2B5EF4-FFF2-40B4-BE49-F238E27FC236}">
                    <a16:creationId xmlns:a16="http://schemas.microsoft.com/office/drawing/2014/main" id="{F47A5259-C3A1-BB57-37C5-DF6CCB2BB6F5}"/>
                  </a:ext>
                </a:extLst>
              </xdr:cNvPr>
              <xdr:cNvSpPr txBox="1"/>
            </xdr:nvSpPr>
            <xdr:spPr>
              <a:xfrm rot="18900000">
                <a:off x="668240" y="6613352"/>
                <a:ext cx="716383" cy="146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27EDB3EC-E12E-4F9F-A36B-54E124C4C4D9}" type="TxLink">
                  <a:rPr lang="en-US" sz="2200" b="1" i="0" u="none" strike="noStrike">
                    <a:solidFill>
                      <a:srgbClr val="000000"/>
                    </a:solidFill>
                    <a:latin typeface="Calibri"/>
                    <a:ea typeface="Calibri"/>
                    <a:cs typeface="Calibri"/>
                  </a:rPr>
                  <a:pPr algn="l"/>
                  <a:t> </a:t>
                </a:fld>
                <a:endParaRPr lang="es-ES" sz="1400" b="1">
                  <a:solidFill>
                    <a:srgbClr val="0070C0"/>
                  </a:solidFill>
                </a:endParaRPr>
              </a:p>
            </xdr:txBody>
          </xdr:sp>
          <xdr:sp macro="" textlink="$Y$19">
            <xdr:nvSpPr>
              <xdr:cNvPr id="1800" name="Barra D'E">
                <a:extLst>
                  <a:ext uri="{FF2B5EF4-FFF2-40B4-BE49-F238E27FC236}">
                    <a16:creationId xmlns:a16="http://schemas.microsoft.com/office/drawing/2014/main" id="{8F456CBE-61F3-E9A0-5F88-315F96BBAB57}"/>
                  </a:ext>
                </a:extLst>
              </xdr:cNvPr>
              <xdr:cNvSpPr txBox="1"/>
            </xdr:nvSpPr>
            <xdr:spPr>
              <a:xfrm rot="18900000">
                <a:off x="879884" y="6403653"/>
                <a:ext cx="708149" cy="147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EB5840AD-129D-4C98-BB51-5AEB72AC0C98}" type="TxLink">
                  <a:rPr lang="en-US" sz="2200" b="1" i="0" u="none" strike="noStrike">
                    <a:solidFill>
                      <a:srgbClr val="000000"/>
                    </a:solidFill>
                    <a:latin typeface="Calibri"/>
                    <a:ea typeface="Calibri"/>
                    <a:cs typeface="Calibri"/>
                  </a:rPr>
                  <a:pPr algn="r"/>
                  <a:t> </a:t>
                </a:fld>
                <a:endParaRPr lang="es-ES" sz="1400" b="1">
                  <a:solidFill>
                    <a:srgbClr val="0070C0"/>
                  </a:solidFill>
                </a:endParaRPr>
              </a:p>
            </xdr:txBody>
          </xdr:sp>
          <xdr:sp macro="" textlink="$V$19">
            <xdr:nvSpPr>
              <xdr:cNvPr id="1801" name="D'">
                <a:extLst>
                  <a:ext uri="{FF2B5EF4-FFF2-40B4-BE49-F238E27FC236}">
                    <a16:creationId xmlns:a16="http://schemas.microsoft.com/office/drawing/2014/main" id="{7B459E31-8179-16EB-26E2-9628107BB94F}"/>
                  </a:ext>
                </a:extLst>
              </xdr:cNvPr>
              <xdr:cNvSpPr txBox="1"/>
            </xdr:nvSpPr>
            <xdr:spPr>
              <a:xfrm>
                <a:off x="1188100" y="6553728"/>
                <a:ext cx="100235" cy="142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EE2547F-BA36-40FD-A49C-1E87E91C19C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10" name="DE">
              <a:extLst>
                <a:ext uri="{FF2B5EF4-FFF2-40B4-BE49-F238E27FC236}">
                  <a16:creationId xmlns:a16="http://schemas.microsoft.com/office/drawing/2014/main" id="{56DF6217-57F5-7B8C-7FB5-E9C020A2136A}"/>
                </a:ext>
              </a:extLst>
            </xdr:cNvPr>
            <xdr:cNvGrpSpPr/>
          </xdr:nvGrpSpPr>
          <xdr:grpSpPr>
            <a:xfrm>
              <a:off x="731773" y="5581666"/>
              <a:ext cx="837188" cy="802404"/>
              <a:chOff x="735805" y="5573602"/>
              <a:chExt cx="837188" cy="800387"/>
            </a:xfrm>
          </xdr:grpSpPr>
          <xdr:sp macro="" textlink="$Y$18">
            <xdr:nvSpPr>
              <xdr:cNvPr id="1792" name="Barra DE">
                <a:extLst>
                  <a:ext uri="{FF2B5EF4-FFF2-40B4-BE49-F238E27FC236}">
                    <a16:creationId xmlns:a16="http://schemas.microsoft.com/office/drawing/2014/main" id="{F00FF8CF-66A5-7520-43E9-18AE36783ADC}"/>
                  </a:ext>
                </a:extLst>
              </xdr:cNvPr>
              <xdr:cNvSpPr txBox="1"/>
            </xdr:nvSpPr>
            <xdr:spPr>
              <a:xfrm>
                <a:off x="790890" y="6144885"/>
                <a:ext cx="708490" cy="146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6F2301B-D37C-414D-9ADF-9C98E762B20A}"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93" name="Cota">
                <a:extLst>
                  <a:ext uri="{FF2B5EF4-FFF2-40B4-BE49-F238E27FC236}">
                    <a16:creationId xmlns:a16="http://schemas.microsoft.com/office/drawing/2014/main" id="{11D56633-91CF-8D3B-4AE4-552F4B6DD9FD}"/>
                  </a:ext>
                </a:extLst>
              </xdr:cNvPr>
              <xdr:cNvGrpSpPr/>
            </xdr:nvGrpSpPr>
            <xdr:grpSpPr>
              <a:xfrm rot="5400000">
                <a:off x="873889" y="5435518"/>
                <a:ext cx="561020" cy="837188"/>
                <a:chOff x="10052795" y="7645975"/>
                <a:chExt cx="562869" cy="843365"/>
              </a:xfrm>
            </xdr:grpSpPr>
            <xdr:sp macro="" textlink="AA18">
              <xdr:nvSpPr>
                <xdr:cNvPr id="1795" name="Vertical DE">
                  <a:extLst>
                    <a:ext uri="{FF2B5EF4-FFF2-40B4-BE49-F238E27FC236}">
                      <a16:creationId xmlns:a16="http://schemas.microsoft.com/office/drawing/2014/main" id="{83508FC2-40F6-5614-B9A2-27EF5BAE11AA}"/>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355E5C9-0FEF-4C2D-A8EF-D84941B196C5}"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DE_Ver">
              <xdr:nvSpPr>
                <xdr:cNvPr id="1796" name="L_DE">
                  <a:extLst>
                    <a:ext uri="{FF2B5EF4-FFF2-40B4-BE49-F238E27FC236}">
                      <a16:creationId xmlns:a16="http://schemas.microsoft.com/office/drawing/2014/main" id="{E95C5B85-4D4F-BE4C-721B-94D6BB499CB7}"/>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2555706-2595-48C6-9B3E-7C38C2B65A03}" type="TxLink">
                    <a:rPr lang="en-US" sz="900" b="0" i="0" u="none" strike="noStrike">
                      <a:solidFill>
                        <a:srgbClr val="000000"/>
                      </a:solidFill>
                      <a:latin typeface="Calibri"/>
                      <a:ea typeface="Calibri"/>
                      <a:cs typeface="Calibri"/>
                    </a:rPr>
                    <a:pPr algn="ctr"/>
                    <a:t> </a:t>
                  </a:fld>
                  <a:endParaRPr lang="es-ES" sz="1100"/>
                </a:p>
              </xdr:txBody>
            </xdr:sp>
            <xdr:sp macro="" textlink="$Z$18">
              <xdr:nvSpPr>
                <xdr:cNvPr id="1797" name="Flecha DE">
                  <a:extLst>
                    <a:ext uri="{FF2B5EF4-FFF2-40B4-BE49-F238E27FC236}">
                      <a16:creationId xmlns:a16="http://schemas.microsoft.com/office/drawing/2014/main" id="{74E8AC68-80AE-D15F-BBBD-DE270708F1E8}"/>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BC9EBCE-CAD1-4450-9902-0DBE415055E1}"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8">
              <xdr:nvSpPr>
                <xdr:cNvPr id="1798" name="Vertical DE">
                  <a:extLst>
                    <a:ext uri="{FF2B5EF4-FFF2-40B4-BE49-F238E27FC236}">
                      <a16:creationId xmlns:a16="http://schemas.microsoft.com/office/drawing/2014/main" id="{FCDE78F6-6350-DDF1-9831-982A68403692}"/>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E615C7E-5925-4A57-A88B-E17A858BE48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8">
            <xdr:nvSpPr>
              <xdr:cNvPr id="1794" name="D">
                <a:extLst>
                  <a:ext uri="{FF2B5EF4-FFF2-40B4-BE49-F238E27FC236}">
                    <a16:creationId xmlns:a16="http://schemas.microsoft.com/office/drawing/2014/main" id="{EE4518AE-6978-7F41-8369-A419F29BFF43}"/>
                  </a:ext>
                </a:extLst>
              </xdr:cNvPr>
              <xdr:cNvSpPr txBox="1"/>
            </xdr:nvSpPr>
            <xdr:spPr>
              <a:xfrm>
                <a:off x="832707" y="6218381"/>
                <a:ext cx="80554" cy="155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A132369-0CDF-415B-B5C7-B3D7EE5D57BD}"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11" name="EF">
              <a:extLst>
                <a:ext uri="{FF2B5EF4-FFF2-40B4-BE49-F238E27FC236}">
                  <a16:creationId xmlns:a16="http://schemas.microsoft.com/office/drawing/2014/main" id="{5DDCC571-2AC9-341D-939E-4C0BDCCD5913}"/>
                </a:ext>
              </a:extLst>
            </xdr:cNvPr>
            <xdr:cNvGrpSpPr/>
          </xdr:nvGrpSpPr>
          <xdr:grpSpPr>
            <a:xfrm>
              <a:off x="1429956" y="5580656"/>
              <a:ext cx="836070" cy="721292"/>
              <a:chOff x="1433988" y="5572593"/>
              <a:chExt cx="838085" cy="719275"/>
            </a:xfrm>
          </xdr:grpSpPr>
          <xdr:sp macro="" textlink="Y20">
            <xdr:nvSpPr>
              <xdr:cNvPr id="1785" name="Barra EF">
                <a:extLst>
                  <a:ext uri="{FF2B5EF4-FFF2-40B4-BE49-F238E27FC236}">
                    <a16:creationId xmlns:a16="http://schemas.microsoft.com/office/drawing/2014/main" id="{8F8292FD-192B-8304-5030-5361D08D89CF}"/>
                  </a:ext>
                </a:extLst>
              </xdr:cNvPr>
              <xdr:cNvSpPr txBox="1"/>
            </xdr:nvSpPr>
            <xdr:spPr>
              <a:xfrm>
                <a:off x="1489137" y="6144755"/>
                <a:ext cx="709247" cy="147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2E3CEB3-0ACC-4944-83C4-A65FDCAB2C8C}"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86" name="Cota">
                <a:extLst>
                  <a:ext uri="{FF2B5EF4-FFF2-40B4-BE49-F238E27FC236}">
                    <a16:creationId xmlns:a16="http://schemas.microsoft.com/office/drawing/2014/main" id="{B1EB9F13-D561-4688-1648-DF4B9E99D258}"/>
                  </a:ext>
                </a:extLst>
              </xdr:cNvPr>
              <xdr:cNvGrpSpPr/>
            </xdr:nvGrpSpPr>
            <xdr:grpSpPr>
              <a:xfrm rot="5400000">
                <a:off x="1572088" y="5434493"/>
                <a:ext cx="561885" cy="838085"/>
                <a:chOff x="10052795" y="7645975"/>
                <a:chExt cx="562869" cy="843370"/>
              </a:xfrm>
            </xdr:grpSpPr>
            <xdr:sp macro="" textlink="AA20">
              <xdr:nvSpPr>
                <xdr:cNvPr id="1788" name="Vertical EF">
                  <a:extLst>
                    <a:ext uri="{FF2B5EF4-FFF2-40B4-BE49-F238E27FC236}">
                      <a16:creationId xmlns:a16="http://schemas.microsoft.com/office/drawing/2014/main" id="{343C6EA4-A108-E053-9385-0FC5DBF3FB6E}"/>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E9DF117-68C0-408F-8BA8-60A1C8541F6E}"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EF_Ver">
              <xdr:nvSpPr>
                <xdr:cNvPr id="1789" name="L_EF">
                  <a:extLst>
                    <a:ext uri="{FF2B5EF4-FFF2-40B4-BE49-F238E27FC236}">
                      <a16:creationId xmlns:a16="http://schemas.microsoft.com/office/drawing/2014/main" id="{C0BD6F0C-3AA5-FD40-2210-06027ECCF88C}"/>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B7CD2AC-7F72-4490-A3C8-5739EE1AB2D0}" type="TxLink">
                    <a:rPr lang="en-US" sz="900" b="0" i="0" u="none" strike="noStrike">
                      <a:solidFill>
                        <a:srgbClr val="000000"/>
                      </a:solidFill>
                      <a:latin typeface="Calibri"/>
                      <a:ea typeface="Calibri"/>
                      <a:cs typeface="Calibri"/>
                    </a:rPr>
                    <a:pPr algn="ctr"/>
                    <a:t> </a:t>
                  </a:fld>
                  <a:endParaRPr lang="es-ES" sz="1100"/>
                </a:p>
              </xdr:txBody>
            </xdr:sp>
            <xdr:sp macro="" textlink="Z20">
              <xdr:nvSpPr>
                <xdr:cNvPr id="1790" name="Flecha EF">
                  <a:extLst>
                    <a:ext uri="{FF2B5EF4-FFF2-40B4-BE49-F238E27FC236}">
                      <a16:creationId xmlns:a16="http://schemas.microsoft.com/office/drawing/2014/main" id="{82A3B6F8-E0FE-D00B-DA1E-150F62FA39ED}"/>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1AAC797-D29B-463C-AA6C-7673F9C537BD}"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0">
              <xdr:nvSpPr>
                <xdr:cNvPr id="1791" name="Vertical EF">
                  <a:extLst>
                    <a:ext uri="{FF2B5EF4-FFF2-40B4-BE49-F238E27FC236}">
                      <a16:creationId xmlns:a16="http://schemas.microsoft.com/office/drawing/2014/main" id="{C8EEBCBF-86C8-44C4-B600-E314BF075BE7}"/>
                    </a:ext>
                  </a:extLst>
                </xdr:cNvPr>
                <xdr:cNvSpPr txBox="1"/>
              </xdr:nvSpPr>
              <xdr:spPr>
                <a:xfrm>
                  <a:off x="10099512" y="8337379"/>
                  <a:ext cx="507965" cy="151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4FE3732-5FD9-490E-B797-8C0615D2FEE3}"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0">
            <xdr:nvSpPr>
              <xdr:cNvPr id="1787" name="E">
                <a:extLst>
                  <a:ext uri="{FF2B5EF4-FFF2-40B4-BE49-F238E27FC236}">
                    <a16:creationId xmlns:a16="http://schemas.microsoft.com/office/drawing/2014/main" id="{30AE5022-5A44-6550-F745-BE8D484D0373}"/>
                  </a:ext>
                </a:extLst>
              </xdr:cNvPr>
              <xdr:cNvSpPr txBox="1"/>
            </xdr:nvSpPr>
            <xdr:spPr>
              <a:xfrm>
                <a:off x="1502248" y="6073627"/>
                <a:ext cx="80640" cy="155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9A2C873-0EA0-46CD-96C2-9CB17A52E34A}"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12" name="FG">
              <a:extLst>
                <a:ext uri="{FF2B5EF4-FFF2-40B4-BE49-F238E27FC236}">
                  <a16:creationId xmlns:a16="http://schemas.microsoft.com/office/drawing/2014/main" id="{013B96AB-5D7D-2D65-C91F-78B108E2C487}"/>
                </a:ext>
              </a:extLst>
            </xdr:cNvPr>
            <xdr:cNvGrpSpPr/>
          </xdr:nvGrpSpPr>
          <xdr:grpSpPr>
            <a:xfrm>
              <a:off x="2125265" y="5581456"/>
              <a:ext cx="833683" cy="721597"/>
              <a:chOff x="2130305" y="5573393"/>
              <a:chExt cx="834691" cy="719580"/>
            </a:xfrm>
          </xdr:grpSpPr>
          <xdr:sp macro="" textlink="Y21">
            <xdr:nvSpPr>
              <xdr:cNvPr id="1778" name="Barra FG">
                <a:extLst>
                  <a:ext uri="{FF2B5EF4-FFF2-40B4-BE49-F238E27FC236}">
                    <a16:creationId xmlns:a16="http://schemas.microsoft.com/office/drawing/2014/main" id="{3B608234-3178-F301-42B4-2B9EBA987352}"/>
                  </a:ext>
                </a:extLst>
              </xdr:cNvPr>
              <xdr:cNvSpPr txBox="1"/>
            </xdr:nvSpPr>
            <xdr:spPr>
              <a:xfrm>
                <a:off x="2185227" y="6145798"/>
                <a:ext cx="706377" cy="14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B6F954A-E0D3-40AD-9E8E-885CDCAB9DB3}"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79" name="Cota">
                <a:extLst>
                  <a:ext uri="{FF2B5EF4-FFF2-40B4-BE49-F238E27FC236}">
                    <a16:creationId xmlns:a16="http://schemas.microsoft.com/office/drawing/2014/main" id="{E0021D04-BEF8-4125-0C38-2C854A91E814}"/>
                  </a:ext>
                </a:extLst>
              </xdr:cNvPr>
              <xdr:cNvGrpSpPr/>
            </xdr:nvGrpSpPr>
            <xdr:grpSpPr>
              <a:xfrm rot="5400000">
                <a:off x="2266590" y="5437108"/>
                <a:ext cx="562122" cy="834691"/>
                <a:chOff x="10052795" y="7645975"/>
                <a:chExt cx="562869" cy="843365"/>
              </a:xfrm>
            </xdr:grpSpPr>
            <xdr:sp macro="" textlink="AA21">
              <xdr:nvSpPr>
                <xdr:cNvPr id="1781" name="Vertical FG">
                  <a:extLst>
                    <a:ext uri="{FF2B5EF4-FFF2-40B4-BE49-F238E27FC236}">
                      <a16:creationId xmlns:a16="http://schemas.microsoft.com/office/drawing/2014/main" id="{8AEE491B-6342-EE2A-B0CB-A0F0B4D0BCBA}"/>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23BC6CF-5B2C-489C-ACD1-9A0C1F83B1A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FG_Ver">
              <xdr:nvSpPr>
                <xdr:cNvPr id="1782" name="L_FG">
                  <a:extLst>
                    <a:ext uri="{FF2B5EF4-FFF2-40B4-BE49-F238E27FC236}">
                      <a16:creationId xmlns:a16="http://schemas.microsoft.com/office/drawing/2014/main" id="{41A0F1B0-690C-9104-F2F9-F3BD5C22E9E4}"/>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9E64977-AA83-40B4-9E9E-0F660F1B443F}" type="TxLink">
                    <a:rPr lang="en-US" sz="900" b="0" i="0" u="none" strike="noStrike">
                      <a:solidFill>
                        <a:srgbClr val="000000"/>
                      </a:solidFill>
                      <a:latin typeface="Calibri"/>
                      <a:ea typeface="Calibri"/>
                      <a:cs typeface="Calibri"/>
                    </a:rPr>
                    <a:pPr algn="ctr"/>
                    <a:t> </a:t>
                  </a:fld>
                  <a:endParaRPr lang="es-ES" sz="1100"/>
                </a:p>
              </xdr:txBody>
            </xdr:sp>
            <xdr:sp macro="" textlink="Z21">
              <xdr:nvSpPr>
                <xdr:cNvPr id="1783" name="Flecha FG">
                  <a:extLst>
                    <a:ext uri="{FF2B5EF4-FFF2-40B4-BE49-F238E27FC236}">
                      <a16:creationId xmlns:a16="http://schemas.microsoft.com/office/drawing/2014/main" id="{65174BB5-35AC-F36D-0EDA-BA96D13D810E}"/>
                    </a:ext>
                  </a:extLst>
                </xdr:cNvPr>
                <xdr:cNvSpPr txBox="1"/>
              </xdr:nvSpPr>
              <xdr:spPr>
                <a:xfrm rot="16200000">
                  <a:off x="9836442"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CA22EB8-66DC-4F33-9234-0B2EDFC526B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1">
              <xdr:nvSpPr>
                <xdr:cNvPr id="1784" name="Vertical FG">
                  <a:extLst>
                    <a:ext uri="{FF2B5EF4-FFF2-40B4-BE49-F238E27FC236}">
                      <a16:creationId xmlns:a16="http://schemas.microsoft.com/office/drawing/2014/main" id="{5A77C2BD-6BAD-56D0-AF83-C27CFEB9BCE4}"/>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067F3C4F-B9B2-4D52-8251-22F7882B7730}"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1">
            <xdr:nvSpPr>
              <xdr:cNvPr id="1780" name="F">
                <a:extLst>
                  <a:ext uri="{FF2B5EF4-FFF2-40B4-BE49-F238E27FC236}">
                    <a16:creationId xmlns:a16="http://schemas.microsoft.com/office/drawing/2014/main" id="{AA246E74-0636-ACBA-324D-94E008C107FA}"/>
                  </a:ext>
                </a:extLst>
              </xdr:cNvPr>
              <xdr:cNvSpPr txBox="1"/>
            </xdr:nvSpPr>
            <xdr:spPr>
              <a:xfrm>
                <a:off x="2144905" y="6082414"/>
                <a:ext cx="80314" cy="155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7862DE9-A6B6-4C94-B683-6F285A3081A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13" name="GH">
              <a:extLst>
                <a:ext uri="{FF2B5EF4-FFF2-40B4-BE49-F238E27FC236}">
                  <a16:creationId xmlns:a16="http://schemas.microsoft.com/office/drawing/2014/main" id="{6C306A97-82C0-8C08-03F8-F9D8C9D89ECF}"/>
                </a:ext>
              </a:extLst>
            </xdr:cNvPr>
            <xdr:cNvGrpSpPr/>
          </xdr:nvGrpSpPr>
          <xdr:grpSpPr>
            <a:xfrm>
              <a:off x="2823267" y="5581351"/>
              <a:ext cx="832124" cy="719892"/>
              <a:chOff x="2829314" y="5573285"/>
              <a:chExt cx="833133" cy="718084"/>
            </a:xfrm>
          </xdr:grpSpPr>
          <xdr:sp macro="" textlink="Y22">
            <xdr:nvSpPr>
              <xdr:cNvPr id="1771" name="Barra GH">
                <a:extLst>
                  <a:ext uri="{FF2B5EF4-FFF2-40B4-BE49-F238E27FC236}">
                    <a16:creationId xmlns:a16="http://schemas.microsoft.com/office/drawing/2014/main" id="{2A4DB35D-6F78-DCDF-D38D-1728AC0B9CAB}"/>
                  </a:ext>
                </a:extLst>
              </xdr:cNvPr>
              <xdr:cNvSpPr txBox="1"/>
            </xdr:nvSpPr>
            <xdr:spPr>
              <a:xfrm>
                <a:off x="2884132" y="6144500"/>
                <a:ext cx="705058" cy="146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D485DA8-4EAB-4F58-9963-44B732A1C71B}"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72" name="Cota">
                <a:extLst>
                  <a:ext uri="{FF2B5EF4-FFF2-40B4-BE49-F238E27FC236}">
                    <a16:creationId xmlns:a16="http://schemas.microsoft.com/office/drawing/2014/main" id="{76F2A2E7-8F32-881B-456D-B24821F87458}"/>
                  </a:ext>
                </a:extLst>
              </xdr:cNvPr>
              <xdr:cNvGrpSpPr/>
            </xdr:nvGrpSpPr>
            <xdr:grpSpPr>
              <a:xfrm rot="5400000">
                <a:off x="2965404" y="5437195"/>
                <a:ext cx="560953" cy="833133"/>
                <a:chOff x="10052795" y="7645975"/>
                <a:chExt cx="562869" cy="843365"/>
              </a:xfrm>
            </xdr:grpSpPr>
            <xdr:sp macro="" textlink="AA22">
              <xdr:nvSpPr>
                <xdr:cNvPr id="1774" name="Vertical GH">
                  <a:extLst>
                    <a:ext uri="{FF2B5EF4-FFF2-40B4-BE49-F238E27FC236}">
                      <a16:creationId xmlns:a16="http://schemas.microsoft.com/office/drawing/2014/main" id="{103EE197-E6AB-B37B-549B-07CF3100DBBA}"/>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79C4BA0-32F1-458B-BCEF-3F2BCF5357C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GH_Ver">
              <xdr:nvSpPr>
                <xdr:cNvPr id="1775" name="L_GH">
                  <a:extLst>
                    <a:ext uri="{FF2B5EF4-FFF2-40B4-BE49-F238E27FC236}">
                      <a16:creationId xmlns:a16="http://schemas.microsoft.com/office/drawing/2014/main" id="{C3E56253-D7C5-F259-8CD3-2A095310AD05}"/>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2080048-0BE5-4EBE-81FA-4FD543DAD156}" type="TxLink">
                    <a:rPr lang="en-US" sz="900" b="0" i="0" u="none" strike="noStrike">
                      <a:solidFill>
                        <a:srgbClr val="000000"/>
                      </a:solidFill>
                      <a:latin typeface="Calibri"/>
                      <a:ea typeface="Calibri"/>
                      <a:cs typeface="Calibri"/>
                    </a:rPr>
                    <a:pPr algn="ctr"/>
                    <a:t> </a:t>
                  </a:fld>
                  <a:endParaRPr lang="es-ES" sz="1100"/>
                </a:p>
              </xdr:txBody>
            </xdr:sp>
            <xdr:sp macro="" textlink="Z22">
              <xdr:nvSpPr>
                <xdr:cNvPr id="1776" name="Flecha GH">
                  <a:extLst>
                    <a:ext uri="{FF2B5EF4-FFF2-40B4-BE49-F238E27FC236}">
                      <a16:creationId xmlns:a16="http://schemas.microsoft.com/office/drawing/2014/main" id="{95DD7119-5DD8-1580-5753-6AB64F690954}"/>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AD451FA8-43EB-47BD-ADD3-D9FAC75E2C07}"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2">
              <xdr:nvSpPr>
                <xdr:cNvPr id="1777" name="Vertical GH">
                  <a:extLst>
                    <a:ext uri="{FF2B5EF4-FFF2-40B4-BE49-F238E27FC236}">
                      <a16:creationId xmlns:a16="http://schemas.microsoft.com/office/drawing/2014/main" id="{71979817-5467-BF5C-BC37-074D53EC6C2D}"/>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B9AC266-DEFF-4E20-9604-8548FD704EB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2">
            <xdr:nvSpPr>
              <xdr:cNvPr id="1773" name="G">
                <a:extLst>
                  <a:ext uri="{FF2B5EF4-FFF2-40B4-BE49-F238E27FC236}">
                    <a16:creationId xmlns:a16="http://schemas.microsoft.com/office/drawing/2014/main" id="{E6165BCC-CDF2-9EEE-73F8-89D287AFB87B}"/>
                  </a:ext>
                </a:extLst>
              </xdr:cNvPr>
              <xdr:cNvSpPr txBox="1"/>
            </xdr:nvSpPr>
            <xdr:spPr>
              <a:xfrm>
                <a:off x="2880380" y="6080315"/>
                <a:ext cx="80164" cy="1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D94B6C4-C25D-4265-BD81-F9CA7E9125D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14" name="HI">
              <a:extLst>
                <a:ext uri="{FF2B5EF4-FFF2-40B4-BE49-F238E27FC236}">
                  <a16:creationId xmlns:a16="http://schemas.microsoft.com/office/drawing/2014/main" id="{D1652C01-3A3A-2E6F-9A89-DDAC84D064CF}"/>
                </a:ext>
              </a:extLst>
            </xdr:cNvPr>
            <xdr:cNvGrpSpPr/>
          </xdr:nvGrpSpPr>
          <xdr:grpSpPr>
            <a:xfrm>
              <a:off x="3516789" y="5581245"/>
              <a:ext cx="834642" cy="722537"/>
              <a:chOff x="3516789" y="5581245"/>
              <a:chExt cx="834642" cy="722537"/>
            </a:xfrm>
          </xdr:grpSpPr>
          <xdr:sp macro="" textlink="Y23">
            <xdr:nvSpPr>
              <xdr:cNvPr id="1763" name="Barra HI">
                <a:extLst>
                  <a:ext uri="{FF2B5EF4-FFF2-40B4-BE49-F238E27FC236}">
                    <a16:creationId xmlns:a16="http://schemas.microsoft.com/office/drawing/2014/main" id="{094757E9-A379-C223-1A92-7EFEF8C8EC1B}"/>
                  </a:ext>
                </a:extLst>
              </xdr:cNvPr>
              <xdr:cNvSpPr txBox="1"/>
            </xdr:nvSpPr>
            <xdr:spPr>
              <a:xfrm>
                <a:off x="3571707" y="6156002"/>
                <a:ext cx="706336" cy="147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5D754A1-A461-4545-9FD2-EBC2A9A9C435}"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64" name="Cota">
                <a:extLst>
                  <a:ext uri="{FF2B5EF4-FFF2-40B4-BE49-F238E27FC236}">
                    <a16:creationId xmlns:a16="http://schemas.microsoft.com/office/drawing/2014/main" id="{3F7956DA-55AC-4C00-5DF6-C3F5BDD0B9E6}"/>
                  </a:ext>
                </a:extLst>
              </xdr:cNvPr>
              <xdr:cNvGrpSpPr/>
            </xdr:nvGrpSpPr>
            <xdr:grpSpPr>
              <a:xfrm rot="5400000">
                <a:off x="3651894" y="5446140"/>
                <a:ext cx="564431" cy="834642"/>
                <a:chOff x="10052795" y="7645975"/>
                <a:chExt cx="562869" cy="843365"/>
              </a:xfrm>
            </xdr:grpSpPr>
            <xdr:sp macro="" textlink="AA23">
              <xdr:nvSpPr>
                <xdr:cNvPr id="1767" name="Vertical HI">
                  <a:extLst>
                    <a:ext uri="{FF2B5EF4-FFF2-40B4-BE49-F238E27FC236}">
                      <a16:creationId xmlns:a16="http://schemas.microsoft.com/office/drawing/2014/main" id="{6948CC03-904B-ED34-249F-530D06165369}"/>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68A0A2-E164-4BE0-831B-FD244DD9D405}"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HI_Ver">
              <xdr:nvSpPr>
                <xdr:cNvPr id="1768" name="L_HI">
                  <a:extLst>
                    <a:ext uri="{FF2B5EF4-FFF2-40B4-BE49-F238E27FC236}">
                      <a16:creationId xmlns:a16="http://schemas.microsoft.com/office/drawing/2014/main" id="{A13F2513-F2DD-31F2-655D-7D2C0DE66A0D}"/>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1B26902-5A3A-4BE8-AAE2-639B701F5796}" type="TxLink">
                    <a:rPr lang="en-US" sz="900" b="0" i="0" u="none" strike="noStrike">
                      <a:solidFill>
                        <a:srgbClr val="000000"/>
                      </a:solidFill>
                      <a:latin typeface="Calibri"/>
                      <a:ea typeface="Calibri"/>
                      <a:cs typeface="Calibri"/>
                    </a:rPr>
                    <a:pPr algn="ctr"/>
                    <a:t> </a:t>
                  </a:fld>
                  <a:endParaRPr lang="es-ES" sz="1100"/>
                </a:p>
              </xdr:txBody>
            </xdr:sp>
            <xdr:sp macro="" textlink="Z23">
              <xdr:nvSpPr>
                <xdr:cNvPr id="1769" name="Flecha HI">
                  <a:extLst>
                    <a:ext uri="{FF2B5EF4-FFF2-40B4-BE49-F238E27FC236}">
                      <a16:creationId xmlns:a16="http://schemas.microsoft.com/office/drawing/2014/main" id="{DAF4C7A7-0144-1519-9AC1-31F7D1F6D2CF}"/>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61D91B5-1880-40AC-BB05-13DF3013DD26}"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3">
              <xdr:nvSpPr>
                <xdr:cNvPr id="1770" name="Vertical HI">
                  <a:extLst>
                    <a:ext uri="{FF2B5EF4-FFF2-40B4-BE49-F238E27FC236}">
                      <a16:creationId xmlns:a16="http://schemas.microsoft.com/office/drawing/2014/main" id="{F8A80C14-DA10-BA45-3EF6-36C1A5C3192E}"/>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72CEEE-3050-45F9-A312-B707D07567AF}"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4">
            <xdr:nvSpPr>
              <xdr:cNvPr id="1765" name="I">
                <a:extLst>
                  <a:ext uri="{FF2B5EF4-FFF2-40B4-BE49-F238E27FC236}">
                    <a16:creationId xmlns:a16="http://schemas.microsoft.com/office/drawing/2014/main" id="{F8A9252D-7AD6-8CA0-7679-3DC749A94DFE}"/>
                  </a:ext>
                </a:extLst>
              </xdr:cNvPr>
              <xdr:cNvSpPr txBox="1"/>
            </xdr:nvSpPr>
            <xdr:spPr>
              <a:xfrm>
                <a:off x="4200821" y="6077426"/>
                <a:ext cx="80310" cy="156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D2E3662-723B-4A52-A11A-505F5CFCEC6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V$23">
            <xdr:nvSpPr>
              <xdr:cNvPr id="1766" name="H">
                <a:extLst>
                  <a:ext uri="{FF2B5EF4-FFF2-40B4-BE49-F238E27FC236}">
                    <a16:creationId xmlns:a16="http://schemas.microsoft.com/office/drawing/2014/main" id="{99493301-B5FE-F2C9-DCD4-6A42A4474579}"/>
                  </a:ext>
                </a:extLst>
              </xdr:cNvPr>
              <xdr:cNvSpPr txBox="1"/>
            </xdr:nvSpPr>
            <xdr:spPr>
              <a:xfrm>
                <a:off x="3531387" y="6092357"/>
                <a:ext cx="80310" cy="156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0966678-12B5-4FD9-80AA-FBD04E725B0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15" name="GJ">
              <a:extLst>
                <a:ext uri="{FF2B5EF4-FFF2-40B4-BE49-F238E27FC236}">
                  <a16:creationId xmlns:a16="http://schemas.microsoft.com/office/drawing/2014/main" id="{6C854D1A-147E-2E3A-23F8-E5B32638DD3C}"/>
                </a:ext>
              </a:extLst>
            </xdr:cNvPr>
            <xdr:cNvGrpSpPr/>
          </xdr:nvGrpSpPr>
          <xdr:grpSpPr>
            <a:xfrm>
              <a:off x="2215821" y="6178904"/>
              <a:ext cx="752912" cy="910214"/>
              <a:chOff x="2220861" y="6169832"/>
              <a:chExt cx="753920" cy="905175"/>
            </a:xfrm>
          </xdr:grpSpPr>
          <xdr:sp macro="" textlink="Y24">
            <xdr:nvSpPr>
              <xdr:cNvPr id="1756" name="Barra GJ">
                <a:extLst>
                  <a:ext uri="{FF2B5EF4-FFF2-40B4-BE49-F238E27FC236}">
                    <a16:creationId xmlns:a16="http://schemas.microsoft.com/office/drawing/2014/main" id="{F28810AA-92A2-7F64-FCF0-83066500F41C}"/>
                  </a:ext>
                </a:extLst>
              </xdr:cNvPr>
              <xdr:cNvSpPr txBox="1"/>
            </xdr:nvSpPr>
            <xdr:spPr>
              <a:xfrm rot="16200000">
                <a:off x="2513329" y="6522661"/>
                <a:ext cx="706003" cy="147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3611BA8-CA19-4719-9308-2A9E616E8D7E}"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57" name="Cota">
                <a:extLst>
                  <a:ext uri="{FF2B5EF4-FFF2-40B4-BE49-F238E27FC236}">
                    <a16:creationId xmlns:a16="http://schemas.microsoft.com/office/drawing/2014/main" id="{68F5FDDA-BCF9-421E-BB57-DE2D7A7C1F44}"/>
                  </a:ext>
                </a:extLst>
              </xdr:cNvPr>
              <xdr:cNvGrpSpPr/>
            </xdr:nvGrpSpPr>
            <xdr:grpSpPr>
              <a:xfrm>
                <a:off x="2220861" y="6169832"/>
                <a:ext cx="561671" cy="834250"/>
                <a:chOff x="10052796" y="7645975"/>
                <a:chExt cx="562877" cy="843365"/>
              </a:xfrm>
            </xdr:grpSpPr>
            <xdr:sp macro="" textlink="AA24">
              <xdr:nvSpPr>
                <xdr:cNvPr id="1759" name="Vertical GJ">
                  <a:extLst>
                    <a:ext uri="{FF2B5EF4-FFF2-40B4-BE49-F238E27FC236}">
                      <a16:creationId xmlns:a16="http://schemas.microsoft.com/office/drawing/2014/main" id="{27C13C84-34BA-430C-8C8C-1F084A6596EA}"/>
                    </a:ext>
                  </a:extLst>
                </xdr:cNvPr>
                <xdr:cNvSpPr txBox="1"/>
              </xdr:nvSpPr>
              <xdr:spPr>
                <a:xfrm>
                  <a:off x="10103089"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7972329-D07C-4A22-94A3-D666846F02B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GJ_Ver">
              <xdr:nvSpPr>
                <xdr:cNvPr id="1760" name="L_GJ">
                  <a:extLst>
                    <a:ext uri="{FF2B5EF4-FFF2-40B4-BE49-F238E27FC236}">
                      <a16:creationId xmlns:a16="http://schemas.microsoft.com/office/drawing/2014/main" id="{F18C117E-A40B-0B85-5700-E919CEC5C146}"/>
                    </a:ext>
                  </a:extLst>
                </xdr:cNvPr>
                <xdr:cNvSpPr txBox="1"/>
              </xdr:nvSpPr>
              <xdr:spPr>
                <a:xfrm rot="16200000">
                  <a:off x="9776749" y="8002805"/>
                  <a:ext cx="698093"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2F25087-0E2F-483E-9C55-08965E2F2909}" type="TxLink">
                    <a:rPr lang="en-US" sz="900" b="0" i="0" u="none" strike="noStrike">
                      <a:solidFill>
                        <a:srgbClr val="000000"/>
                      </a:solidFill>
                      <a:latin typeface="Calibri"/>
                      <a:ea typeface="Calibri"/>
                      <a:cs typeface="Calibri"/>
                    </a:rPr>
                    <a:pPr algn="ctr"/>
                    <a:t> </a:t>
                  </a:fld>
                  <a:endParaRPr lang="es-ES" sz="1100"/>
                </a:p>
              </xdr:txBody>
            </xdr:sp>
            <xdr:sp macro="" textlink="Z24">
              <xdr:nvSpPr>
                <xdr:cNvPr id="1761" name="Flecha GJ">
                  <a:extLst>
                    <a:ext uri="{FF2B5EF4-FFF2-40B4-BE49-F238E27FC236}">
                      <a16:creationId xmlns:a16="http://schemas.microsoft.com/office/drawing/2014/main" id="{5CD30A65-2894-83F5-D025-8E9AB98B5672}"/>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76C607B-3B88-4918-956B-5729766580B4}"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4">
              <xdr:nvSpPr>
                <xdr:cNvPr id="1762" name="Vertical GJ">
                  <a:extLst>
                    <a:ext uri="{FF2B5EF4-FFF2-40B4-BE49-F238E27FC236}">
                      <a16:creationId xmlns:a16="http://schemas.microsoft.com/office/drawing/2014/main" id="{4EDF025C-591E-281E-4F58-3130A6A4D771}"/>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2BE8732-3551-4036-A962-0BADA2FDD8B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5">
            <xdr:nvSpPr>
              <xdr:cNvPr id="1758" name="J">
                <a:extLst>
                  <a:ext uri="{FF2B5EF4-FFF2-40B4-BE49-F238E27FC236}">
                    <a16:creationId xmlns:a16="http://schemas.microsoft.com/office/drawing/2014/main" id="{9F7040EA-D7FE-4751-6BE3-695BDC0F7062}"/>
                  </a:ext>
                </a:extLst>
              </xdr:cNvPr>
              <xdr:cNvSpPr txBox="1"/>
            </xdr:nvSpPr>
            <xdr:spPr>
              <a:xfrm>
                <a:off x="2894636" y="6918977"/>
                <a:ext cx="80145" cy="156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9E3D112-0CFC-4434-882F-47015567202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16" name="JK">
              <a:extLst>
                <a:ext uri="{FF2B5EF4-FFF2-40B4-BE49-F238E27FC236}">
                  <a16:creationId xmlns:a16="http://schemas.microsoft.com/office/drawing/2014/main" id="{FCA35F99-B76C-1D90-0B65-3B40A740DD91}"/>
                </a:ext>
              </a:extLst>
            </xdr:cNvPr>
            <xdr:cNvGrpSpPr/>
          </xdr:nvGrpSpPr>
          <xdr:grpSpPr>
            <a:xfrm>
              <a:off x="2215740" y="6878393"/>
              <a:ext cx="717892" cy="838042"/>
              <a:chOff x="2220780" y="6865289"/>
              <a:chExt cx="718900" cy="834011"/>
            </a:xfrm>
          </xdr:grpSpPr>
          <xdr:sp macro="" textlink="Y25">
            <xdr:nvSpPr>
              <xdr:cNvPr id="1749" name="Barra JK">
                <a:extLst>
                  <a:ext uri="{FF2B5EF4-FFF2-40B4-BE49-F238E27FC236}">
                    <a16:creationId xmlns:a16="http://schemas.microsoft.com/office/drawing/2014/main" id="{121A0D2C-8E3F-3E47-379F-BD47C9631AD3}"/>
                  </a:ext>
                </a:extLst>
              </xdr:cNvPr>
              <xdr:cNvSpPr txBox="1"/>
            </xdr:nvSpPr>
            <xdr:spPr>
              <a:xfrm rot="16200000">
                <a:off x="2513262" y="7218006"/>
                <a:ext cx="705801" cy="147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253C14B-78CE-4924-85C9-867775EECFC2}"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50" name="Cota">
                <a:extLst>
                  <a:ext uri="{FF2B5EF4-FFF2-40B4-BE49-F238E27FC236}">
                    <a16:creationId xmlns:a16="http://schemas.microsoft.com/office/drawing/2014/main" id="{B6A64206-AF5A-5C8B-5A69-A0620E11B1C6}"/>
                  </a:ext>
                </a:extLst>
              </xdr:cNvPr>
              <xdr:cNvGrpSpPr/>
            </xdr:nvGrpSpPr>
            <xdr:grpSpPr>
              <a:xfrm>
                <a:off x="2220780" y="6865289"/>
                <a:ext cx="561595" cy="834011"/>
                <a:chOff x="10052796" y="7645975"/>
                <a:chExt cx="562877" cy="843365"/>
              </a:xfrm>
            </xdr:grpSpPr>
            <xdr:sp macro="" textlink="AA25">
              <xdr:nvSpPr>
                <xdr:cNvPr id="1752" name="Vertical JK">
                  <a:extLst>
                    <a:ext uri="{FF2B5EF4-FFF2-40B4-BE49-F238E27FC236}">
                      <a16:creationId xmlns:a16="http://schemas.microsoft.com/office/drawing/2014/main" id="{01CC0E50-7633-E92D-8019-5CCAC1C07611}"/>
                    </a:ext>
                  </a:extLst>
                </xdr:cNvPr>
                <xdr:cNvSpPr txBox="1"/>
              </xdr:nvSpPr>
              <xdr:spPr>
                <a:xfrm>
                  <a:off x="10103089"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391A7E9-6574-4215-B080-47C603F508E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JK_Ver">
              <xdr:nvSpPr>
                <xdr:cNvPr id="1753" name="L_JK">
                  <a:extLst>
                    <a:ext uri="{FF2B5EF4-FFF2-40B4-BE49-F238E27FC236}">
                      <a16:creationId xmlns:a16="http://schemas.microsoft.com/office/drawing/2014/main" id="{EC4DFD65-AFFA-8286-5955-435568123933}"/>
                    </a:ext>
                  </a:extLst>
                </xdr:cNvPr>
                <xdr:cNvSpPr txBox="1"/>
              </xdr:nvSpPr>
              <xdr:spPr>
                <a:xfrm rot="16200000">
                  <a:off x="977674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0B02512-AB92-40F9-A5C8-14807A2D2052}" type="TxLink">
                    <a:rPr lang="en-US" sz="900" b="0" i="0" u="none" strike="noStrike">
                      <a:solidFill>
                        <a:srgbClr val="000000"/>
                      </a:solidFill>
                      <a:latin typeface="Calibri"/>
                      <a:ea typeface="Calibri"/>
                      <a:cs typeface="Calibri"/>
                    </a:rPr>
                    <a:pPr algn="ctr"/>
                    <a:t> </a:t>
                  </a:fld>
                  <a:endParaRPr lang="es-ES" sz="1100"/>
                </a:p>
              </xdr:txBody>
            </xdr:sp>
            <xdr:sp macro="" textlink="Z25">
              <xdr:nvSpPr>
                <xdr:cNvPr id="1754" name="Flecha JK">
                  <a:extLst>
                    <a:ext uri="{FF2B5EF4-FFF2-40B4-BE49-F238E27FC236}">
                      <a16:creationId xmlns:a16="http://schemas.microsoft.com/office/drawing/2014/main" id="{6163697D-3E45-B19D-968C-954BD5870C8F}"/>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D80F680-38DF-4822-9046-3685B5E3E5F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5">
              <xdr:nvSpPr>
                <xdr:cNvPr id="1755" name="Vertical JK">
                  <a:extLst>
                    <a:ext uri="{FF2B5EF4-FFF2-40B4-BE49-F238E27FC236}">
                      <a16:creationId xmlns:a16="http://schemas.microsoft.com/office/drawing/2014/main" id="{28D18206-3232-0D95-10E3-B1CDCAC25480}"/>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4371130B-3E37-43ED-9CB5-7CD3DCE57912}"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6">
            <xdr:nvSpPr>
              <xdr:cNvPr id="1751" name="K">
                <a:extLst>
                  <a:ext uri="{FF2B5EF4-FFF2-40B4-BE49-F238E27FC236}">
                    <a16:creationId xmlns:a16="http://schemas.microsoft.com/office/drawing/2014/main" id="{453B075B-DA8F-62AE-790A-53176756B998}"/>
                  </a:ext>
                </a:extLst>
              </xdr:cNvPr>
              <xdr:cNvSpPr txBox="1"/>
            </xdr:nvSpPr>
            <xdr:spPr>
              <a:xfrm>
                <a:off x="2780293" y="7521779"/>
                <a:ext cx="80134" cy="155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13EE75C-04AD-4B0A-A602-A874C6218298}"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17" name="KL">
              <a:extLst>
                <a:ext uri="{FF2B5EF4-FFF2-40B4-BE49-F238E27FC236}">
                  <a16:creationId xmlns:a16="http://schemas.microsoft.com/office/drawing/2014/main" id="{974337B0-0B2C-A4E6-08F8-2A947012362C}"/>
                </a:ext>
              </a:extLst>
            </xdr:cNvPr>
            <xdr:cNvGrpSpPr/>
          </xdr:nvGrpSpPr>
          <xdr:grpSpPr>
            <a:xfrm>
              <a:off x="2812617" y="7061886"/>
              <a:ext cx="836290" cy="651783"/>
              <a:chOff x="2818664" y="7047775"/>
              <a:chExt cx="837299" cy="648759"/>
            </a:xfrm>
          </xdr:grpSpPr>
          <xdr:sp macro="" textlink="Y26">
            <xdr:nvSpPr>
              <xdr:cNvPr id="1743" name="Barra KL">
                <a:extLst>
                  <a:ext uri="{FF2B5EF4-FFF2-40B4-BE49-F238E27FC236}">
                    <a16:creationId xmlns:a16="http://schemas.microsoft.com/office/drawing/2014/main" id="{6C7FF833-A75A-6D7A-B176-169DDD19B18E}"/>
                  </a:ext>
                </a:extLst>
              </xdr:cNvPr>
              <xdr:cNvSpPr txBox="1"/>
            </xdr:nvSpPr>
            <xdr:spPr>
              <a:xfrm>
                <a:off x="2873758" y="7549606"/>
                <a:ext cx="708590" cy="146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A6A2AFC-7E27-430C-9C46-61DB280C7070}"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44" name="Cota">
                <a:extLst>
                  <a:ext uri="{FF2B5EF4-FFF2-40B4-BE49-F238E27FC236}">
                    <a16:creationId xmlns:a16="http://schemas.microsoft.com/office/drawing/2014/main" id="{CD158A32-91E1-3C83-40C9-2677DEBE7C57}"/>
                  </a:ext>
                </a:extLst>
              </xdr:cNvPr>
              <xdr:cNvGrpSpPr/>
            </xdr:nvGrpSpPr>
            <xdr:grpSpPr>
              <a:xfrm rot="5400000">
                <a:off x="2956731" y="6909708"/>
                <a:ext cx="561165" cy="837299"/>
                <a:chOff x="10122615" y="7645983"/>
                <a:chExt cx="562857" cy="843357"/>
              </a:xfrm>
            </xdr:grpSpPr>
            <xdr:sp macro="" textlink="AA26">
              <xdr:nvSpPr>
                <xdr:cNvPr id="1745" name="Vertical KL">
                  <a:extLst>
                    <a:ext uri="{FF2B5EF4-FFF2-40B4-BE49-F238E27FC236}">
                      <a16:creationId xmlns:a16="http://schemas.microsoft.com/office/drawing/2014/main" id="{92DA2FEB-750A-EA22-B3E8-A61545C00E86}"/>
                    </a:ext>
                  </a:extLst>
                </xdr:cNvPr>
                <xdr:cNvSpPr txBox="1"/>
              </xdr:nvSpPr>
              <xdr:spPr>
                <a:xfrm>
                  <a:off x="10172888" y="7645983"/>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4ADBD9D-24FA-4FE0-9235-10962D0AC31F}"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KL_Ver">
              <xdr:nvSpPr>
                <xdr:cNvPr id="1746" name="L_KL">
                  <a:extLst>
                    <a:ext uri="{FF2B5EF4-FFF2-40B4-BE49-F238E27FC236}">
                      <a16:creationId xmlns:a16="http://schemas.microsoft.com/office/drawing/2014/main" id="{75CECB06-5C6D-84C2-50D3-4447999B31C9}"/>
                    </a:ext>
                  </a:extLst>
                </xdr:cNvPr>
                <xdr:cNvSpPr txBox="1"/>
              </xdr:nvSpPr>
              <xdr:spPr>
                <a:xfrm rot="16200000">
                  <a:off x="9846568" y="8002800"/>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C0BC6DE-8593-46D9-8672-B75231D20A15}" type="TxLink">
                    <a:rPr lang="en-US" sz="900" b="0" i="0" u="none" strike="noStrike">
                      <a:solidFill>
                        <a:srgbClr val="000000"/>
                      </a:solidFill>
                      <a:latin typeface="Calibri"/>
                      <a:ea typeface="Calibri"/>
                      <a:cs typeface="Calibri"/>
                    </a:rPr>
                    <a:pPr algn="ctr"/>
                    <a:t> </a:t>
                  </a:fld>
                  <a:endParaRPr lang="es-ES" sz="1100"/>
                </a:p>
              </xdr:txBody>
            </xdr:sp>
            <xdr:sp macro="" textlink="Z26">
              <xdr:nvSpPr>
                <xdr:cNvPr id="1747" name="Flecha KL">
                  <a:extLst>
                    <a:ext uri="{FF2B5EF4-FFF2-40B4-BE49-F238E27FC236}">
                      <a16:creationId xmlns:a16="http://schemas.microsoft.com/office/drawing/2014/main" id="{EEB43BB0-BE78-161C-E3E8-3F0071919581}"/>
                    </a:ext>
                  </a:extLst>
                </xdr:cNvPr>
                <xdr:cNvSpPr txBox="1"/>
              </xdr:nvSpPr>
              <xdr:spPr>
                <a:xfrm rot="16200000">
                  <a:off x="9906251" y="8002411"/>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8E76BBD-9B64-4807-9391-3C9AF619BEF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6">
              <xdr:nvSpPr>
                <xdr:cNvPr id="1748" name="Vertical KL">
                  <a:extLst>
                    <a:ext uri="{FF2B5EF4-FFF2-40B4-BE49-F238E27FC236}">
                      <a16:creationId xmlns:a16="http://schemas.microsoft.com/office/drawing/2014/main" id="{0403DAAF-0C85-C288-E42C-E35A11265B45}"/>
                    </a:ext>
                  </a:extLst>
                </xdr:cNvPr>
                <xdr:cNvSpPr txBox="1"/>
              </xdr:nvSpPr>
              <xdr:spPr>
                <a:xfrm>
                  <a:off x="1016932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8E2B627A-C2A1-45E7-B410-1842A204460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grpSp>
        <xdr:grpSp>
          <xdr:nvGrpSpPr>
            <xdr:cNvPr id="1718" name="LM">
              <a:extLst>
                <a:ext uri="{FF2B5EF4-FFF2-40B4-BE49-F238E27FC236}">
                  <a16:creationId xmlns:a16="http://schemas.microsoft.com/office/drawing/2014/main" id="{40F1011A-00B7-9CF1-C5E7-041956880977}"/>
                </a:ext>
              </a:extLst>
            </xdr:cNvPr>
            <xdr:cNvGrpSpPr/>
          </xdr:nvGrpSpPr>
          <xdr:grpSpPr>
            <a:xfrm>
              <a:off x="3489580" y="7061813"/>
              <a:ext cx="853805" cy="653165"/>
              <a:chOff x="3496636" y="7047702"/>
              <a:chExt cx="854812" cy="650141"/>
            </a:xfrm>
          </xdr:grpSpPr>
          <xdr:sp macro="" textlink="Y27">
            <xdr:nvSpPr>
              <xdr:cNvPr id="1736" name="Barra LM">
                <a:extLst>
                  <a:ext uri="{FF2B5EF4-FFF2-40B4-BE49-F238E27FC236}">
                    <a16:creationId xmlns:a16="http://schemas.microsoft.com/office/drawing/2014/main" id="{BE356007-5579-6494-888E-1053BE8E5694}"/>
                  </a:ext>
                </a:extLst>
              </xdr:cNvPr>
              <xdr:cNvSpPr txBox="1"/>
            </xdr:nvSpPr>
            <xdr:spPr>
              <a:xfrm>
                <a:off x="3570253" y="7550804"/>
                <a:ext cx="707687" cy="147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82BD075-4FB9-4E84-8A14-81E26110C192}"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37" name="Cota">
                <a:extLst>
                  <a:ext uri="{FF2B5EF4-FFF2-40B4-BE49-F238E27FC236}">
                    <a16:creationId xmlns:a16="http://schemas.microsoft.com/office/drawing/2014/main" id="{6C4ACA29-5390-2A29-5C1F-70E62C639516}"/>
                  </a:ext>
                </a:extLst>
              </xdr:cNvPr>
              <xdr:cNvGrpSpPr/>
            </xdr:nvGrpSpPr>
            <xdr:grpSpPr>
              <a:xfrm rot="5400000">
                <a:off x="3677285" y="6885644"/>
                <a:ext cx="512105" cy="836221"/>
                <a:chOff x="10121721" y="7645996"/>
                <a:chExt cx="513259" cy="843346"/>
              </a:xfrm>
            </xdr:grpSpPr>
            <xdr:sp macro="" textlink="AA27">
              <xdr:nvSpPr>
                <xdr:cNvPr id="1739" name="Vertical LM">
                  <a:extLst>
                    <a:ext uri="{FF2B5EF4-FFF2-40B4-BE49-F238E27FC236}">
                      <a16:creationId xmlns:a16="http://schemas.microsoft.com/office/drawing/2014/main" id="{ED29D38B-ABB2-D588-3302-5CC76B7E4BE8}"/>
                    </a:ext>
                  </a:extLst>
                </xdr:cNvPr>
                <xdr:cNvSpPr txBox="1"/>
              </xdr:nvSpPr>
              <xdr:spPr>
                <a:xfrm>
                  <a:off x="10122396" y="7645996"/>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B8A0585-6AFE-4BF2-9015-C29FA19254E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LM_Ver">
              <xdr:nvSpPr>
                <xdr:cNvPr id="1740" name="L_LM">
                  <a:extLst>
                    <a:ext uri="{FF2B5EF4-FFF2-40B4-BE49-F238E27FC236}">
                      <a16:creationId xmlns:a16="http://schemas.microsoft.com/office/drawing/2014/main" id="{BEE627D0-D181-2E88-E093-72BFAC158715}"/>
                    </a:ext>
                  </a:extLst>
                </xdr:cNvPr>
                <xdr:cNvSpPr txBox="1"/>
              </xdr:nvSpPr>
              <xdr:spPr>
                <a:xfrm rot="16200000">
                  <a:off x="9845674" y="8002808"/>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181E652-10F8-449A-91D3-29C1E1E739B3}" type="TxLink">
                    <a:rPr lang="en-US" sz="900" b="0" i="0" u="none" strike="noStrike">
                      <a:solidFill>
                        <a:srgbClr val="000000"/>
                      </a:solidFill>
                      <a:latin typeface="Calibri"/>
                      <a:ea typeface="Calibri"/>
                      <a:cs typeface="Calibri"/>
                    </a:rPr>
                    <a:pPr algn="ctr"/>
                    <a:t> </a:t>
                  </a:fld>
                  <a:endParaRPr lang="es-ES" sz="1100"/>
                </a:p>
              </xdr:txBody>
            </xdr:sp>
            <xdr:sp macro="" textlink="Z27">
              <xdr:nvSpPr>
                <xdr:cNvPr id="1741" name="Flecha LM">
                  <a:extLst>
                    <a:ext uri="{FF2B5EF4-FFF2-40B4-BE49-F238E27FC236}">
                      <a16:creationId xmlns:a16="http://schemas.microsoft.com/office/drawing/2014/main" id="{344EE952-A343-1E87-A341-D16C0BAEDC3A}"/>
                    </a:ext>
                  </a:extLst>
                </xdr:cNvPr>
                <xdr:cNvSpPr txBox="1"/>
              </xdr:nvSpPr>
              <xdr:spPr>
                <a:xfrm rot="16200000">
                  <a:off x="9905358" y="8002421"/>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33BF6DB-C7CC-44F2-93CE-F5CDAD7D2458}"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7">
              <xdr:nvSpPr>
                <xdr:cNvPr id="1742" name="Vertical LM">
                  <a:extLst>
                    <a:ext uri="{FF2B5EF4-FFF2-40B4-BE49-F238E27FC236}">
                      <a16:creationId xmlns:a16="http://schemas.microsoft.com/office/drawing/2014/main" id="{4BDCA1BF-9F15-76D8-6D43-0184DA25DA97}"/>
                    </a:ext>
                  </a:extLst>
                </xdr:cNvPr>
                <xdr:cNvSpPr txBox="1"/>
              </xdr:nvSpPr>
              <xdr:spPr>
                <a:xfrm>
                  <a:off x="10123802" y="8337377"/>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F27DDA4-EF61-43A6-BF2C-C677AF1A57E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7">
            <xdr:nvSpPr>
              <xdr:cNvPr id="1738" name="L">
                <a:extLst>
                  <a:ext uri="{FF2B5EF4-FFF2-40B4-BE49-F238E27FC236}">
                    <a16:creationId xmlns:a16="http://schemas.microsoft.com/office/drawing/2014/main" id="{606463F3-1ACB-DDA7-5581-DEFE966F848A}"/>
                  </a:ext>
                </a:extLst>
              </xdr:cNvPr>
              <xdr:cNvSpPr txBox="1"/>
            </xdr:nvSpPr>
            <xdr:spPr>
              <a:xfrm>
                <a:off x="3496636" y="7487480"/>
                <a:ext cx="80463" cy="155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7EB152C-8523-4B0A-9993-CC4FF908E382}"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19" name="MN">
              <a:extLst>
                <a:ext uri="{FF2B5EF4-FFF2-40B4-BE49-F238E27FC236}">
                  <a16:creationId xmlns:a16="http://schemas.microsoft.com/office/drawing/2014/main" id="{673035AA-1A6F-496F-086B-69202CBFDCCB}"/>
                </a:ext>
              </a:extLst>
            </xdr:cNvPr>
            <xdr:cNvGrpSpPr/>
          </xdr:nvGrpSpPr>
          <xdr:grpSpPr>
            <a:xfrm>
              <a:off x="4194970" y="7034301"/>
              <a:ext cx="841046" cy="680461"/>
              <a:chOff x="4194970" y="7059501"/>
              <a:chExt cx="841046" cy="680461"/>
            </a:xfrm>
          </xdr:grpSpPr>
          <xdr:sp macro="" textlink="Y28">
            <xdr:nvSpPr>
              <xdr:cNvPr id="1728" name="Barra MN">
                <a:extLst>
                  <a:ext uri="{FF2B5EF4-FFF2-40B4-BE49-F238E27FC236}">
                    <a16:creationId xmlns:a16="http://schemas.microsoft.com/office/drawing/2014/main" id="{C01E70D5-A573-8ED8-048D-758270A84F37}"/>
                  </a:ext>
                </a:extLst>
              </xdr:cNvPr>
              <xdr:cNvSpPr txBox="1"/>
            </xdr:nvSpPr>
            <xdr:spPr>
              <a:xfrm>
                <a:off x="4257925" y="7592116"/>
                <a:ext cx="704831" cy="147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0A295C7-8CF2-4018-954C-DC4378183846}"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29" name="Cota">
                <a:extLst>
                  <a:ext uri="{FF2B5EF4-FFF2-40B4-BE49-F238E27FC236}">
                    <a16:creationId xmlns:a16="http://schemas.microsoft.com/office/drawing/2014/main" id="{B556DDE8-F2F7-7E11-46A0-D16B865A8F92}"/>
                  </a:ext>
                </a:extLst>
              </xdr:cNvPr>
              <xdr:cNvGrpSpPr/>
            </xdr:nvGrpSpPr>
            <xdr:grpSpPr>
              <a:xfrm rot="5400000">
                <a:off x="4353596" y="6909038"/>
                <a:ext cx="531958" cy="832883"/>
                <a:chOff x="10118937" y="7645967"/>
                <a:chExt cx="530258" cy="843384"/>
              </a:xfrm>
            </xdr:grpSpPr>
            <xdr:sp macro="" textlink="AA28">
              <xdr:nvSpPr>
                <xdr:cNvPr id="1732" name="Vertical MN">
                  <a:extLst>
                    <a:ext uri="{FF2B5EF4-FFF2-40B4-BE49-F238E27FC236}">
                      <a16:creationId xmlns:a16="http://schemas.microsoft.com/office/drawing/2014/main" id="{328D58FF-90C2-939C-7B28-67B686DEDBE4}"/>
                    </a:ext>
                  </a:extLst>
                </xdr:cNvPr>
                <xdr:cNvSpPr txBox="1"/>
              </xdr:nvSpPr>
              <xdr:spPr>
                <a:xfrm>
                  <a:off x="10136611" y="7645967"/>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3ACD596-092C-4F13-9C89-728A616D0502}"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MN_Ver">
              <xdr:nvSpPr>
                <xdr:cNvPr id="1733" name="L_MN">
                  <a:extLst>
                    <a:ext uri="{FF2B5EF4-FFF2-40B4-BE49-F238E27FC236}">
                      <a16:creationId xmlns:a16="http://schemas.microsoft.com/office/drawing/2014/main" id="{486DD8C6-87F4-4622-1F8E-9338A5BE38F0}"/>
                    </a:ext>
                  </a:extLst>
                </xdr:cNvPr>
                <xdr:cNvSpPr txBox="1"/>
              </xdr:nvSpPr>
              <xdr:spPr>
                <a:xfrm rot="16200000">
                  <a:off x="9842890" y="8002811"/>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BFD9715-D08A-45C1-BB76-52C344DF0FC9}" type="TxLink">
                    <a:rPr lang="en-US" sz="900" b="0" i="0" u="none" strike="noStrike">
                      <a:solidFill>
                        <a:srgbClr val="000000"/>
                      </a:solidFill>
                      <a:latin typeface="Calibri"/>
                      <a:ea typeface="Calibri"/>
                      <a:cs typeface="Calibri"/>
                    </a:rPr>
                    <a:pPr algn="ctr"/>
                    <a:t> </a:t>
                  </a:fld>
                  <a:endParaRPr lang="es-ES" sz="1100"/>
                </a:p>
              </xdr:txBody>
            </xdr:sp>
            <xdr:sp macro="" textlink="Z28">
              <xdr:nvSpPr>
                <xdr:cNvPr id="1734" name="Flecha MN">
                  <a:extLst>
                    <a:ext uri="{FF2B5EF4-FFF2-40B4-BE49-F238E27FC236}">
                      <a16:creationId xmlns:a16="http://schemas.microsoft.com/office/drawing/2014/main" id="{22786DBB-6AC5-A342-C17E-7C86DF2C08B5}"/>
                    </a:ext>
                  </a:extLst>
                </xdr:cNvPr>
                <xdr:cNvSpPr txBox="1"/>
              </xdr:nvSpPr>
              <xdr:spPr>
                <a:xfrm rot="16200000">
                  <a:off x="9929478"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DF8E5013-32A0-465B-9F0F-A25C194597B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8">
              <xdr:nvSpPr>
                <xdr:cNvPr id="1735" name="Vertical MN">
                  <a:extLst>
                    <a:ext uri="{FF2B5EF4-FFF2-40B4-BE49-F238E27FC236}">
                      <a16:creationId xmlns:a16="http://schemas.microsoft.com/office/drawing/2014/main" id="{8BAEB602-C6AA-6A51-B528-D032D33725AF}"/>
                    </a:ext>
                  </a:extLst>
                </xdr:cNvPr>
                <xdr:cNvSpPr txBox="1"/>
              </xdr:nvSpPr>
              <xdr:spPr>
                <a:xfrm>
                  <a:off x="10138099" y="8337386"/>
                  <a:ext cx="507970"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F42D038-2305-4F4E-9BB5-2C096E9C0DF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9">
            <xdr:nvSpPr>
              <xdr:cNvPr id="1730" name="N">
                <a:extLst>
                  <a:ext uri="{FF2B5EF4-FFF2-40B4-BE49-F238E27FC236}">
                    <a16:creationId xmlns:a16="http://schemas.microsoft.com/office/drawing/2014/main" id="{AA703EC2-E09E-8206-2B17-53863D190241}"/>
                  </a:ext>
                </a:extLst>
              </xdr:cNvPr>
              <xdr:cNvSpPr txBox="1"/>
            </xdr:nvSpPr>
            <xdr:spPr>
              <a:xfrm>
                <a:off x="4864457" y="7444586"/>
                <a:ext cx="80138" cy="156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5FB8E99-A737-4F33-880F-F628AF56C5F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V28">
            <xdr:nvSpPr>
              <xdr:cNvPr id="1731" name="M">
                <a:extLst>
                  <a:ext uri="{FF2B5EF4-FFF2-40B4-BE49-F238E27FC236}">
                    <a16:creationId xmlns:a16="http://schemas.microsoft.com/office/drawing/2014/main" id="{CEB8C18A-FC0C-3AF3-3273-F3995E32B15E}"/>
                  </a:ext>
                </a:extLst>
              </xdr:cNvPr>
              <xdr:cNvSpPr txBox="1"/>
            </xdr:nvSpPr>
            <xdr:spPr>
              <a:xfrm>
                <a:off x="4194970" y="7504611"/>
                <a:ext cx="145141" cy="156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820B20D-74B0-4385-8DBD-438381F77308}"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720" name="MO">
              <a:extLst>
                <a:ext uri="{FF2B5EF4-FFF2-40B4-BE49-F238E27FC236}">
                  <a16:creationId xmlns:a16="http://schemas.microsoft.com/office/drawing/2014/main" id="{27BBEA96-F70D-153B-E41A-E56AB37CE394}"/>
                </a:ext>
              </a:extLst>
            </xdr:cNvPr>
            <xdr:cNvGrpSpPr/>
          </xdr:nvGrpSpPr>
          <xdr:grpSpPr>
            <a:xfrm>
              <a:off x="3597704" y="7592585"/>
              <a:ext cx="779962" cy="833421"/>
              <a:chOff x="3604760" y="7571305"/>
              <a:chExt cx="780969" cy="837699"/>
            </a:xfrm>
          </xdr:grpSpPr>
          <xdr:sp macro="" textlink="Y29">
            <xdr:nvSpPr>
              <xdr:cNvPr id="1721" name="Barra MO">
                <a:extLst>
                  <a:ext uri="{FF2B5EF4-FFF2-40B4-BE49-F238E27FC236}">
                    <a16:creationId xmlns:a16="http://schemas.microsoft.com/office/drawing/2014/main" id="{74C25DC6-C25D-E44B-6A19-E92FFEF4EB1A}"/>
                  </a:ext>
                </a:extLst>
              </xdr:cNvPr>
              <xdr:cNvSpPr txBox="1"/>
            </xdr:nvSpPr>
            <xdr:spPr>
              <a:xfrm rot="16200000">
                <a:off x="3899296" y="7928389"/>
                <a:ext cx="704322" cy="147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B853C56-9556-412A-BAED-7E7C41629B53}"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1722" name="Cota">
                <a:extLst>
                  <a:ext uri="{FF2B5EF4-FFF2-40B4-BE49-F238E27FC236}">
                    <a16:creationId xmlns:a16="http://schemas.microsoft.com/office/drawing/2014/main" id="{904F0087-0296-693F-D94A-02A32BB8AACC}"/>
                  </a:ext>
                </a:extLst>
              </xdr:cNvPr>
              <xdr:cNvGrpSpPr/>
            </xdr:nvGrpSpPr>
            <xdr:grpSpPr>
              <a:xfrm>
                <a:off x="3604760" y="7571305"/>
                <a:ext cx="562739" cy="837699"/>
                <a:chOff x="10052796" y="7640470"/>
                <a:chExt cx="562877" cy="848870"/>
              </a:xfrm>
            </xdr:grpSpPr>
            <xdr:sp macro="" textlink="AA29">
              <xdr:nvSpPr>
                <xdr:cNvPr id="1724" name="Vertical MO">
                  <a:extLst>
                    <a:ext uri="{FF2B5EF4-FFF2-40B4-BE49-F238E27FC236}">
                      <a16:creationId xmlns:a16="http://schemas.microsoft.com/office/drawing/2014/main" id="{8B2B9DF6-E30D-5CC9-F3C5-FA764A47AB96}"/>
                    </a:ext>
                  </a:extLst>
                </xdr:cNvPr>
                <xdr:cNvSpPr txBox="1"/>
              </xdr:nvSpPr>
              <xdr:spPr>
                <a:xfrm>
                  <a:off x="10103089" y="7640470"/>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B74B228-274A-4A3C-B4A9-9244F56A705D}"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MO_Ver">
              <xdr:nvSpPr>
                <xdr:cNvPr id="1725" name="L_MO">
                  <a:extLst>
                    <a:ext uri="{FF2B5EF4-FFF2-40B4-BE49-F238E27FC236}">
                      <a16:creationId xmlns:a16="http://schemas.microsoft.com/office/drawing/2014/main" id="{60136DB1-E1D2-3017-07E1-D8D2D0430CE4}"/>
                    </a:ext>
                  </a:extLst>
                </xdr:cNvPr>
                <xdr:cNvSpPr txBox="1"/>
              </xdr:nvSpPr>
              <xdr:spPr>
                <a:xfrm rot="16200000">
                  <a:off x="977674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D2E7577-1B7C-44A1-BED3-B9047C382AC5}" type="TxLink">
                    <a:rPr lang="en-US" sz="900" b="0" i="0" u="none" strike="noStrike">
                      <a:solidFill>
                        <a:srgbClr val="000000"/>
                      </a:solidFill>
                      <a:latin typeface="Calibri"/>
                      <a:ea typeface="Calibri"/>
                      <a:cs typeface="Calibri"/>
                    </a:rPr>
                    <a:pPr algn="ctr"/>
                    <a:t> </a:t>
                  </a:fld>
                  <a:endParaRPr lang="es-ES" sz="1100"/>
                </a:p>
              </xdr:txBody>
            </xdr:sp>
            <xdr:sp macro="" textlink="Z29">
              <xdr:nvSpPr>
                <xdr:cNvPr id="1726" name="Flecha MO">
                  <a:extLst>
                    <a:ext uri="{FF2B5EF4-FFF2-40B4-BE49-F238E27FC236}">
                      <a16:creationId xmlns:a16="http://schemas.microsoft.com/office/drawing/2014/main" id="{F105E18B-68D8-C558-EC9C-3AC81D184BF6}"/>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1CDAEFB-F46D-474C-8723-2CF577344AD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9">
              <xdr:nvSpPr>
                <xdr:cNvPr id="1727" name="Vertical MO">
                  <a:extLst>
                    <a:ext uri="{FF2B5EF4-FFF2-40B4-BE49-F238E27FC236}">
                      <a16:creationId xmlns:a16="http://schemas.microsoft.com/office/drawing/2014/main" id="{C7B00E27-47F5-CBA7-1D68-5FB52EDC0514}"/>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54D7FED-F74D-415D-9103-98AE6AAF40D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30">
            <xdr:nvSpPr>
              <xdr:cNvPr id="1723" name="O">
                <a:extLst>
                  <a:ext uri="{FF2B5EF4-FFF2-40B4-BE49-F238E27FC236}">
                    <a16:creationId xmlns:a16="http://schemas.microsoft.com/office/drawing/2014/main" id="{0D125FB3-573E-A944-123B-B18B2E898D88}"/>
                  </a:ext>
                </a:extLst>
              </xdr:cNvPr>
              <xdr:cNvSpPr txBox="1"/>
            </xdr:nvSpPr>
            <xdr:spPr>
              <a:xfrm>
                <a:off x="4305431" y="8205581"/>
                <a:ext cx="80298" cy="155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5582D53E-502E-461B-B639-ED32968C86CF}"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grpSp>
        <xdr:nvGrpSpPr>
          <xdr:cNvPr id="1549" name="CARGAS">
            <a:extLst>
              <a:ext uri="{FF2B5EF4-FFF2-40B4-BE49-F238E27FC236}">
                <a16:creationId xmlns:a16="http://schemas.microsoft.com/office/drawing/2014/main" id="{9047EEAE-BF06-0CDE-DBC9-53EEB6E1EF6A}"/>
              </a:ext>
            </a:extLst>
          </xdr:cNvPr>
          <xdr:cNvGrpSpPr/>
        </xdr:nvGrpSpPr>
        <xdr:grpSpPr>
          <a:xfrm>
            <a:off x="185821" y="5827263"/>
            <a:ext cx="5565371" cy="2958865"/>
            <a:chOff x="185672" y="5818867"/>
            <a:chExt cx="5556069" cy="2984420"/>
          </a:xfrm>
        </xdr:grpSpPr>
        <xdr:grpSp>
          <xdr:nvGrpSpPr>
            <xdr:cNvPr id="1565" name="Cargas AB">
              <a:extLst>
                <a:ext uri="{FF2B5EF4-FFF2-40B4-BE49-F238E27FC236}">
                  <a16:creationId xmlns:a16="http://schemas.microsoft.com/office/drawing/2014/main" id="{362E3CA4-8981-00A6-6393-CAF815316D0D}"/>
                </a:ext>
              </a:extLst>
            </xdr:cNvPr>
            <xdr:cNvGrpSpPr/>
          </xdr:nvGrpSpPr>
          <xdr:grpSpPr>
            <a:xfrm>
              <a:off x="403328" y="7683934"/>
              <a:ext cx="1118227" cy="1119353"/>
              <a:chOff x="8539988" y="7797030"/>
              <a:chExt cx="1118433" cy="1123906"/>
            </a:xfrm>
          </xdr:grpSpPr>
          <xdr:sp macro="" textlink="$AS$15">
            <xdr:nvSpPr>
              <xdr:cNvPr id="1698" name="qAB">
                <a:extLst>
                  <a:ext uri="{FF2B5EF4-FFF2-40B4-BE49-F238E27FC236}">
                    <a16:creationId xmlns:a16="http://schemas.microsoft.com/office/drawing/2014/main" id="{D1F49001-05F2-B299-3E72-9016C486D8F1}"/>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5E22B19-10E7-4023-BD22-CE56BAFD186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AB_Ver">
            <xdr:nvSpPr>
              <xdr:cNvPr id="1699" name="q_AB">
                <a:extLst>
                  <a:ext uri="{FF2B5EF4-FFF2-40B4-BE49-F238E27FC236}">
                    <a16:creationId xmlns:a16="http://schemas.microsoft.com/office/drawing/2014/main" id="{FDA0E04E-3010-5804-D607-B85D164FD194}"/>
                  </a:ext>
                </a:extLst>
              </xdr:cNvPr>
              <xdr:cNvSpPr txBox="1"/>
            </xdr:nvSpPr>
            <xdr:spPr>
              <a:xfrm rot="16200000">
                <a:off x="8480221"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94139EF-4C73-40D4-8E50-FE833F946BA3}"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5">
            <xdr:nvSpPr>
              <xdr:cNvPr id="1700" name="MzA">
                <a:extLst>
                  <a:ext uri="{FF2B5EF4-FFF2-40B4-BE49-F238E27FC236}">
                    <a16:creationId xmlns:a16="http://schemas.microsoft.com/office/drawing/2014/main" id="{D88B4697-8021-F6C8-6F8C-4F52DAFF439D}"/>
                  </a:ext>
                </a:extLst>
              </xdr:cNvPr>
              <xdr:cNvSpPr txBox="1"/>
            </xdr:nvSpPr>
            <xdr:spPr>
              <a:xfrm>
                <a:off x="9005676" y="8403692"/>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4A85214-C6E2-42F1-8149-EE3C3DAC0A16}"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A_Ver">
            <xdr:nvSpPr>
              <xdr:cNvPr id="1701" name="Mz_A">
                <a:extLst>
                  <a:ext uri="{FF2B5EF4-FFF2-40B4-BE49-F238E27FC236}">
                    <a16:creationId xmlns:a16="http://schemas.microsoft.com/office/drawing/2014/main" id="{B9D1D403-57A7-00DD-B4A5-9E8D91AD0BFA}"/>
                  </a:ext>
                </a:extLst>
              </xdr:cNvPr>
              <xdr:cNvSpPr txBox="1"/>
            </xdr:nvSpPr>
            <xdr:spPr>
              <a:xfrm>
                <a:off x="9119687" y="8398268"/>
                <a:ext cx="538734"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8A3097B-9DFD-486F-BE83-12D6BEB332B2}"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5">
            <xdr:nvSpPr>
              <xdr:cNvPr id="1702" name="FhA">
                <a:extLst>
                  <a:ext uri="{FF2B5EF4-FFF2-40B4-BE49-F238E27FC236}">
                    <a16:creationId xmlns:a16="http://schemas.microsoft.com/office/drawing/2014/main" id="{F5E9EE20-101E-A784-B4AE-9F290C73D798}"/>
                  </a:ext>
                </a:extLst>
              </xdr:cNvPr>
              <xdr:cNvSpPr txBox="1"/>
            </xdr:nvSpPr>
            <xdr:spPr>
              <a:xfrm>
                <a:off x="8621560"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DA37113-2B0B-416D-B413-F6505AD8CA1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A_Ver">
            <xdr:nvSpPr>
              <xdr:cNvPr id="1703" name="Fh_A">
                <a:extLst>
                  <a:ext uri="{FF2B5EF4-FFF2-40B4-BE49-F238E27FC236}">
                    <a16:creationId xmlns:a16="http://schemas.microsoft.com/office/drawing/2014/main" id="{6E3E8B27-401E-2B2B-3294-3B2C9EBCB240}"/>
                  </a:ext>
                </a:extLst>
              </xdr:cNvPr>
              <xdr:cNvSpPr txBox="1"/>
            </xdr:nvSpPr>
            <xdr:spPr>
              <a:xfrm rot="16200000">
                <a:off x="8326010" y="8419262"/>
                <a:ext cx="552974" cy="125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A8FCB55-EF74-4C98-818F-A7C5231FC9E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5">
            <xdr:nvSpPr>
              <xdr:cNvPr id="1704" name="FvA">
                <a:extLst>
                  <a:ext uri="{FF2B5EF4-FFF2-40B4-BE49-F238E27FC236}">
                    <a16:creationId xmlns:a16="http://schemas.microsoft.com/office/drawing/2014/main" id="{271C005C-5A4F-E18D-EEB5-76095F6AA588}"/>
                  </a:ext>
                </a:extLst>
              </xdr:cNvPr>
              <xdr:cNvSpPr txBox="1"/>
            </xdr:nvSpPr>
            <xdr:spPr>
              <a:xfrm>
                <a:off x="8822096" y="8774163"/>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BF9160B-F983-4D02-B44F-993DD024E55E}"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A_Ver">
            <xdr:nvSpPr>
              <xdr:cNvPr id="1705" name="Fv_A">
                <a:extLst>
                  <a:ext uri="{FF2B5EF4-FFF2-40B4-BE49-F238E27FC236}">
                    <a16:creationId xmlns:a16="http://schemas.microsoft.com/office/drawing/2014/main" id="{FD9BD92B-5A3C-BFC6-B038-A07070474D1D}"/>
                  </a:ext>
                </a:extLst>
              </xdr:cNvPr>
              <xdr:cNvSpPr txBox="1"/>
            </xdr:nvSpPr>
            <xdr:spPr>
              <a:xfrm>
                <a:off x="8997989" y="8794448"/>
                <a:ext cx="32930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410D9EC8-00E2-451D-8EC0-F3B84AA0332F}"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1566" name="Cargas BC">
              <a:extLst>
                <a:ext uri="{FF2B5EF4-FFF2-40B4-BE49-F238E27FC236}">
                  <a16:creationId xmlns:a16="http://schemas.microsoft.com/office/drawing/2014/main" id="{77563092-FB64-4847-1D60-FD0E65476AFF}"/>
                </a:ext>
              </a:extLst>
            </xdr:cNvPr>
            <xdr:cNvGrpSpPr/>
          </xdr:nvGrpSpPr>
          <xdr:grpSpPr>
            <a:xfrm>
              <a:off x="396998" y="6971923"/>
              <a:ext cx="1086619" cy="964354"/>
              <a:chOff x="8551192" y="7796998"/>
              <a:chExt cx="1084443" cy="965605"/>
            </a:xfrm>
          </xdr:grpSpPr>
          <xdr:sp macro="" textlink="$AS$16">
            <xdr:nvSpPr>
              <xdr:cNvPr id="1690" name="qBC">
                <a:extLst>
                  <a:ext uri="{FF2B5EF4-FFF2-40B4-BE49-F238E27FC236}">
                    <a16:creationId xmlns:a16="http://schemas.microsoft.com/office/drawing/2014/main" id="{949B423B-D19A-57E7-BBB6-0355CC308F7D}"/>
                  </a:ext>
                </a:extLst>
              </xdr:cNvPr>
              <xdr:cNvSpPr txBox="1"/>
            </xdr:nvSpPr>
            <xdr:spPr>
              <a:xfrm rot="16200000">
                <a:off x="8560554" y="8056795"/>
                <a:ext cx="660476"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8D65225-4C11-4165-B86F-0D51AE244C92}"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BC_Ver">
            <xdr:nvSpPr>
              <xdr:cNvPr id="1691" name="q_BC">
                <a:extLst>
                  <a:ext uri="{FF2B5EF4-FFF2-40B4-BE49-F238E27FC236}">
                    <a16:creationId xmlns:a16="http://schemas.microsoft.com/office/drawing/2014/main" id="{7D16F5B0-B266-58AB-A13C-D7D47003B0FF}"/>
                  </a:ext>
                </a:extLst>
              </xdr:cNvPr>
              <xdr:cNvSpPr txBox="1"/>
            </xdr:nvSpPr>
            <xdr:spPr>
              <a:xfrm rot="16200000">
                <a:off x="8480214" y="8031760"/>
                <a:ext cx="610974"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BA4C9A5-EBC5-4818-93E2-570492E273F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6">
            <xdr:nvSpPr>
              <xdr:cNvPr id="1692" name="MzB">
                <a:extLst>
                  <a:ext uri="{FF2B5EF4-FFF2-40B4-BE49-F238E27FC236}">
                    <a16:creationId xmlns:a16="http://schemas.microsoft.com/office/drawing/2014/main" id="{8F929B64-138B-C0F9-D262-2B5AA22396D4}"/>
                  </a:ext>
                </a:extLst>
              </xdr:cNvPr>
              <xdr:cNvSpPr txBox="1"/>
            </xdr:nvSpPr>
            <xdr:spPr>
              <a:xfrm>
                <a:off x="9005668" y="8381356"/>
                <a:ext cx="88601" cy="141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2E4A539-DFCC-471D-AB40-38BF2E73BAA1}"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B_Ver">
            <xdr:nvSpPr>
              <xdr:cNvPr id="1693" name="Mz_B">
                <a:extLst>
                  <a:ext uri="{FF2B5EF4-FFF2-40B4-BE49-F238E27FC236}">
                    <a16:creationId xmlns:a16="http://schemas.microsoft.com/office/drawing/2014/main" id="{3FBA9C76-3EBC-698D-1B74-4020169E0740}"/>
                  </a:ext>
                </a:extLst>
              </xdr:cNvPr>
              <xdr:cNvSpPr txBox="1"/>
            </xdr:nvSpPr>
            <xdr:spPr>
              <a:xfrm>
                <a:off x="9112292" y="8377786"/>
                <a:ext cx="523343" cy="142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021AE18-2FF2-4B5E-9649-A33F56B7117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6">
            <xdr:nvSpPr>
              <xdr:cNvPr id="1694" name="FhB">
                <a:extLst>
                  <a:ext uri="{FF2B5EF4-FFF2-40B4-BE49-F238E27FC236}">
                    <a16:creationId xmlns:a16="http://schemas.microsoft.com/office/drawing/2014/main" id="{7DB0B141-7549-5506-4232-DB62C31FF8CD}"/>
                  </a:ext>
                </a:extLst>
              </xdr:cNvPr>
              <xdr:cNvSpPr txBox="1"/>
            </xdr:nvSpPr>
            <xdr:spPr>
              <a:xfrm>
                <a:off x="8621541" y="8405082"/>
                <a:ext cx="198257" cy="141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03C29B-9486-42B9-A7C6-0D7D47FF760F}"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B_Ver">
            <xdr:nvSpPr>
              <xdr:cNvPr id="1695" name="Fh_B">
                <a:extLst>
                  <a:ext uri="{FF2B5EF4-FFF2-40B4-BE49-F238E27FC236}">
                    <a16:creationId xmlns:a16="http://schemas.microsoft.com/office/drawing/2014/main" id="{2A0852A7-2311-6F47-6491-52206E04107C}"/>
                  </a:ext>
                </a:extLst>
              </xdr:cNvPr>
              <xdr:cNvSpPr txBox="1"/>
            </xdr:nvSpPr>
            <xdr:spPr>
              <a:xfrm rot="16200000">
                <a:off x="8337053" y="8423507"/>
                <a:ext cx="553235"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FA1D1BC-BCE1-47D2-AADB-D8FE02DF61F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6">
            <xdr:nvSpPr>
              <xdr:cNvPr id="1696" name="FvB">
                <a:extLst>
                  <a:ext uri="{FF2B5EF4-FFF2-40B4-BE49-F238E27FC236}">
                    <a16:creationId xmlns:a16="http://schemas.microsoft.com/office/drawing/2014/main" id="{EB6843AC-25A4-BC63-7448-5DAD449E9881}"/>
                  </a:ext>
                </a:extLst>
              </xdr:cNvPr>
              <xdr:cNvSpPr txBox="1"/>
            </xdr:nvSpPr>
            <xdr:spPr>
              <a:xfrm>
                <a:off x="8930990" y="8483231"/>
                <a:ext cx="251992" cy="141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11BF8CF-64F1-471B-A7DD-8E55ED0FDEF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B_Ver">
            <xdr:nvSpPr>
              <xdr:cNvPr id="1697" name="Fv_B">
                <a:extLst>
                  <a:ext uri="{FF2B5EF4-FFF2-40B4-BE49-F238E27FC236}">
                    <a16:creationId xmlns:a16="http://schemas.microsoft.com/office/drawing/2014/main" id="{ED616EFE-00D4-A33D-178A-B957435AFD96}"/>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F192CC1-1F41-4486-99A6-B39BF67B8D15}"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1567" name="Cargas CD">
              <a:extLst>
                <a:ext uri="{FF2B5EF4-FFF2-40B4-BE49-F238E27FC236}">
                  <a16:creationId xmlns:a16="http://schemas.microsoft.com/office/drawing/2014/main" id="{BEC34C1F-3543-68B5-9D17-F12043C14C1F}"/>
                </a:ext>
              </a:extLst>
            </xdr:cNvPr>
            <xdr:cNvGrpSpPr/>
          </xdr:nvGrpSpPr>
          <xdr:grpSpPr>
            <a:xfrm>
              <a:off x="407889" y="6272814"/>
              <a:ext cx="1086619" cy="964370"/>
              <a:chOff x="8551199" y="7797030"/>
              <a:chExt cx="1084444" cy="965611"/>
            </a:xfrm>
          </xdr:grpSpPr>
          <xdr:sp macro="" textlink="AS17">
            <xdr:nvSpPr>
              <xdr:cNvPr id="1682" name="qCD">
                <a:extLst>
                  <a:ext uri="{FF2B5EF4-FFF2-40B4-BE49-F238E27FC236}">
                    <a16:creationId xmlns:a16="http://schemas.microsoft.com/office/drawing/2014/main" id="{22AAA896-B70F-0E00-BB4A-95B201F6BCBD}"/>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177E8C2-31C3-4A49-9DCF-2FCBA2D59125}"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CD_Ver">
            <xdr:nvSpPr>
              <xdr:cNvPr id="1683" name="q_CD">
                <a:extLst>
                  <a:ext uri="{FF2B5EF4-FFF2-40B4-BE49-F238E27FC236}">
                    <a16:creationId xmlns:a16="http://schemas.microsoft.com/office/drawing/2014/main" id="{0A6C0129-2721-F0F3-2EDB-A2F698C75D2B}"/>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881050B-E9A1-4D69-A88B-1E3D2F84FB4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7">
            <xdr:nvSpPr>
              <xdr:cNvPr id="1684" name="MzC">
                <a:extLst>
                  <a:ext uri="{FF2B5EF4-FFF2-40B4-BE49-F238E27FC236}">
                    <a16:creationId xmlns:a16="http://schemas.microsoft.com/office/drawing/2014/main" id="{126FD250-F783-B448-1D7D-7F8C7C02A777}"/>
                  </a:ext>
                </a:extLst>
              </xdr:cNvPr>
              <xdr:cNvSpPr txBox="1"/>
            </xdr:nvSpPr>
            <xdr:spPr>
              <a:xfrm>
                <a:off x="9005676" y="8381386"/>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49E4607-8A1D-45B1-BDB0-E753B1B7C51A}"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C_Ver">
            <xdr:nvSpPr>
              <xdr:cNvPr id="1685" name="Mz_C">
                <a:extLst>
                  <a:ext uri="{FF2B5EF4-FFF2-40B4-BE49-F238E27FC236}">
                    <a16:creationId xmlns:a16="http://schemas.microsoft.com/office/drawing/2014/main" id="{2ADF2F9F-AF90-F670-17B0-7A634CF6DBD3}"/>
                  </a:ext>
                </a:extLst>
              </xdr:cNvPr>
              <xdr:cNvSpPr txBox="1"/>
            </xdr:nvSpPr>
            <xdr:spPr>
              <a:xfrm>
                <a:off x="9112300" y="8377817"/>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833CDA8-7B2D-4AA4-A452-6F6A0DB0327F}"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7">
            <xdr:nvSpPr>
              <xdr:cNvPr id="1686" name="FhC">
                <a:extLst>
                  <a:ext uri="{FF2B5EF4-FFF2-40B4-BE49-F238E27FC236}">
                    <a16:creationId xmlns:a16="http://schemas.microsoft.com/office/drawing/2014/main" id="{D51E8AA6-7E08-959D-452C-A5BF47490A47}"/>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2C0310A-6106-4894-9C7F-BD6F449FCE9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7">
            <xdr:nvSpPr>
              <xdr:cNvPr id="1687" name="FvC">
                <a:extLst>
                  <a:ext uri="{FF2B5EF4-FFF2-40B4-BE49-F238E27FC236}">
                    <a16:creationId xmlns:a16="http://schemas.microsoft.com/office/drawing/2014/main" id="{5D22076E-F505-C29D-DC8E-7595661AA298}"/>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C7BC527-84B1-4BC1-A183-5E355617DF3D}"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C_Ver">
            <xdr:nvSpPr>
              <xdr:cNvPr id="1688" name="Fv_C">
                <a:extLst>
                  <a:ext uri="{FF2B5EF4-FFF2-40B4-BE49-F238E27FC236}">
                    <a16:creationId xmlns:a16="http://schemas.microsoft.com/office/drawing/2014/main" id="{1DA1C9CA-57BB-69F3-97CD-D766A94CEA90}"/>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A08498D-2D70-4012-A77F-BB734B71EBB6}"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sp macro="" textlink="Fh_C_Ver">
            <xdr:nvSpPr>
              <xdr:cNvPr id="1689" name="Fh_C">
                <a:extLst>
                  <a:ext uri="{FF2B5EF4-FFF2-40B4-BE49-F238E27FC236}">
                    <a16:creationId xmlns:a16="http://schemas.microsoft.com/office/drawing/2014/main" id="{F2DA789C-0EA6-640D-189E-95BE95DAA588}"/>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C51EEB2-74DA-4A72-8A82-B870A651906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grpSp>
        <xdr:grpSp>
          <xdr:nvGrpSpPr>
            <xdr:cNvPr id="1568" name="Cargas CE">
              <a:extLst>
                <a:ext uri="{FF2B5EF4-FFF2-40B4-BE49-F238E27FC236}">
                  <a16:creationId xmlns:a16="http://schemas.microsoft.com/office/drawing/2014/main" id="{10A1F710-B4E5-1C6D-11F4-389911C7B3B7}"/>
                </a:ext>
              </a:extLst>
            </xdr:cNvPr>
            <xdr:cNvGrpSpPr/>
          </xdr:nvGrpSpPr>
          <xdr:grpSpPr>
            <a:xfrm>
              <a:off x="543795" y="6427539"/>
              <a:ext cx="1343247" cy="465190"/>
              <a:chOff x="543795" y="6427539"/>
              <a:chExt cx="1343247" cy="465190"/>
            </a:xfrm>
          </xdr:grpSpPr>
          <xdr:sp macro="" textlink="$AS$19">
            <xdr:nvSpPr>
              <xdr:cNvPr id="1674" name="qCE">
                <a:extLst>
                  <a:ext uri="{FF2B5EF4-FFF2-40B4-BE49-F238E27FC236}">
                    <a16:creationId xmlns:a16="http://schemas.microsoft.com/office/drawing/2014/main" id="{3D7CD320-84F6-A449-4594-47A78BF51C35}"/>
                  </a:ext>
                </a:extLst>
              </xdr:cNvPr>
              <xdr:cNvSpPr txBox="1"/>
            </xdr:nvSpPr>
            <xdr:spPr>
              <a:xfrm rot="18900000">
                <a:off x="613711" y="6480442"/>
                <a:ext cx="987900" cy="139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17E7709-7521-444D-A6FE-99140AB6B03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CE_Ver">
            <xdr:nvSpPr>
              <xdr:cNvPr id="1675" name="q_CE">
                <a:extLst>
                  <a:ext uri="{FF2B5EF4-FFF2-40B4-BE49-F238E27FC236}">
                    <a16:creationId xmlns:a16="http://schemas.microsoft.com/office/drawing/2014/main" id="{ED451A71-0C81-3322-EA05-33444F52DCD1}"/>
                  </a:ext>
                </a:extLst>
              </xdr:cNvPr>
              <xdr:cNvSpPr txBox="1"/>
            </xdr:nvSpPr>
            <xdr:spPr>
              <a:xfrm rot="18900000">
                <a:off x="543795" y="6427539"/>
                <a:ext cx="991872" cy="140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72EF31D-DC70-4735-A601-AD2058E1F88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9">
            <xdr:nvSpPr>
              <xdr:cNvPr id="1676" name="MzD'">
                <a:extLst>
                  <a:ext uri="{FF2B5EF4-FFF2-40B4-BE49-F238E27FC236}">
                    <a16:creationId xmlns:a16="http://schemas.microsoft.com/office/drawing/2014/main" id="{79650E21-2142-8355-F14B-47D5701F7649}"/>
                  </a:ext>
                </a:extLst>
              </xdr:cNvPr>
              <xdr:cNvSpPr txBox="1"/>
            </xdr:nvSpPr>
            <xdr:spPr>
              <a:xfrm>
                <a:off x="1262548" y="6523520"/>
                <a:ext cx="88783" cy="141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BE0AD99-8CB1-430B-84A6-DEC8E03D2929}"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D1_Ver">
            <xdr:nvSpPr>
              <xdr:cNvPr id="1677" name="Mz_D'">
                <a:extLst>
                  <a:ext uri="{FF2B5EF4-FFF2-40B4-BE49-F238E27FC236}">
                    <a16:creationId xmlns:a16="http://schemas.microsoft.com/office/drawing/2014/main" id="{F0CCC83E-7D8C-11CC-02B5-983AEB434CDB}"/>
                  </a:ext>
                </a:extLst>
              </xdr:cNvPr>
              <xdr:cNvSpPr txBox="1"/>
            </xdr:nvSpPr>
            <xdr:spPr>
              <a:xfrm>
                <a:off x="1362512" y="6519810"/>
                <a:ext cx="524417" cy="141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D620F51-EE06-4289-95C7-68F7A1D23E5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9">
            <xdr:nvSpPr>
              <xdr:cNvPr id="1678" name="FhD'">
                <a:extLst>
                  <a:ext uri="{FF2B5EF4-FFF2-40B4-BE49-F238E27FC236}">
                    <a16:creationId xmlns:a16="http://schemas.microsoft.com/office/drawing/2014/main" id="{C25A56DB-0DE4-5C2F-4E2B-3DFFB8CE5B5E}"/>
                  </a:ext>
                </a:extLst>
              </xdr:cNvPr>
              <xdr:cNvSpPr txBox="1"/>
            </xdr:nvSpPr>
            <xdr:spPr>
              <a:xfrm>
                <a:off x="1178811" y="6644972"/>
                <a:ext cx="198664" cy="141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8F77ED6-020B-46F6-9092-77354BCC06EF}"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D1_Ver">
            <xdr:nvSpPr>
              <xdr:cNvPr id="1679" name="Fh_D'">
                <a:extLst>
                  <a:ext uri="{FF2B5EF4-FFF2-40B4-BE49-F238E27FC236}">
                    <a16:creationId xmlns:a16="http://schemas.microsoft.com/office/drawing/2014/main" id="{20BE56DA-EE80-56CB-DD45-92B8A560F4C3}"/>
                  </a:ext>
                </a:extLst>
              </xdr:cNvPr>
              <xdr:cNvSpPr txBox="1"/>
            </xdr:nvSpPr>
            <xdr:spPr>
              <a:xfrm>
                <a:off x="1336080" y="6653821"/>
                <a:ext cx="550962" cy="125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93AAA06-8708-45A8-A8F6-6841AF7A9A31}" type="TxLink">
                  <a:rPr lang="en-US" sz="900" b="1" i="0" u="none" strike="noStrike">
                    <a:solidFill>
                      <a:srgbClr val="7030A0"/>
                    </a:solidFill>
                    <a:latin typeface="Calibri"/>
                    <a:ea typeface="Calibri"/>
                    <a:cs typeface="Calibri"/>
                  </a:rPr>
                  <a:pPr algn="l"/>
                  <a:t> </a:t>
                </a:fld>
                <a:endParaRPr lang="es-ES" sz="1400" b="1">
                  <a:solidFill>
                    <a:srgbClr val="0070C0"/>
                  </a:solidFill>
                </a:endParaRPr>
              </a:p>
            </xdr:txBody>
          </xdr:sp>
          <xdr:sp macro="" textlink="$AJ$19">
            <xdr:nvSpPr>
              <xdr:cNvPr id="1680" name="FvD'">
                <a:extLst>
                  <a:ext uri="{FF2B5EF4-FFF2-40B4-BE49-F238E27FC236}">
                    <a16:creationId xmlns:a16="http://schemas.microsoft.com/office/drawing/2014/main" id="{D722D51A-A764-5A2C-004F-AFCC0928B87F}"/>
                  </a:ext>
                </a:extLst>
              </xdr:cNvPr>
              <xdr:cNvSpPr txBox="1"/>
            </xdr:nvSpPr>
            <xdr:spPr>
              <a:xfrm>
                <a:off x="1064831" y="6663258"/>
                <a:ext cx="252510" cy="141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6D13458-4316-4768-80CD-0CF3EAD1064C}"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D1_Ver">
            <xdr:nvSpPr>
              <xdr:cNvPr id="1681" name="Fv_D'">
                <a:extLst>
                  <a:ext uri="{FF2B5EF4-FFF2-40B4-BE49-F238E27FC236}">
                    <a16:creationId xmlns:a16="http://schemas.microsoft.com/office/drawing/2014/main" id="{F35D40E2-A675-09FC-DFBD-08E33913887A}"/>
                  </a:ext>
                </a:extLst>
              </xdr:cNvPr>
              <xdr:cNvSpPr txBox="1"/>
            </xdr:nvSpPr>
            <xdr:spPr>
              <a:xfrm>
                <a:off x="953851" y="6765784"/>
                <a:ext cx="457431" cy="126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9803DC57-380B-4802-AD93-C4A22A184464}"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1569" name="Cargas DE">
              <a:extLst>
                <a:ext uri="{FF2B5EF4-FFF2-40B4-BE49-F238E27FC236}">
                  <a16:creationId xmlns:a16="http://schemas.microsoft.com/office/drawing/2014/main" id="{DB233AA2-F888-B902-216E-08EACDA960C2}"/>
                </a:ext>
              </a:extLst>
            </xdr:cNvPr>
            <xdr:cNvGrpSpPr/>
          </xdr:nvGrpSpPr>
          <xdr:grpSpPr>
            <a:xfrm rot="5400000">
              <a:off x="638136" y="5486617"/>
              <a:ext cx="456786" cy="1361714"/>
              <a:chOff x="8643550" y="7722216"/>
              <a:chExt cx="456390" cy="1367515"/>
            </a:xfrm>
          </xdr:grpSpPr>
          <xdr:sp macro="" textlink="$AS$18">
            <xdr:nvSpPr>
              <xdr:cNvPr id="1666" name="qDE">
                <a:extLst>
                  <a:ext uri="{FF2B5EF4-FFF2-40B4-BE49-F238E27FC236}">
                    <a16:creationId xmlns:a16="http://schemas.microsoft.com/office/drawing/2014/main" id="{19D8385B-FB98-FFE1-F4B0-1F72AC997ECD}"/>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272930F-4B5D-4047-9045-D052AC8C1374}"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DE_Ver">
            <xdr:nvSpPr>
              <xdr:cNvPr id="1667" name="q_DE">
                <a:extLst>
                  <a:ext uri="{FF2B5EF4-FFF2-40B4-BE49-F238E27FC236}">
                    <a16:creationId xmlns:a16="http://schemas.microsoft.com/office/drawing/2014/main" id="{D494B4C9-B1A3-D033-4660-19128D6CB63B}"/>
                  </a:ext>
                </a:extLst>
              </xdr:cNvPr>
              <xdr:cNvSpPr txBox="1"/>
            </xdr:nvSpPr>
            <xdr:spPr>
              <a:xfrm rot="16200000">
                <a:off x="8485767"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482A7FC-9D78-491E-8214-88507272A2F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8">
            <xdr:nvSpPr>
              <xdr:cNvPr id="1668" name="MzD">
                <a:extLst>
                  <a:ext uri="{FF2B5EF4-FFF2-40B4-BE49-F238E27FC236}">
                    <a16:creationId xmlns:a16="http://schemas.microsoft.com/office/drawing/2014/main" id="{7489AB65-AADF-E444-76B2-6B1816417CD5}"/>
                  </a:ext>
                </a:extLst>
              </xdr:cNvPr>
              <xdr:cNvSpPr txBox="1"/>
            </xdr:nvSpPr>
            <xdr:spPr>
              <a:xfrm rot="16200000">
                <a:off x="8985079" y="8245581"/>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FC2FED2-347B-42EF-B387-499D4DABBF15}"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D_Ver">
            <xdr:nvSpPr>
              <xdr:cNvPr id="1669" name="Mz_D">
                <a:extLst>
                  <a:ext uri="{FF2B5EF4-FFF2-40B4-BE49-F238E27FC236}">
                    <a16:creationId xmlns:a16="http://schemas.microsoft.com/office/drawing/2014/main" id="{0B3B0BD8-9DAC-DB04-2ECE-18D4997204E7}"/>
                  </a:ext>
                </a:extLst>
              </xdr:cNvPr>
              <xdr:cNvSpPr txBox="1"/>
            </xdr:nvSpPr>
            <xdr:spPr>
              <a:xfrm rot="16200000">
                <a:off x="8761580" y="7914932"/>
                <a:ext cx="526583" cy="14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025EF74-B12E-471C-A024-FAF71BEE1499}"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8">
            <xdr:nvSpPr>
              <xdr:cNvPr id="1670" name="FhD">
                <a:extLst>
                  <a:ext uri="{FF2B5EF4-FFF2-40B4-BE49-F238E27FC236}">
                    <a16:creationId xmlns:a16="http://schemas.microsoft.com/office/drawing/2014/main" id="{82398155-9A44-E03D-CBB5-76131ED3D8B9}"/>
                  </a:ext>
                </a:extLst>
              </xdr:cNvPr>
              <xdr:cNvSpPr txBox="1"/>
            </xdr:nvSpPr>
            <xdr:spPr>
              <a:xfrm rot="16200000">
                <a:off x="8620934" y="8405546"/>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F514022-6022-490F-A493-648F3AD19E8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D_Ver">
            <xdr:nvSpPr>
              <xdr:cNvPr id="1671" name="Fh_D">
                <a:extLst>
                  <a:ext uri="{FF2B5EF4-FFF2-40B4-BE49-F238E27FC236}">
                    <a16:creationId xmlns:a16="http://schemas.microsoft.com/office/drawing/2014/main" id="{D6811067-3BDA-B2FC-6ED4-B3E97356EDD0}"/>
                  </a:ext>
                </a:extLst>
              </xdr:cNvPr>
              <xdr:cNvSpPr txBox="1"/>
            </xdr:nvSpPr>
            <xdr:spPr>
              <a:xfrm rot="16200000">
                <a:off x="8429410" y="875063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CAFDB647-C610-402C-8C7D-80B6AB031D3B}"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18">
            <xdr:nvSpPr>
              <xdr:cNvPr id="1672" name="FvD">
                <a:extLst>
                  <a:ext uri="{FF2B5EF4-FFF2-40B4-BE49-F238E27FC236}">
                    <a16:creationId xmlns:a16="http://schemas.microsoft.com/office/drawing/2014/main" id="{57F81766-37BF-5AC5-56E6-596E9C0BDA13}"/>
                  </a:ext>
                </a:extLst>
              </xdr:cNvPr>
              <xdr:cNvSpPr txBox="1"/>
            </xdr:nvSpPr>
            <xdr:spPr>
              <a:xfrm rot="16200000">
                <a:off x="8690101" y="8411213"/>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F0186C7-9672-43C1-8B6D-34689A6425E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D_Ver">
            <xdr:nvSpPr>
              <xdr:cNvPr id="1673" name="Fv_D">
                <a:extLst>
                  <a:ext uri="{FF2B5EF4-FFF2-40B4-BE49-F238E27FC236}">
                    <a16:creationId xmlns:a16="http://schemas.microsoft.com/office/drawing/2014/main" id="{26EAD871-60DA-1975-9543-B6D04A059979}"/>
                  </a:ext>
                </a:extLst>
              </xdr:cNvPr>
              <xdr:cNvSpPr txBox="1"/>
            </xdr:nvSpPr>
            <xdr:spPr>
              <a:xfrm rot="16200000">
                <a:off x="8588299" y="8705650"/>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9B990EC-8A0F-4BE2-9B07-86A0A7CBF3A8}"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1570" name="Cargas EF">
              <a:extLst>
                <a:ext uri="{FF2B5EF4-FFF2-40B4-BE49-F238E27FC236}">
                  <a16:creationId xmlns:a16="http://schemas.microsoft.com/office/drawing/2014/main" id="{18730D08-CD6A-2163-A711-F74529E13735}"/>
                </a:ext>
              </a:extLst>
            </xdr:cNvPr>
            <xdr:cNvGrpSpPr/>
          </xdr:nvGrpSpPr>
          <xdr:grpSpPr>
            <a:xfrm rot="5400000">
              <a:off x="1186435" y="5514636"/>
              <a:ext cx="680076" cy="1288537"/>
              <a:chOff x="8523476" y="7797030"/>
              <a:chExt cx="678412" cy="1292690"/>
            </a:xfrm>
          </xdr:grpSpPr>
          <xdr:sp macro="" textlink="AS20">
            <xdr:nvSpPr>
              <xdr:cNvPr id="1658" name="qEF">
                <a:extLst>
                  <a:ext uri="{FF2B5EF4-FFF2-40B4-BE49-F238E27FC236}">
                    <a16:creationId xmlns:a16="http://schemas.microsoft.com/office/drawing/2014/main" id="{D4F301EF-627B-FCC0-1CB7-2AEAB315F2FF}"/>
                  </a:ext>
                </a:extLst>
              </xdr:cNvPr>
              <xdr:cNvSpPr txBox="1"/>
            </xdr:nvSpPr>
            <xdr:spPr>
              <a:xfrm rot="16200000">
                <a:off x="8560557"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84EC8A9-64ED-48F3-B8BA-96E24A1ED189}"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EF_Ver">
            <xdr:nvSpPr>
              <xdr:cNvPr id="1659" name="q_EF">
                <a:extLst>
                  <a:ext uri="{FF2B5EF4-FFF2-40B4-BE49-F238E27FC236}">
                    <a16:creationId xmlns:a16="http://schemas.microsoft.com/office/drawing/2014/main" id="{5C3531C4-42D5-E07B-1689-20B6872EB2D1}"/>
                  </a:ext>
                </a:extLst>
              </xdr:cNvPr>
              <xdr:cNvSpPr txBox="1"/>
            </xdr:nvSpPr>
            <xdr:spPr>
              <a:xfrm rot="16200000">
                <a:off x="8485766"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3B3AB2D-A701-429B-88F5-7CB7265E4226}"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0">
            <xdr:nvSpPr>
              <xdr:cNvPr id="1660" name="MzE">
                <a:extLst>
                  <a:ext uri="{FF2B5EF4-FFF2-40B4-BE49-F238E27FC236}">
                    <a16:creationId xmlns:a16="http://schemas.microsoft.com/office/drawing/2014/main" id="{6B74089B-0711-C1BA-ED87-3ACBD022DCE7}"/>
                  </a:ext>
                </a:extLst>
              </xdr:cNvPr>
              <xdr:cNvSpPr txBox="1"/>
            </xdr:nvSpPr>
            <xdr:spPr>
              <a:xfrm rot="16200000">
                <a:off x="8990619" y="8407155"/>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CB5ADFE-4979-49EC-A420-D9C1B1579872}"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E_Ver">
            <xdr:nvSpPr>
              <xdr:cNvPr id="1661" name="Mz_E">
                <a:extLst>
                  <a:ext uri="{FF2B5EF4-FFF2-40B4-BE49-F238E27FC236}">
                    <a16:creationId xmlns:a16="http://schemas.microsoft.com/office/drawing/2014/main" id="{A53655BF-59DE-5FDD-777F-BA8B39FF9FB0}"/>
                  </a:ext>
                </a:extLst>
              </xdr:cNvPr>
              <xdr:cNvSpPr txBox="1"/>
            </xdr:nvSpPr>
            <xdr:spPr>
              <a:xfrm rot="16200000">
                <a:off x="8867481" y="8192980"/>
                <a:ext cx="528056" cy="140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398B8B6-AD58-43E0-8A66-63B77C24094F}"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0">
            <xdr:nvSpPr>
              <xdr:cNvPr id="1662" name="FhE">
                <a:extLst>
                  <a:ext uri="{FF2B5EF4-FFF2-40B4-BE49-F238E27FC236}">
                    <a16:creationId xmlns:a16="http://schemas.microsoft.com/office/drawing/2014/main" id="{3B2A999D-9070-0FEB-2BDA-B6B9C6496737}"/>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5B7AB7B-91A2-4F2D-8948-7E612C8EF8AA}"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E_Ver">
            <xdr:nvSpPr>
              <xdr:cNvPr id="1663" name="Fh_E">
                <a:extLst>
                  <a:ext uri="{FF2B5EF4-FFF2-40B4-BE49-F238E27FC236}">
                    <a16:creationId xmlns:a16="http://schemas.microsoft.com/office/drawing/2014/main" id="{6EDFBED8-25E6-61F8-F205-86671DF3D195}"/>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DF6221E-1255-488B-9566-533E59F5BC6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0">
            <xdr:nvSpPr>
              <xdr:cNvPr id="1664" name="FvE">
                <a:extLst>
                  <a:ext uri="{FF2B5EF4-FFF2-40B4-BE49-F238E27FC236}">
                    <a16:creationId xmlns:a16="http://schemas.microsoft.com/office/drawing/2014/main" id="{3FB79721-35C5-0F06-0C8B-ABEB9211E774}"/>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3BB5C22-604B-4EE8-BE6A-1C94781EB56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E_Ver">
            <xdr:nvSpPr>
              <xdr:cNvPr id="1665" name="Fv_E">
                <a:extLst>
                  <a:ext uri="{FF2B5EF4-FFF2-40B4-BE49-F238E27FC236}">
                    <a16:creationId xmlns:a16="http://schemas.microsoft.com/office/drawing/2014/main" id="{8C2E914E-1B62-55DB-AB54-F0BF53CC0F98}"/>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9A2FBC3-8E6B-40D7-AB13-91C6D66B71FB}"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1571" name="Cargas FG">
              <a:extLst>
                <a:ext uri="{FF2B5EF4-FFF2-40B4-BE49-F238E27FC236}">
                  <a16:creationId xmlns:a16="http://schemas.microsoft.com/office/drawing/2014/main" id="{12C72AD4-45F2-EE9C-83F9-25595AB1C54D}"/>
                </a:ext>
              </a:extLst>
            </xdr:cNvPr>
            <xdr:cNvGrpSpPr/>
          </xdr:nvGrpSpPr>
          <xdr:grpSpPr>
            <a:xfrm rot="5400000">
              <a:off x="1921229" y="5449398"/>
              <a:ext cx="584108" cy="1324867"/>
              <a:chOff x="8523476" y="7784296"/>
              <a:chExt cx="582005" cy="1335522"/>
            </a:xfrm>
          </xdr:grpSpPr>
          <xdr:sp macro="" textlink="AS21">
            <xdr:nvSpPr>
              <xdr:cNvPr id="1650" name="qFG">
                <a:extLst>
                  <a:ext uri="{FF2B5EF4-FFF2-40B4-BE49-F238E27FC236}">
                    <a16:creationId xmlns:a16="http://schemas.microsoft.com/office/drawing/2014/main" id="{53A71205-F5B7-62F4-0C11-A9D5AE0CFFDE}"/>
                  </a:ext>
                </a:extLst>
              </xdr:cNvPr>
              <xdr:cNvSpPr txBox="1"/>
            </xdr:nvSpPr>
            <xdr:spPr>
              <a:xfrm rot="16200000">
                <a:off x="8560560" y="8044094"/>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3D33950-25C8-4E6A-892F-7125F4449D5D}"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FG_Ver">
            <xdr:nvSpPr>
              <xdr:cNvPr id="1651" name="q_FG">
                <a:extLst>
                  <a:ext uri="{FF2B5EF4-FFF2-40B4-BE49-F238E27FC236}">
                    <a16:creationId xmlns:a16="http://schemas.microsoft.com/office/drawing/2014/main" id="{C86965E7-A550-7AC6-5E36-99BF04FEFC15}"/>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0F095CC-D423-41AC-9256-CE8F74F72DA9}"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1">
            <xdr:nvSpPr>
              <xdr:cNvPr id="1652" name="MzF">
                <a:extLst>
                  <a:ext uri="{FF2B5EF4-FFF2-40B4-BE49-F238E27FC236}">
                    <a16:creationId xmlns:a16="http://schemas.microsoft.com/office/drawing/2014/main" id="{48B7D817-CA69-6622-E5C3-A7AF820BBDAF}"/>
                  </a:ext>
                </a:extLst>
              </xdr:cNvPr>
              <xdr:cNvSpPr txBox="1"/>
            </xdr:nvSpPr>
            <xdr:spPr>
              <a:xfrm rot="16200000">
                <a:off x="8990620" y="8527624"/>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5C3E4C5-4097-4099-96AA-2698214DA4A7}"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F_Ver">
            <xdr:nvSpPr>
              <xdr:cNvPr id="1653" name="Mz_F">
                <a:extLst>
                  <a:ext uri="{FF2B5EF4-FFF2-40B4-BE49-F238E27FC236}">
                    <a16:creationId xmlns:a16="http://schemas.microsoft.com/office/drawing/2014/main" id="{E1B582FA-A329-870F-6B5D-56FE79CD338D}"/>
                  </a:ext>
                </a:extLst>
              </xdr:cNvPr>
              <xdr:cNvSpPr txBox="1"/>
            </xdr:nvSpPr>
            <xdr:spPr>
              <a:xfrm rot="16200000">
                <a:off x="8762951" y="8786375"/>
                <a:ext cx="525423" cy="141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CDC23FC-235C-446A-9396-DB08E2543CC4}"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1">
            <xdr:nvSpPr>
              <xdr:cNvPr id="1654" name="FhF">
                <a:extLst>
                  <a:ext uri="{FF2B5EF4-FFF2-40B4-BE49-F238E27FC236}">
                    <a16:creationId xmlns:a16="http://schemas.microsoft.com/office/drawing/2014/main" id="{F1856990-E6DA-2871-CEA4-1AA807920DAD}"/>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16EAF29-A28B-4027-9C85-FDDB2AA9F8A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F_Ver">
            <xdr:nvSpPr>
              <xdr:cNvPr id="1655" name="Fh_F">
                <a:extLst>
                  <a:ext uri="{FF2B5EF4-FFF2-40B4-BE49-F238E27FC236}">
                    <a16:creationId xmlns:a16="http://schemas.microsoft.com/office/drawing/2014/main" id="{D82F5ED4-D4FC-33D5-B14E-7BDE3DB6F3AF}"/>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81C56A7F-1A92-4EF2-B3CE-1636918379E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1">
            <xdr:nvSpPr>
              <xdr:cNvPr id="1656" name="FvF">
                <a:extLst>
                  <a:ext uri="{FF2B5EF4-FFF2-40B4-BE49-F238E27FC236}">
                    <a16:creationId xmlns:a16="http://schemas.microsoft.com/office/drawing/2014/main" id="{70129443-BBBA-B876-B957-2868022E497B}"/>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690EA4F-59EA-4F01-9051-1A31D01620BC}"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F_Ver">
            <xdr:nvSpPr>
              <xdr:cNvPr id="1657" name="Fv_F">
                <a:extLst>
                  <a:ext uri="{FF2B5EF4-FFF2-40B4-BE49-F238E27FC236}">
                    <a16:creationId xmlns:a16="http://schemas.microsoft.com/office/drawing/2014/main" id="{4E5BD5BC-3459-03EB-25AE-44955CB35E50}"/>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A2A7E54-76D4-4E9A-91E0-A07ABC0E6F1E}"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1572" name="Cargas GH">
              <a:extLst>
                <a:ext uri="{FF2B5EF4-FFF2-40B4-BE49-F238E27FC236}">
                  <a16:creationId xmlns:a16="http://schemas.microsoft.com/office/drawing/2014/main" id="{9BD79437-D2DA-D5AF-7A5B-5C5A1E609531}"/>
                </a:ext>
              </a:extLst>
            </xdr:cNvPr>
            <xdr:cNvGrpSpPr/>
          </xdr:nvGrpSpPr>
          <xdr:grpSpPr>
            <a:xfrm rot="5400000">
              <a:off x="2562605" y="5535265"/>
              <a:ext cx="713201" cy="1280923"/>
              <a:chOff x="8523476" y="7797030"/>
              <a:chExt cx="712789" cy="1292690"/>
            </a:xfrm>
          </xdr:grpSpPr>
          <xdr:sp macro="" textlink="AS22">
            <xdr:nvSpPr>
              <xdr:cNvPr id="1642" name="qGH">
                <a:extLst>
                  <a:ext uri="{FF2B5EF4-FFF2-40B4-BE49-F238E27FC236}">
                    <a16:creationId xmlns:a16="http://schemas.microsoft.com/office/drawing/2014/main" id="{0350BC3F-4526-9298-8DF7-09DDE92ACE28}"/>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998592B-116F-4D59-8424-4088644757C5}"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GH_Ver">
            <xdr:nvSpPr>
              <xdr:cNvPr id="1643" name="q_GH">
                <a:extLst>
                  <a:ext uri="{FF2B5EF4-FFF2-40B4-BE49-F238E27FC236}">
                    <a16:creationId xmlns:a16="http://schemas.microsoft.com/office/drawing/2014/main" id="{61710530-C8A5-AF19-36F6-1F902B9C5920}"/>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B140FC9-970F-4563-B047-8F0805DFF75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2">
            <xdr:nvSpPr>
              <xdr:cNvPr id="1644" name="MzG">
                <a:extLst>
                  <a:ext uri="{FF2B5EF4-FFF2-40B4-BE49-F238E27FC236}">
                    <a16:creationId xmlns:a16="http://schemas.microsoft.com/office/drawing/2014/main" id="{5A67E183-0F8E-356F-DD8C-A7200B999BE5}"/>
                  </a:ext>
                </a:extLst>
              </xdr:cNvPr>
              <xdr:cNvSpPr txBox="1"/>
            </xdr:nvSpPr>
            <xdr:spPr>
              <a:xfrm rot="16200000">
                <a:off x="9017094" y="8354219"/>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E1B1BE4-A2DB-4B7F-9A13-C4256A717CD0}"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G_Ver">
            <xdr:nvSpPr>
              <xdr:cNvPr id="1645" name="Mz_G">
                <a:extLst>
                  <a:ext uri="{FF2B5EF4-FFF2-40B4-BE49-F238E27FC236}">
                    <a16:creationId xmlns:a16="http://schemas.microsoft.com/office/drawing/2014/main" id="{051C4DAD-8110-9874-56AB-326187AB3341}"/>
                  </a:ext>
                </a:extLst>
              </xdr:cNvPr>
              <xdr:cNvSpPr txBox="1"/>
            </xdr:nvSpPr>
            <xdr:spPr>
              <a:xfrm rot="16200000">
                <a:off x="8902397" y="8106038"/>
                <a:ext cx="526583" cy="14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CDE49E8-B0BC-41C4-AA16-6AAC636B5BA8}"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2">
            <xdr:nvSpPr>
              <xdr:cNvPr id="1646" name="FhG">
                <a:extLst>
                  <a:ext uri="{FF2B5EF4-FFF2-40B4-BE49-F238E27FC236}">
                    <a16:creationId xmlns:a16="http://schemas.microsoft.com/office/drawing/2014/main" id="{B64FCBD6-9BDF-0AE7-4573-0BDE6B3F5946}"/>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75F86B3-B093-4375-A503-D42375D9AC3B}"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G_Ver">
            <xdr:nvSpPr>
              <xdr:cNvPr id="1647" name="Fh_G">
                <a:extLst>
                  <a:ext uri="{FF2B5EF4-FFF2-40B4-BE49-F238E27FC236}">
                    <a16:creationId xmlns:a16="http://schemas.microsoft.com/office/drawing/2014/main" id="{0E247B46-9978-555F-57FE-8D1C1324195B}"/>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9E614522-D572-4344-8F86-E8FDADDE17B1}"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2">
            <xdr:nvSpPr>
              <xdr:cNvPr id="1648" name="FvG">
                <a:extLst>
                  <a:ext uri="{FF2B5EF4-FFF2-40B4-BE49-F238E27FC236}">
                    <a16:creationId xmlns:a16="http://schemas.microsoft.com/office/drawing/2014/main" id="{D2A144CA-94D0-0768-1DFA-0871C4C96769}"/>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7984A85-1008-4D42-A6AF-8E3B26DED4B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G_Ver">
            <xdr:nvSpPr>
              <xdr:cNvPr id="1649" name="Fv_G">
                <a:extLst>
                  <a:ext uri="{FF2B5EF4-FFF2-40B4-BE49-F238E27FC236}">
                    <a16:creationId xmlns:a16="http://schemas.microsoft.com/office/drawing/2014/main" id="{CD798484-F04C-C6C5-6531-4B897B25D649}"/>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56943052-D66E-4739-AE50-8EC887686D00}"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1573" name="Cargas HI">
              <a:extLst>
                <a:ext uri="{FF2B5EF4-FFF2-40B4-BE49-F238E27FC236}">
                  <a16:creationId xmlns:a16="http://schemas.microsoft.com/office/drawing/2014/main" id="{FBFF6571-6B88-3E79-347D-8A254C4B8E71}"/>
                </a:ext>
              </a:extLst>
            </xdr:cNvPr>
            <xdr:cNvGrpSpPr/>
          </xdr:nvGrpSpPr>
          <xdr:grpSpPr>
            <a:xfrm>
              <a:off x="2971279" y="5820489"/>
              <a:ext cx="2227074" cy="1025174"/>
              <a:chOff x="2971279" y="5820489"/>
              <a:chExt cx="2227074" cy="1025174"/>
            </a:xfrm>
          </xdr:grpSpPr>
          <xdr:sp macro="" textlink="AS23">
            <xdr:nvSpPr>
              <xdr:cNvPr id="1628" name="qHI">
                <a:extLst>
                  <a:ext uri="{FF2B5EF4-FFF2-40B4-BE49-F238E27FC236}">
                    <a16:creationId xmlns:a16="http://schemas.microsoft.com/office/drawing/2014/main" id="{1DE4307F-EDBF-147B-7A80-24F518BF87DF}"/>
                  </a:ext>
                </a:extLst>
              </xdr:cNvPr>
              <xdr:cNvSpPr txBox="1"/>
            </xdr:nvSpPr>
            <xdr:spPr>
              <a:xfrm>
                <a:off x="3599366" y="6118119"/>
                <a:ext cx="656168" cy="141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1296B9A-7550-46E6-AFE9-8CDBE7359FC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HI_Ver">
            <xdr:nvSpPr>
              <xdr:cNvPr id="1629" name="q_HI">
                <a:extLst>
                  <a:ext uri="{FF2B5EF4-FFF2-40B4-BE49-F238E27FC236}">
                    <a16:creationId xmlns:a16="http://schemas.microsoft.com/office/drawing/2014/main" id="{1A996146-BED2-6FFE-19E0-894EAD458130}"/>
                  </a:ext>
                </a:extLst>
              </xdr:cNvPr>
              <xdr:cNvSpPr txBox="1"/>
            </xdr:nvSpPr>
            <xdr:spPr>
              <a:xfrm>
                <a:off x="3648542" y="6019885"/>
                <a:ext cx="606989" cy="141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9D1C04D-4986-44DA-9E8C-731A8852CC1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3">
            <xdr:nvSpPr>
              <xdr:cNvPr id="1630" name="MzH">
                <a:extLst>
                  <a:ext uri="{FF2B5EF4-FFF2-40B4-BE49-F238E27FC236}">
                    <a16:creationId xmlns:a16="http://schemas.microsoft.com/office/drawing/2014/main" id="{78923BD5-2B03-BB9D-B6F8-5149363C4928}"/>
                  </a:ext>
                </a:extLst>
              </xdr:cNvPr>
              <xdr:cNvSpPr txBox="1"/>
            </xdr:nvSpPr>
            <xdr:spPr>
              <a:xfrm>
                <a:off x="3514301" y="6263031"/>
                <a:ext cx="88568" cy="140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4633F79-7B73-49E9-98CA-C7F4BD7B3CB0}"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H_Ver">
            <xdr:nvSpPr>
              <xdr:cNvPr id="1631" name="Mz_H">
                <a:extLst>
                  <a:ext uri="{FF2B5EF4-FFF2-40B4-BE49-F238E27FC236}">
                    <a16:creationId xmlns:a16="http://schemas.microsoft.com/office/drawing/2014/main" id="{90058714-45CE-23C9-55E5-48C3FDB8C46E}"/>
                  </a:ext>
                </a:extLst>
              </xdr:cNvPr>
              <xdr:cNvSpPr txBox="1"/>
            </xdr:nvSpPr>
            <xdr:spPr>
              <a:xfrm rot="16200000">
                <a:off x="3288603" y="6513147"/>
                <a:ext cx="523665" cy="141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A5A0400-2690-40F9-AC2B-336D163901AD}"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3">
            <xdr:nvSpPr>
              <xdr:cNvPr id="1632" name="FhH">
                <a:extLst>
                  <a:ext uri="{FF2B5EF4-FFF2-40B4-BE49-F238E27FC236}">
                    <a16:creationId xmlns:a16="http://schemas.microsoft.com/office/drawing/2014/main" id="{825D837E-432D-52E0-ED7D-6C1F3A0470EF}"/>
                  </a:ext>
                </a:extLst>
              </xdr:cNvPr>
              <xdr:cNvSpPr txBox="1"/>
            </xdr:nvSpPr>
            <xdr:spPr>
              <a:xfrm>
                <a:off x="3482178" y="5827472"/>
                <a:ext cx="198182" cy="140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D337A5A-399F-405C-8642-1920CE8F6CAD}"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H_Ver">
            <xdr:nvSpPr>
              <xdr:cNvPr id="1633" name="Fh_H">
                <a:extLst>
                  <a:ext uri="{FF2B5EF4-FFF2-40B4-BE49-F238E27FC236}">
                    <a16:creationId xmlns:a16="http://schemas.microsoft.com/office/drawing/2014/main" id="{4F67FC33-371D-820A-D800-FBE53AFDE872}"/>
                  </a:ext>
                </a:extLst>
              </xdr:cNvPr>
              <xdr:cNvSpPr txBox="1"/>
            </xdr:nvSpPr>
            <xdr:spPr>
              <a:xfrm>
                <a:off x="2971279" y="5820489"/>
                <a:ext cx="549627" cy="125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E1F3339-69FE-44F7-9719-BEF929044CD0}"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3">
            <xdr:nvSpPr>
              <xdr:cNvPr id="1634" name="FvH">
                <a:extLst>
                  <a:ext uri="{FF2B5EF4-FFF2-40B4-BE49-F238E27FC236}">
                    <a16:creationId xmlns:a16="http://schemas.microsoft.com/office/drawing/2014/main" id="{028C157B-086A-2157-689B-71C73A84E0F3}"/>
                  </a:ext>
                </a:extLst>
              </xdr:cNvPr>
              <xdr:cNvSpPr txBox="1"/>
            </xdr:nvSpPr>
            <xdr:spPr>
              <a:xfrm>
                <a:off x="3449657" y="5922043"/>
                <a:ext cx="251899" cy="140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CF197C7-B271-44FD-98FC-7B2D38813E52}"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H_Ver">
            <xdr:nvSpPr>
              <xdr:cNvPr id="1635" name="Fv_H">
                <a:extLst>
                  <a:ext uri="{FF2B5EF4-FFF2-40B4-BE49-F238E27FC236}">
                    <a16:creationId xmlns:a16="http://schemas.microsoft.com/office/drawing/2014/main" id="{FC3DC7A1-7DDF-A209-82F1-E4526E1C269E}"/>
                  </a:ext>
                </a:extLst>
              </xdr:cNvPr>
              <xdr:cNvSpPr txBox="1"/>
            </xdr:nvSpPr>
            <xdr:spPr>
              <a:xfrm>
                <a:off x="3061194" y="5931532"/>
                <a:ext cx="458395" cy="126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2CA07029-9CB7-4993-AC0A-319DA61F51BE}"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sp macro="" textlink="$AP$24">
            <xdr:nvSpPr>
              <xdr:cNvPr id="1636" name="MzI">
                <a:extLst>
                  <a:ext uri="{FF2B5EF4-FFF2-40B4-BE49-F238E27FC236}">
                    <a16:creationId xmlns:a16="http://schemas.microsoft.com/office/drawing/2014/main" id="{D1ACBB93-ECE3-E1F4-BA12-77E2DF7F58B8}"/>
                  </a:ext>
                </a:extLst>
              </xdr:cNvPr>
              <xdr:cNvSpPr txBox="1"/>
            </xdr:nvSpPr>
            <xdr:spPr>
              <a:xfrm>
                <a:off x="4359522" y="6070003"/>
                <a:ext cx="88514" cy="14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9B64E93-F000-4D2A-A055-3467C118FB8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I_Ver">
            <xdr:nvSpPr>
              <xdr:cNvPr id="1637" name="Mz_I">
                <a:extLst>
                  <a:ext uri="{FF2B5EF4-FFF2-40B4-BE49-F238E27FC236}">
                    <a16:creationId xmlns:a16="http://schemas.microsoft.com/office/drawing/2014/main" id="{7CA99F72-3FF4-4987-1304-11BFE525EA49}"/>
                  </a:ext>
                </a:extLst>
              </xdr:cNvPr>
              <xdr:cNvSpPr txBox="1"/>
            </xdr:nvSpPr>
            <xdr:spPr>
              <a:xfrm>
                <a:off x="4470012" y="6062778"/>
                <a:ext cx="525405" cy="140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EEF8E79-B28E-40DC-8081-124538E113B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4">
            <xdr:nvSpPr>
              <xdr:cNvPr id="1638" name="FhI">
                <a:extLst>
                  <a:ext uri="{FF2B5EF4-FFF2-40B4-BE49-F238E27FC236}">
                    <a16:creationId xmlns:a16="http://schemas.microsoft.com/office/drawing/2014/main" id="{5817C166-747B-9F84-4F9A-F4ECC0947B00}"/>
                  </a:ext>
                </a:extLst>
              </xdr:cNvPr>
              <xdr:cNvSpPr txBox="1"/>
            </xdr:nvSpPr>
            <xdr:spPr>
              <a:xfrm>
                <a:off x="4472891" y="6165042"/>
                <a:ext cx="198060" cy="14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8F0762B-85CB-44DE-9CAC-EA0D43055B60}"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I_Ver">
            <xdr:nvSpPr>
              <xdr:cNvPr id="1639" name="Fh_I">
                <a:extLst>
                  <a:ext uri="{FF2B5EF4-FFF2-40B4-BE49-F238E27FC236}">
                    <a16:creationId xmlns:a16="http://schemas.microsoft.com/office/drawing/2014/main" id="{88584C70-B88B-A26B-EFD5-EB800D288A9F}"/>
                  </a:ext>
                </a:extLst>
              </xdr:cNvPr>
              <xdr:cNvSpPr txBox="1"/>
            </xdr:nvSpPr>
            <xdr:spPr>
              <a:xfrm>
                <a:off x="4649066" y="6162831"/>
                <a:ext cx="549287" cy="125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E3D6144C-914B-4DC0-90B4-3A18C83E0124}" type="TxLink">
                  <a:rPr lang="en-US" sz="900" b="1" i="0" u="none" strike="noStrike">
                    <a:solidFill>
                      <a:srgbClr val="7030A0"/>
                    </a:solidFill>
                    <a:latin typeface="Calibri"/>
                    <a:ea typeface="Calibri"/>
                    <a:cs typeface="Calibri"/>
                  </a:rPr>
                  <a:pPr algn="l"/>
                  <a:t> </a:t>
                </a:fld>
                <a:endParaRPr lang="es-ES" sz="1400" b="1">
                  <a:solidFill>
                    <a:srgbClr val="0070C0"/>
                  </a:solidFill>
                </a:endParaRPr>
              </a:p>
            </xdr:txBody>
          </xdr:sp>
          <xdr:sp macro="" textlink="$AJ$24">
            <xdr:nvSpPr>
              <xdr:cNvPr id="1640" name="FvI">
                <a:extLst>
                  <a:ext uri="{FF2B5EF4-FFF2-40B4-BE49-F238E27FC236}">
                    <a16:creationId xmlns:a16="http://schemas.microsoft.com/office/drawing/2014/main" id="{52839CCD-89DA-27A3-4E1F-EE62CA917C6A}"/>
                  </a:ext>
                </a:extLst>
              </xdr:cNvPr>
              <xdr:cNvSpPr txBox="1"/>
            </xdr:nvSpPr>
            <xdr:spPr>
              <a:xfrm>
                <a:off x="4133030" y="5910833"/>
                <a:ext cx="251743" cy="140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1F922A0-684A-4745-938D-A226F1CFF2B7}"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I_Ver">
            <xdr:nvSpPr>
              <xdr:cNvPr id="1641" name="Fv_I">
                <a:extLst>
                  <a:ext uri="{FF2B5EF4-FFF2-40B4-BE49-F238E27FC236}">
                    <a16:creationId xmlns:a16="http://schemas.microsoft.com/office/drawing/2014/main" id="{897A0807-7AC4-533F-676C-CD165889AE5F}"/>
                  </a:ext>
                </a:extLst>
              </xdr:cNvPr>
              <xdr:cNvSpPr txBox="1"/>
            </xdr:nvSpPr>
            <xdr:spPr>
              <a:xfrm>
                <a:off x="3744808" y="5920333"/>
                <a:ext cx="458111" cy="126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2E14A15-C0AB-4941-AA31-2CBBE3278DD4}"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1574" name="Cargas GJ">
              <a:extLst>
                <a:ext uri="{FF2B5EF4-FFF2-40B4-BE49-F238E27FC236}">
                  <a16:creationId xmlns:a16="http://schemas.microsoft.com/office/drawing/2014/main" id="{A7E6E400-021B-24A6-0BB4-DE319AF9F55D}"/>
                </a:ext>
              </a:extLst>
            </xdr:cNvPr>
            <xdr:cNvGrpSpPr/>
          </xdr:nvGrpSpPr>
          <xdr:grpSpPr>
            <a:xfrm>
              <a:off x="2480516" y="6275759"/>
              <a:ext cx="1080825" cy="963899"/>
              <a:chOff x="8551199" y="7797030"/>
              <a:chExt cx="1084444" cy="965611"/>
            </a:xfrm>
          </xdr:grpSpPr>
          <xdr:sp macro="" textlink="AS24">
            <xdr:nvSpPr>
              <xdr:cNvPr id="1620" name="qGJ">
                <a:extLst>
                  <a:ext uri="{FF2B5EF4-FFF2-40B4-BE49-F238E27FC236}">
                    <a16:creationId xmlns:a16="http://schemas.microsoft.com/office/drawing/2014/main" id="{592C853A-71DA-9525-70AA-035EF9DDE2F8}"/>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276DDCD-13FB-4D82-8B34-3124C5E9D02E}"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GJ_Ver">
            <xdr:nvSpPr>
              <xdr:cNvPr id="1621" name="q_GJ">
                <a:extLst>
                  <a:ext uri="{FF2B5EF4-FFF2-40B4-BE49-F238E27FC236}">
                    <a16:creationId xmlns:a16="http://schemas.microsoft.com/office/drawing/2014/main" id="{CF05076A-7E26-62F5-F1F1-02DC486209A4}"/>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769EF9E-955D-48B4-902B-EE596163156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5">
            <xdr:nvSpPr>
              <xdr:cNvPr id="1622" name="MzJ">
                <a:extLst>
                  <a:ext uri="{FF2B5EF4-FFF2-40B4-BE49-F238E27FC236}">
                    <a16:creationId xmlns:a16="http://schemas.microsoft.com/office/drawing/2014/main" id="{732ED410-9691-1F57-72E1-80AE5BE55963}"/>
                  </a:ext>
                </a:extLst>
              </xdr:cNvPr>
              <xdr:cNvSpPr txBox="1"/>
            </xdr:nvSpPr>
            <xdr:spPr>
              <a:xfrm>
                <a:off x="9005676" y="8309722"/>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F70635E-F300-4309-A065-99DCD38DE72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J_Ver">
            <xdr:nvSpPr>
              <xdr:cNvPr id="1623" name="Mz_J">
                <a:extLst>
                  <a:ext uri="{FF2B5EF4-FFF2-40B4-BE49-F238E27FC236}">
                    <a16:creationId xmlns:a16="http://schemas.microsoft.com/office/drawing/2014/main" id="{6EFC4982-88ED-129E-3583-E8391E9445EC}"/>
                  </a:ext>
                </a:extLst>
              </xdr:cNvPr>
              <xdr:cNvSpPr txBox="1"/>
            </xdr:nvSpPr>
            <xdr:spPr>
              <a:xfrm>
                <a:off x="9112300" y="8306153"/>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81E81E1-F11C-4EE7-B2DA-2642928F7B23}"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5">
            <xdr:nvSpPr>
              <xdr:cNvPr id="1624" name="FhJ">
                <a:extLst>
                  <a:ext uri="{FF2B5EF4-FFF2-40B4-BE49-F238E27FC236}">
                    <a16:creationId xmlns:a16="http://schemas.microsoft.com/office/drawing/2014/main" id="{A141BE76-D97F-A098-CF70-E968C201FCE4}"/>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C5BBBA0-1ABC-44A2-89DD-F3AFED870D8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J_Ver">
            <xdr:nvSpPr>
              <xdr:cNvPr id="1625" name="Fh_J">
                <a:extLst>
                  <a:ext uri="{FF2B5EF4-FFF2-40B4-BE49-F238E27FC236}">
                    <a16:creationId xmlns:a16="http://schemas.microsoft.com/office/drawing/2014/main" id="{7EA855F7-506B-DC62-4F25-CB9B55A20F18}"/>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5DAE75C-240C-4F26-9925-9F1B5183ACD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25">
            <xdr:nvSpPr>
              <xdr:cNvPr id="1626" name="FvJ">
                <a:extLst>
                  <a:ext uri="{FF2B5EF4-FFF2-40B4-BE49-F238E27FC236}">
                    <a16:creationId xmlns:a16="http://schemas.microsoft.com/office/drawing/2014/main" id="{EB3DA347-2E41-4300-B56D-EBA7E558A23E}"/>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90CB0E0-81B2-4E22-8082-36632EC5699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J_Ver">
            <xdr:nvSpPr>
              <xdr:cNvPr id="1627" name="Fv_J">
                <a:extLst>
                  <a:ext uri="{FF2B5EF4-FFF2-40B4-BE49-F238E27FC236}">
                    <a16:creationId xmlns:a16="http://schemas.microsoft.com/office/drawing/2014/main" id="{1CB268D2-0FDD-A91D-3249-A9025C8B6C34}"/>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A6BD8AF-EFBD-4A85-AF1B-1A7A02A70876}"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1575" name="Cargas JK">
              <a:extLst>
                <a:ext uri="{FF2B5EF4-FFF2-40B4-BE49-F238E27FC236}">
                  <a16:creationId xmlns:a16="http://schemas.microsoft.com/office/drawing/2014/main" id="{05C82593-D3E0-EED7-70A7-183A265A9D49}"/>
                </a:ext>
              </a:extLst>
            </xdr:cNvPr>
            <xdr:cNvGrpSpPr/>
          </xdr:nvGrpSpPr>
          <xdr:grpSpPr>
            <a:xfrm>
              <a:off x="2480415" y="6975218"/>
              <a:ext cx="1010670" cy="1350584"/>
              <a:chOff x="8551199" y="7797030"/>
              <a:chExt cx="1014255" cy="1353377"/>
            </a:xfrm>
          </xdr:grpSpPr>
          <xdr:sp macro="" textlink="AS25">
            <xdr:nvSpPr>
              <xdr:cNvPr id="1612" name="qJK">
                <a:extLst>
                  <a:ext uri="{FF2B5EF4-FFF2-40B4-BE49-F238E27FC236}">
                    <a16:creationId xmlns:a16="http://schemas.microsoft.com/office/drawing/2014/main" id="{83250144-4878-5CC7-3F84-B17DF5598932}"/>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878A490-C0BD-4EC2-8BAD-321DA1AD869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JK_Ver">
            <xdr:nvSpPr>
              <xdr:cNvPr id="1613" name="q_JK">
                <a:extLst>
                  <a:ext uri="{FF2B5EF4-FFF2-40B4-BE49-F238E27FC236}">
                    <a16:creationId xmlns:a16="http://schemas.microsoft.com/office/drawing/2014/main" id="{304356CE-C0DE-8E18-40F0-6D67E1698388}"/>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51202CD-4A48-452C-9387-3854B3FE1054}"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6">
            <xdr:nvSpPr>
              <xdr:cNvPr id="1614" name="MzK">
                <a:extLst>
                  <a:ext uri="{FF2B5EF4-FFF2-40B4-BE49-F238E27FC236}">
                    <a16:creationId xmlns:a16="http://schemas.microsoft.com/office/drawing/2014/main" id="{BAC2FDC9-3EAA-536B-B6A0-0DC674B96748}"/>
                  </a:ext>
                </a:extLst>
              </xdr:cNvPr>
              <xdr:cNvSpPr txBox="1"/>
            </xdr:nvSpPr>
            <xdr:spPr>
              <a:xfrm>
                <a:off x="8894333" y="8485079"/>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CAA6A0F-0909-4EA4-857D-5514B29DC2B5}"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K_Ver">
            <xdr:nvSpPr>
              <xdr:cNvPr id="1615" name="Mz_K">
                <a:extLst>
                  <a:ext uri="{FF2B5EF4-FFF2-40B4-BE49-F238E27FC236}">
                    <a16:creationId xmlns:a16="http://schemas.microsoft.com/office/drawing/2014/main" id="{986736C1-87ED-69E9-8815-36096B3BE550}"/>
                  </a:ext>
                </a:extLst>
              </xdr:cNvPr>
              <xdr:cNvSpPr txBox="1"/>
            </xdr:nvSpPr>
            <xdr:spPr>
              <a:xfrm rot="16200000">
                <a:off x="8667084" y="8817831"/>
                <a:ext cx="523045" cy="142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34900774-0551-4F62-A129-A94D05E482FA}" type="TxLink">
                  <a:rPr lang="en-US" sz="900" b="1" i="0" u="none" strike="noStrike">
                    <a:solidFill>
                      <a:srgbClr val="00B050"/>
                    </a:solidFill>
                    <a:latin typeface="Calibri"/>
                    <a:ea typeface="Calibri"/>
                    <a:cs typeface="Calibri"/>
                  </a:rPr>
                  <a:pPr algn="r"/>
                  <a:t> </a:t>
                </a:fld>
                <a:endParaRPr lang="es-ES" sz="1400" b="1">
                  <a:solidFill>
                    <a:srgbClr val="0070C0"/>
                  </a:solidFill>
                </a:endParaRPr>
              </a:p>
            </xdr:txBody>
          </xdr:sp>
          <xdr:sp macro="" textlink="AM26">
            <xdr:nvSpPr>
              <xdr:cNvPr id="1616" name="FhK">
                <a:extLst>
                  <a:ext uri="{FF2B5EF4-FFF2-40B4-BE49-F238E27FC236}">
                    <a16:creationId xmlns:a16="http://schemas.microsoft.com/office/drawing/2014/main" id="{61F0E1BC-33A2-5DF4-CA95-3EF287B0E803}"/>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B76B718-3AE2-47BB-8E7F-089133AB52F9}"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K_Ver">
            <xdr:nvSpPr>
              <xdr:cNvPr id="1617" name="Fh_K">
                <a:extLst>
                  <a:ext uri="{FF2B5EF4-FFF2-40B4-BE49-F238E27FC236}">
                    <a16:creationId xmlns:a16="http://schemas.microsoft.com/office/drawing/2014/main" id="{176DC421-E8D0-A780-E93A-BDA0D6593EED}"/>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DE8E969-1B3B-46D0-9F88-F631E62A3BB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26">
            <xdr:nvSpPr>
              <xdr:cNvPr id="1618" name="FvK">
                <a:extLst>
                  <a:ext uri="{FF2B5EF4-FFF2-40B4-BE49-F238E27FC236}">
                    <a16:creationId xmlns:a16="http://schemas.microsoft.com/office/drawing/2014/main" id="{839C61BB-1651-6251-435B-0612F603D33E}"/>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B8FC98F-F0D8-4FD6-BE10-87D1017FDCE4}"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K_Ver">
            <xdr:nvSpPr>
              <xdr:cNvPr id="1619" name="Fv_K">
                <a:extLst>
                  <a:ext uri="{FF2B5EF4-FFF2-40B4-BE49-F238E27FC236}">
                    <a16:creationId xmlns:a16="http://schemas.microsoft.com/office/drawing/2014/main" id="{FE2EF6D2-0F2E-3007-C829-EB3E2288B50F}"/>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852F8CE-1E78-42E9-BF17-8D453FD96FEC}"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1576" name="Cargas KL">
              <a:extLst>
                <a:ext uri="{FF2B5EF4-FFF2-40B4-BE49-F238E27FC236}">
                  <a16:creationId xmlns:a16="http://schemas.microsoft.com/office/drawing/2014/main" id="{EE29E78D-8B85-C8FB-76DA-113E120968DE}"/>
                </a:ext>
              </a:extLst>
            </xdr:cNvPr>
            <xdr:cNvGrpSpPr/>
          </xdr:nvGrpSpPr>
          <xdr:grpSpPr>
            <a:xfrm rot="5400000">
              <a:off x="3103620" y="7220409"/>
              <a:ext cx="240938" cy="657254"/>
              <a:chOff x="8720523" y="7797030"/>
              <a:chExt cx="240717" cy="660478"/>
            </a:xfrm>
          </xdr:grpSpPr>
          <xdr:sp macro="" textlink="AS26">
            <xdr:nvSpPr>
              <xdr:cNvPr id="1610" name="qKL">
                <a:extLst>
                  <a:ext uri="{FF2B5EF4-FFF2-40B4-BE49-F238E27FC236}">
                    <a16:creationId xmlns:a16="http://schemas.microsoft.com/office/drawing/2014/main" id="{4F650F58-3657-7241-5E9C-80F7853F36B1}"/>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A70D39E-4F9C-4039-ADE9-405E2EA52A86}"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KL_Ver">
            <xdr:nvSpPr>
              <xdr:cNvPr id="1611" name="q_KL">
                <a:extLst>
                  <a:ext uri="{FF2B5EF4-FFF2-40B4-BE49-F238E27FC236}">
                    <a16:creationId xmlns:a16="http://schemas.microsoft.com/office/drawing/2014/main" id="{7EB8F48E-1EF7-5322-D38F-207EB6B98E1E}"/>
                  </a:ext>
                </a:extLst>
              </xdr:cNvPr>
              <xdr:cNvSpPr txBox="1"/>
            </xdr:nvSpPr>
            <xdr:spPr>
              <a:xfrm rot="16200000">
                <a:off x="8485766"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381E1F8-4458-4533-9979-5C9433271833}"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grpSp>
        <xdr:grpSp>
          <xdr:nvGrpSpPr>
            <xdr:cNvPr id="1577" name="Cargas LM">
              <a:extLst>
                <a:ext uri="{FF2B5EF4-FFF2-40B4-BE49-F238E27FC236}">
                  <a16:creationId xmlns:a16="http://schemas.microsoft.com/office/drawing/2014/main" id="{3ADCF308-CD02-842E-431A-548FA69330BE}"/>
                </a:ext>
              </a:extLst>
            </xdr:cNvPr>
            <xdr:cNvGrpSpPr/>
          </xdr:nvGrpSpPr>
          <xdr:grpSpPr>
            <a:xfrm rot="5400000">
              <a:off x="3312430" y="6858539"/>
              <a:ext cx="561300" cy="1308498"/>
              <a:chOff x="8523476" y="7797030"/>
              <a:chExt cx="559680" cy="1316601"/>
            </a:xfrm>
          </xdr:grpSpPr>
          <xdr:sp macro="" textlink="AS27">
            <xdr:nvSpPr>
              <xdr:cNvPr id="1602" name="qLM">
                <a:extLst>
                  <a:ext uri="{FF2B5EF4-FFF2-40B4-BE49-F238E27FC236}">
                    <a16:creationId xmlns:a16="http://schemas.microsoft.com/office/drawing/2014/main" id="{4F2FFF0E-6AF6-9328-030F-DDB2372D1C07}"/>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F380F7D-7253-4583-9828-5048E5274F6B}"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LM_Ver">
            <xdr:nvSpPr>
              <xdr:cNvPr id="1603" name="q_LM">
                <a:extLst>
                  <a:ext uri="{FF2B5EF4-FFF2-40B4-BE49-F238E27FC236}">
                    <a16:creationId xmlns:a16="http://schemas.microsoft.com/office/drawing/2014/main" id="{57F3E642-21C7-67EB-D0AA-FB1266F12BB2}"/>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31D4001-1F36-4A5A-BBAD-F95534749EC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7">
            <xdr:nvSpPr>
              <xdr:cNvPr id="1604" name="MzL">
                <a:extLst>
                  <a:ext uri="{FF2B5EF4-FFF2-40B4-BE49-F238E27FC236}">
                    <a16:creationId xmlns:a16="http://schemas.microsoft.com/office/drawing/2014/main" id="{EB4753A8-4DE0-2E83-476A-15860A00027B}"/>
                  </a:ext>
                </a:extLst>
              </xdr:cNvPr>
              <xdr:cNvSpPr txBox="1"/>
            </xdr:nvSpPr>
            <xdr:spPr>
              <a:xfrm>
                <a:off x="8970544" y="8530405"/>
                <a:ext cx="88537" cy="141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26A32F5-D1C0-40BD-9137-6979847C7537}"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L_Ver">
            <xdr:nvSpPr>
              <xdr:cNvPr id="1605" name="Mz_L">
                <a:extLst>
                  <a:ext uri="{FF2B5EF4-FFF2-40B4-BE49-F238E27FC236}">
                    <a16:creationId xmlns:a16="http://schemas.microsoft.com/office/drawing/2014/main" id="{8F504B63-B60B-8A90-FA70-4D71402B047D}"/>
                  </a:ext>
                </a:extLst>
              </xdr:cNvPr>
              <xdr:cNvSpPr txBox="1"/>
            </xdr:nvSpPr>
            <xdr:spPr>
              <a:xfrm rot="16200000">
                <a:off x="8749513" y="8779988"/>
                <a:ext cx="525969" cy="141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E8D1245-6858-4F22-A39E-9FF9DC956F3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7">
            <xdr:nvSpPr>
              <xdr:cNvPr id="1606" name="FhL">
                <a:extLst>
                  <a:ext uri="{FF2B5EF4-FFF2-40B4-BE49-F238E27FC236}">
                    <a16:creationId xmlns:a16="http://schemas.microsoft.com/office/drawing/2014/main" id="{4CBB0C4A-D228-2D25-A4A6-53FAC6E2607A}"/>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56C9F00-BEFD-4ADC-88E5-B3B076AEDD71}"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L_Ver">
            <xdr:nvSpPr>
              <xdr:cNvPr id="1607" name="Fh_L">
                <a:extLst>
                  <a:ext uri="{FF2B5EF4-FFF2-40B4-BE49-F238E27FC236}">
                    <a16:creationId xmlns:a16="http://schemas.microsoft.com/office/drawing/2014/main" id="{7CF8ECD9-EB07-ED19-9190-EE576E58C566}"/>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A58FB8D9-FEAF-4F4E-9463-4E44D93C575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7">
            <xdr:nvSpPr>
              <xdr:cNvPr id="1608" name="FvL">
                <a:extLst>
                  <a:ext uri="{FF2B5EF4-FFF2-40B4-BE49-F238E27FC236}">
                    <a16:creationId xmlns:a16="http://schemas.microsoft.com/office/drawing/2014/main" id="{AC9E45DD-C6A4-7619-E37C-C415998E8F18}"/>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1F43AB7-C44D-4CA0-B4A4-F64161874985}"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L_Ver">
            <xdr:nvSpPr>
              <xdr:cNvPr id="1609" name="Fv_L">
                <a:extLst>
                  <a:ext uri="{FF2B5EF4-FFF2-40B4-BE49-F238E27FC236}">
                    <a16:creationId xmlns:a16="http://schemas.microsoft.com/office/drawing/2014/main" id="{EAC83BB7-A25A-300F-8CA4-1E35A4EA4643}"/>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5C76FBD-1F79-4AA9-8DE6-A6FB1E03D44C}"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1578" name="Cargas MN">
              <a:extLst>
                <a:ext uri="{FF2B5EF4-FFF2-40B4-BE49-F238E27FC236}">
                  <a16:creationId xmlns:a16="http://schemas.microsoft.com/office/drawing/2014/main" id="{167E78C0-9680-1D8E-DC71-A5956A6C6062}"/>
                </a:ext>
              </a:extLst>
            </xdr:cNvPr>
            <xdr:cNvGrpSpPr/>
          </xdr:nvGrpSpPr>
          <xdr:grpSpPr>
            <a:xfrm>
              <a:off x="3658777" y="7222793"/>
              <a:ext cx="2082964" cy="565595"/>
              <a:chOff x="3658777" y="7222793"/>
              <a:chExt cx="2082964" cy="565595"/>
            </a:xfrm>
          </xdr:grpSpPr>
          <xdr:sp macro="" textlink="AS28">
            <xdr:nvSpPr>
              <xdr:cNvPr id="1588" name="qMN">
                <a:extLst>
                  <a:ext uri="{FF2B5EF4-FFF2-40B4-BE49-F238E27FC236}">
                    <a16:creationId xmlns:a16="http://schemas.microsoft.com/office/drawing/2014/main" id="{947541F7-41E4-AB2A-8612-F4044FAD13E8}"/>
                  </a:ext>
                </a:extLst>
              </xdr:cNvPr>
              <xdr:cNvSpPr txBox="1"/>
            </xdr:nvSpPr>
            <xdr:spPr>
              <a:xfrm>
                <a:off x="4285527" y="7530394"/>
                <a:ext cx="654770" cy="141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87CEEE-3714-471B-A5D7-29D7F9E3DA9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MN_Ver">
            <xdr:nvSpPr>
              <xdr:cNvPr id="1589" name="q_MN">
                <a:extLst>
                  <a:ext uri="{FF2B5EF4-FFF2-40B4-BE49-F238E27FC236}">
                    <a16:creationId xmlns:a16="http://schemas.microsoft.com/office/drawing/2014/main" id="{75760D51-540D-F686-4BE4-F4C01C92114F}"/>
                  </a:ext>
                </a:extLst>
              </xdr:cNvPr>
              <xdr:cNvSpPr txBox="1"/>
            </xdr:nvSpPr>
            <xdr:spPr>
              <a:xfrm>
                <a:off x="4334598" y="7432117"/>
                <a:ext cx="605696" cy="141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C75CE3A-B64D-4FE1-B7D0-5F32E6590A6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8">
            <xdr:nvSpPr>
              <xdr:cNvPr id="1590" name="MzM">
                <a:extLst>
                  <a:ext uri="{FF2B5EF4-FFF2-40B4-BE49-F238E27FC236}">
                    <a16:creationId xmlns:a16="http://schemas.microsoft.com/office/drawing/2014/main" id="{47162D94-EC4B-CF81-C2F6-7FDEBE069E48}"/>
                  </a:ext>
                </a:extLst>
              </xdr:cNvPr>
              <xdr:cNvSpPr txBox="1"/>
            </xdr:nvSpPr>
            <xdr:spPr>
              <a:xfrm>
                <a:off x="4324462" y="7647400"/>
                <a:ext cx="88380" cy="140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02C45D4-FC32-47D0-8A0A-58B7C2C8E44F}"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M_Ver">
            <xdr:nvSpPr>
              <xdr:cNvPr id="1591" name="Mz_M">
                <a:extLst>
                  <a:ext uri="{FF2B5EF4-FFF2-40B4-BE49-F238E27FC236}">
                    <a16:creationId xmlns:a16="http://schemas.microsoft.com/office/drawing/2014/main" id="{E5B66C23-D928-E04F-8D0C-2CC0628D378D}"/>
                  </a:ext>
                </a:extLst>
              </xdr:cNvPr>
              <xdr:cNvSpPr txBox="1"/>
            </xdr:nvSpPr>
            <xdr:spPr>
              <a:xfrm>
                <a:off x="4356696" y="7639439"/>
                <a:ext cx="522002" cy="141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2973E1B-B189-4C8F-894F-BD10E7918C4C}"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8">
            <xdr:nvSpPr>
              <xdr:cNvPr id="1592" name="FhM">
                <a:extLst>
                  <a:ext uri="{FF2B5EF4-FFF2-40B4-BE49-F238E27FC236}">
                    <a16:creationId xmlns:a16="http://schemas.microsoft.com/office/drawing/2014/main" id="{9D13F9E3-D9F1-1DDE-10E9-24105C0F588B}"/>
                  </a:ext>
                </a:extLst>
              </xdr:cNvPr>
              <xdr:cNvSpPr txBox="1"/>
            </xdr:nvSpPr>
            <xdr:spPr>
              <a:xfrm>
                <a:off x="4168588" y="7239619"/>
                <a:ext cx="197760" cy="140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3055E9E-D0B3-49FA-A34C-C91A13EF0734}"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M_Ver">
            <xdr:nvSpPr>
              <xdr:cNvPr id="1593" name="Fh_M">
                <a:extLst>
                  <a:ext uri="{FF2B5EF4-FFF2-40B4-BE49-F238E27FC236}">
                    <a16:creationId xmlns:a16="http://schemas.microsoft.com/office/drawing/2014/main" id="{D6F1A0A8-1820-E773-D10A-F1922600C293}"/>
                  </a:ext>
                </a:extLst>
              </xdr:cNvPr>
              <xdr:cNvSpPr txBox="1"/>
            </xdr:nvSpPr>
            <xdr:spPr>
              <a:xfrm>
                <a:off x="3658777" y="7232633"/>
                <a:ext cx="548456" cy="125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6BF2EFCD-9E60-48A2-9450-4ECA37518971}"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8">
            <xdr:nvSpPr>
              <xdr:cNvPr id="1594" name="FvM">
                <a:extLst>
                  <a:ext uri="{FF2B5EF4-FFF2-40B4-BE49-F238E27FC236}">
                    <a16:creationId xmlns:a16="http://schemas.microsoft.com/office/drawing/2014/main" id="{BE32E905-247D-979D-2498-4C11E0EE52D6}"/>
                  </a:ext>
                </a:extLst>
              </xdr:cNvPr>
              <xdr:cNvSpPr txBox="1"/>
            </xdr:nvSpPr>
            <xdr:spPr>
              <a:xfrm>
                <a:off x="4136136" y="7334231"/>
                <a:ext cx="251362" cy="140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EC0D37E-AB83-45A5-820D-A39EE0CD5FD8}"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M_Ver">
            <xdr:nvSpPr>
              <xdr:cNvPr id="1595" name="Fv_M">
                <a:extLst>
                  <a:ext uri="{FF2B5EF4-FFF2-40B4-BE49-F238E27FC236}">
                    <a16:creationId xmlns:a16="http://schemas.microsoft.com/office/drawing/2014/main" id="{2346C801-0E0A-B891-6E43-DA696C8663E6}"/>
                  </a:ext>
                </a:extLst>
              </xdr:cNvPr>
              <xdr:cNvSpPr txBox="1"/>
            </xdr:nvSpPr>
            <xdr:spPr>
              <a:xfrm>
                <a:off x="3748501" y="7343725"/>
                <a:ext cx="457419" cy="126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E8FF13EB-0A24-46FF-AF13-73586002FD51}"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sp macro="" textlink="$AP$29">
            <xdr:nvSpPr>
              <xdr:cNvPr id="1596" name="MzN">
                <a:extLst>
                  <a:ext uri="{FF2B5EF4-FFF2-40B4-BE49-F238E27FC236}">
                    <a16:creationId xmlns:a16="http://schemas.microsoft.com/office/drawing/2014/main" id="{55FFCC9B-C96D-7D23-309E-0CE6D038FF70}"/>
                  </a:ext>
                </a:extLst>
              </xdr:cNvPr>
              <xdr:cNvSpPr txBox="1"/>
            </xdr:nvSpPr>
            <xdr:spPr>
              <a:xfrm>
                <a:off x="5105960" y="7597303"/>
                <a:ext cx="88447" cy="14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32610BC-A3A3-4CCA-9D76-BED97BF3FA54}"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N_Ver">
            <xdr:nvSpPr>
              <xdr:cNvPr id="1597" name="Mz_N">
                <a:extLst>
                  <a:ext uri="{FF2B5EF4-FFF2-40B4-BE49-F238E27FC236}">
                    <a16:creationId xmlns:a16="http://schemas.microsoft.com/office/drawing/2014/main" id="{12B08849-91A4-5CF1-6A9C-330FA7E11A0D}"/>
                  </a:ext>
                </a:extLst>
              </xdr:cNvPr>
              <xdr:cNvSpPr txBox="1"/>
            </xdr:nvSpPr>
            <xdr:spPr>
              <a:xfrm>
                <a:off x="5216547" y="7590811"/>
                <a:ext cx="525194" cy="140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319484A-F446-4ACF-B725-7800B1314F65}"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9">
            <xdr:nvSpPr>
              <xdr:cNvPr id="1598" name="FhN">
                <a:extLst>
                  <a:ext uri="{FF2B5EF4-FFF2-40B4-BE49-F238E27FC236}">
                    <a16:creationId xmlns:a16="http://schemas.microsoft.com/office/drawing/2014/main" id="{E0200352-254E-60C6-58B7-AF833562B9F5}"/>
                  </a:ext>
                </a:extLst>
              </xdr:cNvPr>
              <xdr:cNvSpPr txBox="1"/>
            </xdr:nvSpPr>
            <xdr:spPr>
              <a:xfrm>
                <a:off x="4853008" y="7229768"/>
                <a:ext cx="197912" cy="140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73DBAFD-0A46-4335-A7C3-3A49CC69437E}"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N_Ver">
            <xdr:nvSpPr>
              <xdr:cNvPr id="1599" name="Fh_N">
                <a:extLst>
                  <a:ext uri="{FF2B5EF4-FFF2-40B4-BE49-F238E27FC236}">
                    <a16:creationId xmlns:a16="http://schemas.microsoft.com/office/drawing/2014/main" id="{1F56FA72-6A6F-E595-7359-61C28DA134E0}"/>
                  </a:ext>
                </a:extLst>
              </xdr:cNvPr>
              <xdr:cNvSpPr txBox="1"/>
            </xdr:nvSpPr>
            <xdr:spPr>
              <a:xfrm>
                <a:off x="4342808" y="7222793"/>
                <a:ext cx="548875" cy="125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D3B0745-CFEA-4692-97DD-2E559DE0327D}"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9">
            <xdr:nvSpPr>
              <xdr:cNvPr id="1600" name="FvN">
                <a:extLst>
                  <a:ext uri="{FF2B5EF4-FFF2-40B4-BE49-F238E27FC236}">
                    <a16:creationId xmlns:a16="http://schemas.microsoft.com/office/drawing/2014/main" id="{7491EE8A-09F0-FAE3-545D-00D2F61A72E9}"/>
                  </a:ext>
                </a:extLst>
              </xdr:cNvPr>
              <xdr:cNvSpPr txBox="1"/>
            </xdr:nvSpPr>
            <xdr:spPr>
              <a:xfrm>
                <a:off x="4820531" y="7324234"/>
                <a:ext cx="251554" cy="140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4B6E298-37C4-4CA9-AFB5-5F49318645AB}"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N_Ver">
            <xdr:nvSpPr>
              <xdr:cNvPr id="1601" name="Fv_N">
                <a:extLst>
                  <a:ext uri="{FF2B5EF4-FFF2-40B4-BE49-F238E27FC236}">
                    <a16:creationId xmlns:a16="http://schemas.microsoft.com/office/drawing/2014/main" id="{3722E772-A23D-0DF8-239F-62A71F6BFAB0}"/>
                  </a:ext>
                </a:extLst>
              </xdr:cNvPr>
              <xdr:cNvSpPr txBox="1"/>
            </xdr:nvSpPr>
            <xdr:spPr>
              <a:xfrm>
                <a:off x="4432600" y="7333713"/>
                <a:ext cx="457768" cy="125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FC53ABC-44E8-49BC-9E81-8A9CB3D86355}"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1579" name="Cargas MO">
              <a:extLst>
                <a:ext uri="{FF2B5EF4-FFF2-40B4-BE49-F238E27FC236}">
                  <a16:creationId xmlns:a16="http://schemas.microsoft.com/office/drawing/2014/main" id="{942D6F67-54CB-B7F8-8242-2C70CFA0A881}"/>
                </a:ext>
              </a:extLst>
            </xdr:cNvPr>
            <xdr:cNvGrpSpPr/>
          </xdr:nvGrpSpPr>
          <xdr:grpSpPr>
            <a:xfrm>
              <a:off x="3862905" y="7689469"/>
              <a:ext cx="1080867" cy="961617"/>
              <a:chOff x="8551199" y="7797030"/>
              <a:chExt cx="1084444" cy="965611"/>
            </a:xfrm>
          </xdr:grpSpPr>
          <xdr:sp macro="" textlink="AS29">
            <xdr:nvSpPr>
              <xdr:cNvPr id="1580" name="qMO">
                <a:extLst>
                  <a:ext uri="{FF2B5EF4-FFF2-40B4-BE49-F238E27FC236}">
                    <a16:creationId xmlns:a16="http://schemas.microsoft.com/office/drawing/2014/main" id="{92E760D7-0644-93B4-74E3-25B1BF8D19A0}"/>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E2EBB96-4CB5-4D6D-A76A-11658466F42F}"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MO_Ver">
            <xdr:nvSpPr>
              <xdr:cNvPr id="1581" name="q_MO">
                <a:extLst>
                  <a:ext uri="{FF2B5EF4-FFF2-40B4-BE49-F238E27FC236}">
                    <a16:creationId xmlns:a16="http://schemas.microsoft.com/office/drawing/2014/main" id="{8C31BC56-0E42-C700-055D-2868FDEC6A1C}"/>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7377C93-E7B7-4C52-908D-C4093FACD51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30">
            <xdr:nvSpPr>
              <xdr:cNvPr id="1582" name="MzO">
                <a:extLst>
                  <a:ext uri="{FF2B5EF4-FFF2-40B4-BE49-F238E27FC236}">
                    <a16:creationId xmlns:a16="http://schemas.microsoft.com/office/drawing/2014/main" id="{3524F882-250D-AA46-0912-7D98D7DE057C}"/>
                  </a:ext>
                </a:extLst>
              </xdr:cNvPr>
              <xdr:cNvSpPr txBox="1"/>
            </xdr:nvSpPr>
            <xdr:spPr>
              <a:xfrm>
                <a:off x="9005676" y="8447719"/>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5D49496-A385-4982-A938-88D3BBF4D491}"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O_Ver">
            <xdr:nvSpPr>
              <xdr:cNvPr id="1583" name="Mz_O">
                <a:extLst>
                  <a:ext uri="{FF2B5EF4-FFF2-40B4-BE49-F238E27FC236}">
                    <a16:creationId xmlns:a16="http://schemas.microsoft.com/office/drawing/2014/main" id="{086D504B-8A04-EF49-07F9-5AB2C2F40072}"/>
                  </a:ext>
                </a:extLst>
              </xdr:cNvPr>
              <xdr:cNvSpPr txBox="1"/>
            </xdr:nvSpPr>
            <xdr:spPr>
              <a:xfrm>
                <a:off x="9112300" y="8444149"/>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C5E0CC2-CD71-42DA-B001-2609ED9D7E2E}"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30">
            <xdr:nvSpPr>
              <xdr:cNvPr id="1584" name="FhO">
                <a:extLst>
                  <a:ext uri="{FF2B5EF4-FFF2-40B4-BE49-F238E27FC236}">
                    <a16:creationId xmlns:a16="http://schemas.microsoft.com/office/drawing/2014/main" id="{39EEAFFD-78DF-09E1-177F-C43B1F4A1F7A}"/>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FA1BF3-E53D-4173-8D2D-F7C6D86AD4B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O_Ver">
            <xdr:nvSpPr>
              <xdr:cNvPr id="1585" name="Fh_O">
                <a:extLst>
                  <a:ext uri="{FF2B5EF4-FFF2-40B4-BE49-F238E27FC236}">
                    <a16:creationId xmlns:a16="http://schemas.microsoft.com/office/drawing/2014/main" id="{92A7314D-6F5E-F5B3-9ED8-F72F92AC00B4}"/>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08DAA69-A8B3-4482-BAB7-7FD432377AB9}"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30">
            <xdr:nvSpPr>
              <xdr:cNvPr id="1586" name="FvO">
                <a:extLst>
                  <a:ext uri="{FF2B5EF4-FFF2-40B4-BE49-F238E27FC236}">
                    <a16:creationId xmlns:a16="http://schemas.microsoft.com/office/drawing/2014/main" id="{96EE1F92-F6AC-D438-BF35-A1D5849CE338}"/>
                  </a:ext>
                </a:extLst>
              </xdr:cNvPr>
              <xdr:cNvSpPr txBox="1"/>
            </xdr:nvSpPr>
            <xdr:spPr>
              <a:xfrm>
                <a:off x="8828170" y="8526374"/>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9ADC053-6E5B-46EF-9238-E3DD7CAA810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O_Ver">
            <xdr:nvSpPr>
              <xdr:cNvPr id="1587" name="Fv_O">
                <a:extLst>
                  <a:ext uri="{FF2B5EF4-FFF2-40B4-BE49-F238E27FC236}">
                    <a16:creationId xmlns:a16="http://schemas.microsoft.com/office/drawing/2014/main" id="{BFC6636C-7F41-B26F-90F9-F25FE15E11B0}"/>
                  </a:ext>
                </a:extLst>
              </xdr:cNvPr>
              <xdr:cNvSpPr txBox="1"/>
            </xdr:nvSpPr>
            <xdr:spPr>
              <a:xfrm>
                <a:off x="9004063" y="8538370"/>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80D4BED-91F2-43AC-A28B-DC9EC1DC2884}"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grpSp>
        <xdr:nvGrpSpPr>
          <xdr:cNvPr id="1550" name="Angulo Alfa">
            <a:extLst>
              <a:ext uri="{FF2B5EF4-FFF2-40B4-BE49-F238E27FC236}">
                <a16:creationId xmlns:a16="http://schemas.microsoft.com/office/drawing/2014/main" id="{14988B16-B6FE-1919-BF19-2CB93A88A195}"/>
              </a:ext>
            </a:extLst>
          </xdr:cNvPr>
          <xdr:cNvGrpSpPr/>
        </xdr:nvGrpSpPr>
        <xdr:grpSpPr>
          <a:xfrm>
            <a:off x="860678" y="6741781"/>
            <a:ext cx="451560" cy="265974"/>
            <a:chOff x="862489" y="6727450"/>
            <a:chExt cx="450250" cy="264977"/>
          </a:xfrm>
        </xdr:grpSpPr>
        <xdr:sp macro="" textlink="$Y$30">
          <xdr:nvSpPr>
            <xdr:cNvPr id="1563" name="Angulo">
              <a:extLst>
                <a:ext uri="{FF2B5EF4-FFF2-40B4-BE49-F238E27FC236}">
                  <a16:creationId xmlns:a16="http://schemas.microsoft.com/office/drawing/2014/main" id="{46CB59D1-A5C3-785C-8DED-793285805B5D}"/>
                </a:ext>
              </a:extLst>
            </xdr:cNvPr>
            <xdr:cNvSpPr txBox="1"/>
          </xdr:nvSpPr>
          <xdr:spPr>
            <a:xfrm>
              <a:off x="862489" y="6727450"/>
              <a:ext cx="450250" cy="26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210AAF03-5701-40A2-A5B8-6B8238FFACD3}" type="TxLink">
                <a:rPr lang="en-US" sz="2000" b="1" i="0" u="none" strike="noStrike">
                  <a:solidFill>
                    <a:srgbClr val="FF0000"/>
                  </a:solidFill>
                  <a:latin typeface="Calibri"/>
                  <a:ea typeface="Calibri"/>
                  <a:cs typeface="Calibri"/>
                </a:rPr>
                <a:pPr algn="l"/>
                <a:t> </a:t>
              </a:fld>
              <a:endParaRPr lang="es-ES" sz="1400" b="1">
                <a:solidFill>
                  <a:srgbClr val="0070C0"/>
                </a:solidFill>
              </a:endParaRPr>
            </a:p>
          </xdr:txBody>
        </xdr:sp>
        <xdr:sp macro="" textlink="$Z$30">
          <xdr:nvSpPr>
            <xdr:cNvPr id="1564" name="alfa">
              <a:extLst>
                <a:ext uri="{FF2B5EF4-FFF2-40B4-BE49-F238E27FC236}">
                  <a16:creationId xmlns:a16="http://schemas.microsoft.com/office/drawing/2014/main" id="{2FC40304-F68B-85FD-60DA-7C92936ECBBE}"/>
                </a:ext>
              </a:extLst>
            </xdr:cNvPr>
            <xdr:cNvSpPr txBox="1"/>
          </xdr:nvSpPr>
          <xdr:spPr>
            <a:xfrm>
              <a:off x="1036287" y="6749862"/>
              <a:ext cx="267133" cy="134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C9BDEA95-A4A8-4FFB-903D-9EB8563E233E}" type="TxLink">
                <a:rPr lang="el-GR" sz="12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1551" name="ARTICULACIONES">
            <a:extLst>
              <a:ext uri="{FF2B5EF4-FFF2-40B4-BE49-F238E27FC236}">
                <a16:creationId xmlns:a16="http://schemas.microsoft.com/office/drawing/2014/main" id="{CD0AFBE2-A98B-C626-34EF-A58649B44F84}"/>
              </a:ext>
            </a:extLst>
          </xdr:cNvPr>
          <xdr:cNvGrpSpPr/>
        </xdr:nvGrpSpPr>
        <xdr:grpSpPr>
          <a:xfrm>
            <a:off x="753821" y="6170130"/>
            <a:ext cx="3569463" cy="1568163"/>
            <a:chOff x="749415" y="6163234"/>
            <a:chExt cx="3563526" cy="1586696"/>
          </a:xfrm>
        </xdr:grpSpPr>
        <xdr:sp macro="" textlink="$AG$16">
          <xdr:nvSpPr>
            <xdr:cNvPr id="1552" name="Art B">
              <a:extLst>
                <a:ext uri="{FF2B5EF4-FFF2-40B4-BE49-F238E27FC236}">
                  <a16:creationId xmlns:a16="http://schemas.microsoft.com/office/drawing/2014/main" id="{4DEDEB60-AFAD-EE37-A6CC-BFDA3CB79776}"/>
                </a:ext>
              </a:extLst>
            </xdr:cNvPr>
            <xdr:cNvSpPr txBox="1"/>
          </xdr:nvSpPr>
          <xdr:spPr>
            <a:xfrm>
              <a:off x="753495" y="7563966"/>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5261C836-5578-410E-97DF-33A7480B7FE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17">
          <xdr:nvSpPr>
            <xdr:cNvPr id="1553" name="Art C">
              <a:extLst>
                <a:ext uri="{FF2B5EF4-FFF2-40B4-BE49-F238E27FC236}">
                  <a16:creationId xmlns:a16="http://schemas.microsoft.com/office/drawing/2014/main" id="{329FBEB2-AB88-CC31-D9AA-DC90A81B4034}"/>
                </a:ext>
              </a:extLst>
            </xdr:cNvPr>
            <xdr:cNvSpPr txBox="1"/>
          </xdr:nvSpPr>
          <xdr:spPr>
            <a:xfrm>
              <a:off x="749415" y="6884181"/>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F1D0E98-0684-4855-AF8C-4CB59ED771C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18">
          <xdr:nvSpPr>
            <xdr:cNvPr id="1554" name="Art D">
              <a:extLst>
                <a:ext uri="{FF2B5EF4-FFF2-40B4-BE49-F238E27FC236}">
                  <a16:creationId xmlns:a16="http://schemas.microsoft.com/office/drawing/2014/main" id="{361C5DF2-A58D-A40B-EE70-4A2F7DB7220C}"/>
                </a:ext>
              </a:extLst>
            </xdr:cNvPr>
            <xdr:cNvSpPr txBox="1"/>
          </xdr:nvSpPr>
          <xdr:spPr>
            <a:xfrm>
              <a:off x="755281" y="6169577"/>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A1FB3DC2-34AD-4057-9440-10810AEC74AE}"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0">
          <xdr:nvSpPr>
            <xdr:cNvPr id="1555" name="Art E">
              <a:extLst>
                <a:ext uri="{FF2B5EF4-FFF2-40B4-BE49-F238E27FC236}">
                  <a16:creationId xmlns:a16="http://schemas.microsoft.com/office/drawing/2014/main" id="{33CAE600-A216-5F88-BF26-8D90391BCED4}"/>
                </a:ext>
              </a:extLst>
            </xdr:cNvPr>
            <xdr:cNvSpPr txBox="1"/>
          </xdr:nvSpPr>
          <xdr:spPr>
            <a:xfrm>
              <a:off x="1465341" y="616323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C08764A-A674-48BC-B14C-7D1E34BECA60}"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1">
          <xdr:nvSpPr>
            <xdr:cNvPr id="1556" name="Art F">
              <a:extLst>
                <a:ext uri="{FF2B5EF4-FFF2-40B4-BE49-F238E27FC236}">
                  <a16:creationId xmlns:a16="http://schemas.microsoft.com/office/drawing/2014/main" id="{AE5E17AD-F5D9-551F-EE29-4C23BB71D1B8}"/>
                </a:ext>
              </a:extLst>
            </xdr:cNvPr>
            <xdr:cNvSpPr txBox="1"/>
          </xdr:nvSpPr>
          <xdr:spPr>
            <a:xfrm>
              <a:off x="2122486" y="616616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57B6657-2CC1-441C-B588-3ED29E92F58C}"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2">
          <xdr:nvSpPr>
            <xdr:cNvPr id="1557" name="Art G">
              <a:extLst>
                <a:ext uri="{FF2B5EF4-FFF2-40B4-BE49-F238E27FC236}">
                  <a16:creationId xmlns:a16="http://schemas.microsoft.com/office/drawing/2014/main" id="{79D107AE-F1A6-3C5E-A31E-72DC5012376D}"/>
                </a:ext>
              </a:extLst>
            </xdr:cNvPr>
            <xdr:cNvSpPr txBox="1"/>
          </xdr:nvSpPr>
          <xdr:spPr>
            <a:xfrm>
              <a:off x="2844754" y="6169248"/>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1CD3132-A964-42F1-B6A6-FAF91695822E}"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3">
          <xdr:nvSpPr>
            <xdr:cNvPr id="1558" name="Art H">
              <a:extLst>
                <a:ext uri="{FF2B5EF4-FFF2-40B4-BE49-F238E27FC236}">
                  <a16:creationId xmlns:a16="http://schemas.microsoft.com/office/drawing/2014/main" id="{30BF1742-0FB0-E1D7-38FC-651A89B6DCD4}"/>
                </a:ext>
              </a:extLst>
            </xdr:cNvPr>
            <xdr:cNvSpPr txBox="1"/>
          </xdr:nvSpPr>
          <xdr:spPr>
            <a:xfrm>
              <a:off x="3534467" y="616858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E167C35-7AE0-4A7A-BE56-FFDF78EA021C}"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5">
          <xdr:nvSpPr>
            <xdr:cNvPr id="1559" name="Art J">
              <a:extLst>
                <a:ext uri="{FF2B5EF4-FFF2-40B4-BE49-F238E27FC236}">
                  <a16:creationId xmlns:a16="http://schemas.microsoft.com/office/drawing/2014/main" id="{962758A7-3A21-1502-58C1-9133ACB15A8C}"/>
                </a:ext>
              </a:extLst>
            </xdr:cNvPr>
            <xdr:cNvSpPr txBox="1"/>
          </xdr:nvSpPr>
          <xdr:spPr>
            <a:xfrm>
              <a:off x="2844268" y="690713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734AA95-2095-4FAA-A3D0-C73B1DB4252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6">
          <xdr:nvSpPr>
            <xdr:cNvPr id="1560" name="Art K">
              <a:extLst>
                <a:ext uri="{FF2B5EF4-FFF2-40B4-BE49-F238E27FC236}">
                  <a16:creationId xmlns:a16="http://schemas.microsoft.com/office/drawing/2014/main" id="{86E4DDD5-1501-186B-4DD9-3AD19947E310}"/>
                </a:ext>
              </a:extLst>
            </xdr:cNvPr>
            <xdr:cNvSpPr txBox="1"/>
          </xdr:nvSpPr>
          <xdr:spPr>
            <a:xfrm>
              <a:off x="2854199" y="758463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70C1C4B-2892-4F2C-AA26-510BD5923892}"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7">
          <xdr:nvSpPr>
            <xdr:cNvPr id="1561" name="Art L">
              <a:extLst>
                <a:ext uri="{FF2B5EF4-FFF2-40B4-BE49-F238E27FC236}">
                  <a16:creationId xmlns:a16="http://schemas.microsoft.com/office/drawing/2014/main" id="{B077BC7D-1868-42D6-7AF0-25E414E0588C}"/>
                </a:ext>
              </a:extLst>
            </xdr:cNvPr>
            <xdr:cNvSpPr txBox="1"/>
          </xdr:nvSpPr>
          <xdr:spPr>
            <a:xfrm>
              <a:off x="3511345" y="7590488"/>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D560F498-F0C5-4A06-97E6-C437BBB5B32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8">
          <xdr:nvSpPr>
            <xdr:cNvPr id="1562" name="Art M">
              <a:extLst>
                <a:ext uri="{FF2B5EF4-FFF2-40B4-BE49-F238E27FC236}">
                  <a16:creationId xmlns:a16="http://schemas.microsoft.com/office/drawing/2014/main" id="{B0003F25-0A8B-4847-5885-936250D06ADD}"/>
                </a:ext>
              </a:extLst>
            </xdr:cNvPr>
            <xdr:cNvSpPr txBox="1"/>
          </xdr:nvSpPr>
          <xdr:spPr>
            <a:xfrm>
              <a:off x="4229550" y="759227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D3C7B47-106A-441D-A9AE-7CF103E31916}"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clientData/>
  </xdr:twoCellAnchor>
  <xdr:twoCellAnchor>
    <xdr:from>
      <xdr:col>1</xdr:col>
      <xdr:colOff>113426</xdr:colOff>
      <xdr:row>74</xdr:row>
      <xdr:rowOff>264620</xdr:rowOff>
    </xdr:from>
    <xdr:to>
      <xdr:col>19</xdr:col>
      <xdr:colOff>182062</xdr:colOff>
      <xdr:row>74</xdr:row>
      <xdr:rowOff>3457873</xdr:rowOff>
    </xdr:to>
    <xdr:grpSp>
      <xdr:nvGrpSpPr>
        <xdr:cNvPr id="2018" name="TODO Cortantes">
          <a:extLst>
            <a:ext uri="{FF2B5EF4-FFF2-40B4-BE49-F238E27FC236}">
              <a16:creationId xmlns:a16="http://schemas.microsoft.com/office/drawing/2014/main" id="{392CF27E-03E4-4CA3-ACF9-A989C788D727}"/>
            </a:ext>
          </a:extLst>
        </xdr:cNvPr>
        <xdr:cNvGrpSpPr/>
      </xdr:nvGrpSpPr>
      <xdr:grpSpPr>
        <a:xfrm>
          <a:off x="231959" y="24665553"/>
          <a:ext cx="6058803" cy="3193253"/>
          <a:chOff x="96785" y="5591092"/>
          <a:chExt cx="6031161" cy="3254018"/>
        </a:xfrm>
      </xdr:grpSpPr>
      <xdr:grpSp>
        <xdr:nvGrpSpPr>
          <xdr:cNvPr id="2019" name="APOYOS">
            <a:extLst>
              <a:ext uri="{FF2B5EF4-FFF2-40B4-BE49-F238E27FC236}">
                <a16:creationId xmlns:a16="http://schemas.microsoft.com/office/drawing/2014/main" id="{7097F414-5DA7-E84D-04AC-F8CE1BF670B8}"/>
              </a:ext>
            </a:extLst>
          </xdr:cNvPr>
          <xdr:cNvGrpSpPr/>
        </xdr:nvGrpSpPr>
        <xdr:grpSpPr>
          <a:xfrm>
            <a:off x="347090" y="5779996"/>
            <a:ext cx="5780856" cy="3065114"/>
            <a:chOff x="349338" y="4548554"/>
            <a:chExt cx="5769648" cy="3075598"/>
          </a:xfrm>
        </xdr:grpSpPr>
        <xdr:grpSp>
          <xdr:nvGrpSpPr>
            <xdr:cNvPr id="2295" name="NUDO A">
              <a:extLst>
                <a:ext uri="{FF2B5EF4-FFF2-40B4-BE49-F238E27FC236}">
                  <a16:creationId xmlns:a16="http://schemas.microsoft.com/office/drawing/2014/main" id="{E77F546F-DF1F-F436-8E74-4C0E1B5A6AAF}"/>
                </a:ext>
              </a:extLst>
            </xdr:cNvPr>
            <xdr:cNvGrpSpPr/>
          </xdr:nvGrpSpPr>
          <xdr:grpSpPr>
            <a:xfrm>
              <a:off x="568572" y="7016147"/>
              <a:ext cx="1562246" cy="595023"/>
              <a:chOff x="568155" y="7013335"/>
              <a:chExt cx="1564224" cy="593169"/>
            </a:xfrm>
          </xdr:grpSpPr>
          <xdr:grpSp>
            <xdr:nvGrpSpPr>
              <xdr:cNvPr id="2478" name="R A">
                <a:extLst>
                  <a:ext uri="{FF2B5EF4-FFF2-40B4-BE49-F238E27FC236}">
                    <a16:creationId xmlns:a16="http://schemas.microsoft.com/office/drawing/2014/main" id="{7154E0E6-B011-A2FD-E500-C0E65F4ACD02}"/>
                  </a:ext>
                </a:extLst>
              </xdr:cNvPr>
              <xdr:cNvGrpSpPr/>
            </xdr:nvGrpSpPr>
            <xdr:grpSpPr>
              <a:xfrm>
                <a:off x="722760" y="7089678"/>
                <a:ext cx="1409619" cy="516826"/>
                <a:chOff x="722590" y="7077320"/>
                <a:chExt cx="1408598" cy="515408"/>
              </a:xfrm>
            </xdr:grpSpPr>
            <xdr:sp macro="" textlink="RFv_A_Ver">
              <xdr:nvSpPr>
                <xdr:cNvPr id="2487" name="RvA">
                  <a:extLst>
                    <a:ext uri="{FF2B5EF4-FFF2-40B4-BE49-F238E27FC236}">
                      <a16:creationId xmlns:a16="http://schemas.microsoft.com/office/drawing/2014/main" id="{5C3BF7CA-6236-1413-2F60-34741CCEFFF0}"/>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E8B313C-E1BA-4718-894F-AB4F756A8571}"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A_Ver">
              <xdr:nvSpPr>
                <xdr:cNvPr id="2488" name="RhA">
                  <a:extLst>
                    <a:ext uri="{FF2B5EF4-FFF2-40B4-BE49-F238E27FC236}">
                      <a16:creationId xmlns:a16="http://schemas.microsoft.com/office/drawing/2014/main" id="{1432700E-31F3-AAB4-3BB5-54F21B452A4A}"/>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E3F3689-0B76-460C-BFE1-2F300B3EC73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A_Ver">
              <xdr:nvSpPr>
                <xdr:cNvPr id="2489" name="RM_A">
                  <a:extLst>
                    <a:ext uri="{FF2B5EF4-FFF2-40B4-BE49-F238E27FC236}">
                      <a16:creationId xmlns:a16="http://schemas.microsoft.com/office/drawing/2014/main" id="{978CAEB9-D770-0685-6A3B-8592AB05443B}"/>
                    </a:ext>
                  </a:extLst>
                </xdr:cNvPr>
                <xdr:cNvSpPr txBox="1"/>
              </xdr:nvSpPr>
              <xdr:spPr>
                <a:xfrm>
                  <a:off x="737776" y="7290331"/>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DD19867-7E7E-432C-9708-481E1639696B}"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479" name="Apoyo A">
                <a:extLst>
                  <a:ext uri="{FF2B5EF4-FFF2-40B4-BE49-F238E27FC236}">
                    <a16:creationId xmlns:a16="http://schemas.microsoft.com/office/drawing/2014/main" id="{4E484A19-0E39-1FAB-CE91-A1814193FCF0}"/>
                  </a:ext>
                </a:extLst>
              </xdr:cNvPr>
              <xdr:cNvGrpSpPr/>
            </xdr:nvGrpSpPr>
            <xdr:grpSpPr>
              <a:xfrm>
                <a:off x="568155" y="7013335"/>
                <a:ext cx="471080" cy="441264"/>
                <a:chOff x="10283801" y="8286200"/>
                <a:chExt cx="470180" cy="441889"/>
              </a:xfrm>
            </xdr:grpSpPr>
            <xdr:grpSp>
              <xdr:nvGrpSpPr>
                <xdr:cNvPr id="2480" name="Apoyo Móvil A">
                  <a:extLst>
                    <a:ext uri="{FF2B5EF4-FFF2-40B4-BE49-F238E27FC236}">
                      <a16:creationId xmlns:a16="http://schemas.microsoft.com/office/drawing/2014/main" id="{67F8E7AC-9639-B184-96ED-E4FEE43AA5DD}"/>
                    </a:ext>
                  </a:extLst>
                </xdr:cNvPr>
                <xdr:cNvGrpSpPr/>
              </xdr:nvGrpSpPr>
              <xdr:grpSpPr>
                <a:xfrm>
                  <a:off x="10284164" y="8440721"/>
                  <a:ext cx="469817" cy="287368"/>
                  <a:chOff x="10284164" y="8440721"/>
                  <a:chExt cx="469817" cy="287368"/>
                </a:xfrm>
              </xdr:grpSpPr>
              <xdr:sp macro="" textlink="$AF$15">
                <xdr:nvSpPr>
                  <xdr:cNvPr id="2485" name="Suelo A">
                    <a:extLst>
                      <a:ext uri="{FF2B5EF4-FFF2-40B4-BE49-F238E27FC236}">
                        <a16:creationId xmlns:a16="http://schemas.microsoft.com/office/drawing/2014/main" id="{D2ED7EB1-4673-CB12-B79D-5226184ACF98}"/>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8459142-F2CC-44E0-9A8B-4344B1323B2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5">
                <xdr:nvSpPr>
                  <xdr:cNvPr id="2486" name="Ruedas A">
                    <a:extLst>
                      <a:ext uri="{FF2B5EF4-FFF2-40B4-BE49-F238E27FC236}">
                        <a16:creationId xmlns:a16="http://schemas.microsoft.com/office/drawing/2014/main" id="{133C2657-3C91-B53B-45A9-A394E83496C2}"/>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83326684-44B3-4F23-A21C-E295C3934E4C}"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481" name="Apoyo FIjo A">
                  <a:extLst>
                    <a:ext uri="{FF2B5EF4-FFF2-40B4-BE49-F238E27FC236}">
                      <a16:creationId xmlns:a16="http://schemas.microsoft.com/office/drawing/2014/main" id="{B3FE0104-4EC8-54CE-83C1-501D65C36CCC}"/>
                    </a:ext>
                  </a:extLst>
                </xdr:cNvPr>
                <xdr:cNvGrpSpPr/>
              </xdr:nvGrpSpPr>
              <xdr:grpSpPr>
                <a:xfrm>
                  <a:off x="10283857" y="8311526"/>
                  <a:ext cx="469817" cy="355491"/>
                  <a:chOff x="10283423" y="8314710"/>
                  <a:chExt cx="469817" cy="355491"/>
                </a:xfrm>
              </xdr:grpSpPr>
              <xdr:sp macro="" textlink="$AD$15">
                <xdr:nvSpPr>
                  <xdr:cNvPr id="2483" name="Suelo A">
                    <a:extLst>
                      <a:ext uri="{FF2B5EF4-FFF2-40B4-BE49-F238E27FC236}">
                        <a16:creationId xmlns:a16="http://schemas.microsoft.com/office/drawing/2014/main" id="{C82BEA71-E9BB-7777-9C9C-6F0E93D76630}"/>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DCBF4EB-7F5B-4E92-8186-F991F436F90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5">
                <xdr:nvSpPr>
                  <xdr:cNvPr id="2484" name="Triángulo A">
                    <a:extLst>
                      <a:ext uri="{FF2B5EF4-FFF2-40B4-BE49-F238E27FC236}">
                        <a16:creationId xmlns:a16="http://schemas.microsoft.com/office/drawing/2014/main" id="{073E4098-D7D7-01FB-66FC-EE426E2ECC3E}"/>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139FEE-B908-4500-8039-70BB201F70DC}"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5">
              <xdr:nvSpPr>
                <xdr:cNvPr id="2482" name="Empotramiento A">
                  <a:extLst>
                    <a:ext uri="{FF2B5EF4-FFF2-40B4-BE49-F238E27FC236}">
                      <a16:creationId xmlns:a16="http://schemas.microsoft.com/office/drawing/2014/main" id="{9DBF090C-309D-921D-0D4D-6EDAE04B7972}"/>
                    </a:ext>
                  </a:extLst>
                </xdr:cNvPr>
                <xdr:cNvSpPr txBox="1"/>
              </xdr:nvSpPr>
              <xdr:spPr>
                <a:xfrm rot="10800000">
                  <a:off x="10283801" y="828620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F137D06-4B0A-45D1-ABFC-6933B36904D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296" name="NUDO B">
              <a:extLst>
                <a:ext uri="{FF2B5EF4-FFF2-40B4-BE49-F238E27FC236}">
                  <a16:creationId xmlns:a16="http://schemas.microsoft.com/office/drawing/2014/main" id="{A3B730CD-9559-42D3-9326-92CEE09D63ED}"/>
                </a:ext>
              </a:extLst>
            </xdr:cNvPr>
            <xdr:cNvGrpSpPr/>
          </xdr:nvGrpSpPr>
          <xdr:grpSpPr>
            <a:xfrm>
              <a:off x="567921" y="6323276"/>
              <a:ext cx="1534903" cy="622354"/>
              <a:chOff x="567504" y="6322937"/>
              <a:chExt cx="1536881" cy="619881"/>
            </a:xfrm>
          </xdr:grpSpPr>
          <xdr:grpSp>
            <xdr:nvGrpSpPr>
              <xdr:cNvPr id="2466" name="R B">
                <a:extLst>
                  <a:ext uri="{FF2B5EF4-FFF2-40B4-BE49-F238E27FC236}">
                    <a16:creationId xmlns:a16="http://schemas.microsoft.com/office/drawing/2014/main" id="{3F4F3A21-BA72-A839-1FD7-18E591241C62}"/>
                  </a:ext>
                </a:extLst>
              </xdr:cNvPr>
              <xdr:cNvGrpSpPr/>
            </xdr:nvGrpSpPr>
            <xdr:grpSpPr>
              <a:xfrm>
                <a:off x="694766" y="6425284"/>
                <a:ext cx="1409619" cy="517534"/>
                <a:chOff x="722590" y="7077320"/>
                <a:chExt cx="1408598" cy="515408"/>
              </a:xfrm>
            </xdr:grpSpPr>
            <xdr:sp macro="" textlink="RFv_B_Ver">
              <xdr:nvSpPr>
                <xdr:cNvPr id="2475" name="RvB">
                  <a:extLst>
                    <a:ext uri="{FF2B5EF4-FFF2-40B4-BE49-F238E27FC236}">
                      <a16:creationId xmlns:a16="http://schemas.microsoft.com/office/drawing/2014/main" id="{1C5F5790-A921-2278-DF4E-0E7AF41CFEF4}"/>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3DDF417-A6B9-4E31-A537-E8F30956D47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B_Ver">
              <xdr:nvSpPr>
                <xdr:cNvPr id="2476" name="RhB">
                  <a:extLst>
                    <a:ext uri="{FF2B5EF4-FFF2-40B4-BE49-F238E27FC236}">
                      <a16:creationId xmlns:a16="http://schemas.microsoft.com/office/drawing/2014/main" id="{90341B6A-0E9F-4928-2998-239B562AAEB3}"/>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B3AC227-ECCD-4403-A07B-569E1307DD74}"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B_Ver">
              <xdr:nvSpPr>
                <xdr:cNvPr id="2477" name="RM_B">
                  <a:extLst>
                    <a:ext uri="{FF2B5EF4-FFF2-40B4-BE49-F238E27FC236}">
                      <a16:creationId xmlns:a16="http://schemas.microsoft.com/office/drawing/2014/main" id="{0E64E23A-494A-7CA9-76A2-12AFCBD4EDA5}"/>
                    </a:ext>
                  </a:extLst>
                </xdr:cNvPr>
                <xdr:cNvSpPr txBox="1"/>
              </xdr:nvSpPr>
              <xdr:spPr>
                <a:xfrm>
                  <a:off x="737776" y="728493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6F6C99A-FE88-439E-8422-64D1FA71E31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467" name="Apoyo B">
                <a:extLst>
                  <a:ext uri="{FF2B5EF4-FFF2-40B4-BE49-F238E27FC236}">
                    <a16:creationId xmlns:a16="http://schemas.microsoft.com/office/drawing/2014/main" id="{C56B0C0B-C658-1EFD-C46D-C2AF2BD3621A}"/>
                  </a:ext>
                </a:extLst>
              </xdr:cNvPr>
              <xdr:cNvGrpSpPr/>
            </xdr:nvGrpSpPr>
            <xdr:grpSpPr>
              <a:xfrm>
                <a:off x="567504" y="6322937"/>
                <a:ext cx="471080" cy="441265"/>
                <a:chOff x="1241967" y="9263559"/>
                <a:chExt cx="471890" cy="446231"/>
              </a:xfrm>
            </xdr:grpSpPr>
            <xdr:grpSp>
              <xdr:nvGrpSpPr>
                <xdr:cNvPr id="2468" name="Apoyo Móvil">
                  <a:extLst>
                    <a:ext uri="{FF2B5EF4-FFF2-40B4-BE49-F238E27FC236}">
                      <a16:creationId xmlns:a16="http://schemas.microsoft.com/office/drawing/2014/main" id="{5989623E-37C5-F2FA-48C4-7EF2ED3FCF6D}"/>
                    </a:ext>
                  </a:extLst>
                </xdr:cNvPr>
                <xdr:cNvGrpSpPr/>
              </xdr:nvGrpSpPr>
              <xdr:grpSpPr>
                <a:xfrm>
                  <a:off x="1242331" y="9419598"/>
                  <a:ext cx="471526" cy="290192"/>
                  <a:chOff x="10284164" y="8440721"/>
                  <a:chExt cx="469817" cy="287368"/>
                </a:xfrm>
              </xdr:grpSpPr>
              <xdr:sp macro="" textlink="$AF$16">
                <xdr:nvSpPr>
                  <xdr:cNvPr id="2473" name="Suelo B">
                    <a:extLst>
                      <a:ext uri="{FF2B5EF4-FFF2-40B4-BE49-F238E27FC236}">
                        <a16:creationId xmlns:a16="http://schemas.microsoft.com/office/drawing/2014/main" id="{0D8E533B-7762-F647-CB8D-38FFB217E3E4}"/>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128F775E-CA9E-47CC-AA86-9A63ABCFE5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6">
                <xdr:nvSpPr>
                  <xdr:cNvPr id="2474" name="Ruedas B">
                    <a:extLst>
                      <a:ext uri="{FF2B5EF4-FFF2-40B4-BE49-F238E27FC236}">
                        <a16:creationId xmlns:a16="http://schemas.microsoft.com/office/drawing/2014/main" id="{A1B7FB76-8205-86C6-950E-63362380506D}"/>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65BF773-AFA3-4DFA-827F-04230B71B3E8}"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469" name="Apoyo FIjo">
                  <a:extLst>
                    <a:ext uri="{FF2B5EF4-FFF2-40B4-BE49-F238E27FC236}">
                      <a16:creationId xmlns:a16="http://schemas.microsoft.com/office/drawing/2014/main" id="{1BF4B5BC-7597-EFEF-CB43-2EABDA65C7E8}"/>
                    </a:ext>
                  </a:extLst>
                </xdr:cNvPr>
                <xdr:cNvGrpSpPr/>
              </xdr:nvGrpSpPr>
              <xdr:grpSpPr>
                <a:xfrm>
                  <a:off x="1242023" y="9289134"/>
                  <a:ext cx="471526" cy="358984"/>
                  <a:chOff x="10283423" y="8314710"/>
                  <a:chExt cx="469817" cy="355491"/>
                </a:xfrm>
              </xdr:grpSpPr>
              <xdr:sp macro="" textlink="$AD$16">
                <xdr:nvSpPr>
                  <xdr:cNvPr id="2471" name="Suelo B">
                    <a:extLst>
                      <a:ext uri="{FF2B5EF4-FFF2-40B4-BE49-F238E27FC236}">
                        <a16:creationId xmlns:a16="http://schemas.microsoft.com/office/drawing/2014/main" id="{677ACC6B-9927-0865-4241-4CEF7683917D}"/>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1CA56A5-2D88-48DC-950F-84C4BF7FDC6F}"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6">
                <xdr:nvSpPr>
                  <xdr:cNvPr id="2472" name="Triángulo B">
                    <a:extLst>
                      <a:ext uri="{FF2B5EF4-FFF2-40B4-BE49-F238E27FC236}">
                        <a16:creationId xmlns:a16="http://schemas.microsoft.com/office/drawing/2014/main" id="{EEC99E8E-7B83-28C1-9661-DCF385BA8E3E}"/>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32292E-0DBF-4E4A-94E6-2554949C8E14}"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6">
              <xdr:nvSpPr>
                <xdr:cNvPr id="2470" name="Empotramiento B">
                  <a:extLst>
                    <a:ext uri="{FF2B5EF4-FFF2-40B4-BE49-F238E27FC236}">
                      <a16:creationId xmlns:a16="http://schemas.microsoft.com/office/drawing/2014/main" id="{22F6C619-3190-E82C-27B5-236DC79B4503}"/>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38C2A7CC-074D-42AD-82C9-FF3CCB4530D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297" name="NUDO C">
              <a:extLst>
                <a:ext uri="{FF2B5EF4-FFF2-40B4-BE49-F238E27FC236}">
                  <a16:creationId xmlns:a16="http://schemas.microsoft.com/office/drawing/2014/main" id="{206DDA7E-607E-0208-8434-7D32F1DCCCE4}"/>
                </a:ext>
              </a:extLst>
            </xdr:cNvPr>
            <xdr:cNvGrpSpPr/>
          </xdr:nvGrpSpPr>
          <xdr:grpSpPr>
            <a:xfrm>
              <a:off x="562836" y="5631200"/>
              <a:ext cx="1560866" cy="614856"/>
              <a:chOff x="562419" y="5632714"/>
              <a:chExt cx="1562844" cy="613003"/>
            </a:xfrm>
          </xdr:grpSpPr>
          <xdr:grpSp>
            <xdr:nvGrpSpPr>
              <xdr:cNvPr id="2454" name="R C">
                <a:extLst>
                  <a:ext uri="{FF2B5EF4-FFF2-40B4-BE49-F238E27FC236}">
                    <a16:creationId xmlns:a16="http://schemas.microsoft.com/office/drawing/2014/main" id="{6767DC79-6AAB-AD1D-78F6-4B94305A2FC5}"/>
                  </a:ext>
                </a:extLst>
              </xdr:cNvPr>
              <xdr:cNvGrpSpPr/>
            </xdr:nvGrpSpPr>
            <xdr:grpSpPr>
              <a:xfrm>
                <a:off x="715644" y="5728182"/>
                <a:ext cx="1409619" cy="517535"/>
                <a:chOff x="722590" y="7077320"/>
                <a:chExt cx="1408598" cy="515408"/>
              </a:xfrm>
            </xdr:grpSpPr>
            <xdr:sp macro="" textlink="RFv_C_Ver">
              <xdr:nvSpPr>
                <xdr:cNvPr id="2463" name="RvC">
                  <a:extLst>
                    <a:ext uri="{FF2B5EF4-FFF2-40B4-BE49-F238E27FC236}">
                      <a16:creationId xmlns:a16="http://schemas.microsoft.com/office/drawing/2014/main" id="{B186216A-F02F-D0FF-6ED6-26A8181FEBD1}"/>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F71FD0-933F-49A6-AA7D-F7729A44B52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C_Ver">
              <xdr:nvSpPr>
                <xdr:cNvPr id="2464" name="RhC">
                  <a:extLst>
                    <a:ext uri="{FF2B5EF4-FFF2-40B4-BE49-F238E27FC236}">
                      <a16:creationId xmlns:a16="http://schemas.microsoft.com/office/drawing/2014/main" id="{AB30668B-303B-8FE9-1C1A-490D1B679044}"/>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8380F4F-E1C9-4DA7-8FFB-E33A324E813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C_Ver">
              <xdr:nvSpPr>
                <xdr:cNvPr id="2465" name="RM_C">
                  <a:extLst>
                    <a:ext uri="{FF2B5EF4-FFF2-40B4-BE49-F238E27FC236}">
                      <a16:creationId xmlns:a16="http://schemas.microsoft.com/office/drawing/2014/main" id="{9657AC7C-7347-CB2B-DAE8-B31C3139A5B0}"/>
                    </a:ext>
                  </a:extLst>
                </xdr:cNvPr>
                <xdr:cNvSpPr txBox="1"/>
              </xdr:nvSpPr>
              <xdr:spPr>
                <a:xfrm>
                  <a:off x="737776" y="728493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2E395C6-D6B4-433C-BAF4-5739DD22426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455" name="Apoyo C">
                <a:extLst>
                  <a:ext uri="{FF2B5EF4-FFF2-40B4-BE49-F238E27FC236}">
                    <a16:creationId xmlns:a16="http://schemas.microsoft.com/office/drawing/2014/main" id="{7E46F7EB-1461-91E4-863E-6B1BEF09E827}"/>
                  </a:ext>
                </a:extLst>
              </xdr:cNvPr>
              <xdr:cNvGrpSpPr/>
            </xdr:nvGrpSpPr>
            <xdr:grpSpPr>
              <a:xfrm>
                <a:off x="562419" y="5632714"/>
                <a:ext cx="471080" cy="442190"/>
                <a:chOff x="1241967" y="9263559"/>
                <a:chExt cx="471890" cy="446231"/>
              </a:xfrm>
            </xdr:grpSpPr>
            <xdr:grpSp>
              <xdr:nvGrpSpPr>
                <xdr:cNvPr id="2456" name="Apoyo Móvil">
                  <a:extLst>
                    <a:ext uri="{FF2B5EF4-FFF2-40B4-BE49-F238E27FC236}">
                      <a16:creationId xmlns:a16="http://schemas.microsoft.com/office/drawing/2014/main" id="{8EDAEB9C-CEFC-3B09-E32B-BA2BC8467CB2}"/>
                    </a:ext>
                  </a:extLst>
                </xdr:cNvPr>
                <xdr:cNvGrpSpPr/>
              </xdr:nvGrpSpPr>
              <xdr:grpSpPr>
                <a:xfrm>
                  <a:off x="1242331" y="9419598"/>
                  <a:ext cx="471526" cy="290192"/>
                  <a:chOff x="10284164" y="8440721"/>
                  <a:chExt cx="469817" cy="287368"/>
                </a:xfrm>
              </xdr:grpSpPr>
              <xdr:sp macro="" textlink="$AF$17">
                <xdr:nvSpPr>
                  <xdr:cNvPr id="2461" name="Suelo C">
                    <a:extLst>
                      <a:ext uri="{FF2B5EF4-FFF2-40B4-BE49-F238E27FC236}">
                        <a16:creationId xmlns:a16="http://schemas.microsoft.com/office/drawing/2014/main" id="{843BD31F-DCB2-EC6B-4B0E-F0FDA8DAFEE3}"/>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5789EEC-6AD6-4E03-8554-4FBEA6B96AB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7">
                <xdr:nvSpPr>
                  <xdr:cNvPr id="2462" name="Ruedas C">
                    <a:extLst>
                      <a:ext uri="{FF2B5EF4-FFF2-40B4-BE49-F238E27FC236}">
                        <a16:creationId xmlns:a16="http://schemas.microsoft.com/office/drawing/2014/main" id="{64571AA6-4EF5-71B5-D4C3-F16FA52FBA73}"/>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37A7308-AD41-4B34-B189-6FC78A7BF3B1}"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457" name="Apoyo FIjo">
                  <a:extLst>
                    <a:ext uri="{FF2B5EF4-FFF2-40B4-BE49-F238E27FC236}">
                      <a16:creationId xmlns:a16="http://schemas.microsoft.com/office/drawing/2014/main" id="{F34AE072-6AB5-9878-CCF3-3AA99788F8BF}"/>
                    </a:ext>
                  </a:extLst>
                </xdr:cNvPr>
                <xdr:cNvGrpSpPr/>
              </xdr:nvGrpSpPr>
              <xdr:grpSpPr>
                <a:xfrm>
                  <a:off x="1242023" y="9289134"/>
                  <a:ext cx="471526" cy="358984"/>
                  <a:chOff x="10283423" y="8314710"/>
                  <a:chExt cx="469817" cy="355491"/>
                </a:xfrm>
              </xdr:grpSpPr>
              <xdr:sp macro="" textlink="$AD$17">
                <xdr:nvSpPr>
                  <xdr:cNvPr id="2459" name="Suelo C">
                    <a:extLst>
                      <a:ext uri="{FF2B5EF4-FFF2-40B4-BE49-F238E27FC236}">
                        <a16:creationId xmlns:a16="http://schemas.microsoft.com/office/drawing/2014/main" id="{556E3926-98F9-FB83-03AB-0D7F1DE1C582}"/>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DA315E5-8B79-402E-A0D0-8D846BA40ACF}"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7">
                <xdr:nvSpPr>
                  <xdr:cNvPr id="2460" name="Triángulo C">
                    <a:extLst>
                      <a:ext uri="{FF2B5EF4-FFF2-40B4-BE49-F238E27FC236}">
                        <a16:creationId xmlns:a16="http://schemas.microsoft.com/office/drawing/2014/main" id="{8BB310A9-E055-F5D1-CA93-475737B88AB1}"/>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166C4A-4822-4595-A321-258DA649474A}"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7">
              <xdr:nvSpPr>
                <xdr:cNvPr id="2458" name="Empotramiento C">
                  <a:extLst>
                    <a:ext uri="{FF2B5EF4-FFF2-40B4-BE49-F238E27FC236}">
                      <a16:creationId xmlns:a16="http://schemas.microsoft.com/office/drawing/2014/main" id="{6C8B9623-7D66-AAA0-0A76-BA0714E84889}"/>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F8FA6FA-6121-421B-BB98-9D90A493017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298" name="NUDO D">
              <a:extLst>
                <a:ext uri="{FF2B5EF4-FFF2-40B4-BE49-F238E27FC236}">
                  <a16:creationId xmlns:a16="http://schemas.microsoft.com/office/drawing/2014/main" id="{F7D7F988-C49E-FA4F-A86B-E4528998CDE7}"/>
                </a:ext>
              </a:extLst>
            </xdr:cNvPr>
            <xdr:cNvGrpSpPr/>
          </xdr:nvGrpSpPr>
          <xdr:grpSpPr>
            <a:xfrm>
              <a:off x="495577" y="4801718"/>
              <a:ext cx="1185036" cy="844438"/>
              <a:chOff x="1342988" y="4927946"/>
              <a:chExt cx="1183550" cy="848036"/>
            </a:xfrm>
          </xdr:grpSpPr>
          <xdr:grpSp>
            <xdr:nvGrpSpPr>
              <xdr:cNvPr id="2442" name="R D">
                <a:extLst>
                  <a:ext uri="{FF2B5EF4-FFF2-40B4-BE49-F238E27FC236}">
                    <a16:creationId xmlns:a16="http://schemas.microsoft.com/office/drawing/2014/main" id="{51248134-2CE0-AD38-9F0C-50277FACB129}"/>
                  </a:ext>
                </a:extLst>
              </xdr:cNvPr>
              <xdr:cNvGrpSpPr/>
            </xdr:nvGrpSpPr>
            <xdr:grpSpPr>
              <a:xfrm>
                <a:off x="1342988" y="5324690"/>
                <a:ext cx="1183550" cy="451292"/>
                <a:chOff x="938654" y="6970859"/>
                <a:chExt cx="1184152" cy="446414"/>
              </a:xfrm>
            </xdr:grpSpPr>
            <xdr:sp macro="" textlink="RFv_D_Ver">
              <xdr:nvSpPr>
                <xdr:cNvPr id="2451" name="RvD">
                  <a:extLst>
                    <a:ext uri="{FF2B5EF4-FFF2-40B4-BE49-F238E27FC236}">
                      <a16:creationId xmlns:a16="http://schemas.microsoft.com/office/drawing/2014/main" id="{57E153E4-0017-27B7-FB75-70529E9708C5}"/>
                    </a:ext>
                  </a:extLst>
                </xdr:cNvPr>
                <xdr:cNvSpPr txBox="1"/>
              </xdr:nvSpPr>
              <xdr:spPr>
                <a:xfrm>
                  <a:off x="1148915" y="7097905"/>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6D1F760-711D-47CD-9C56-ECE3193C509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D_Ver">
              <xdr:nvSpPr>
                <xdr:cNvPr id="2452" name="RhD">
                  <a:extLst>
                    <a:ext uri="{FF2B5EF4-FFF2-40B4-BE49-F238E27FC236}">
                      <a16:creationId xmlns:a16="http://schemas.microsoft.com/office/drawing/2014/main" id="{910DEA79-00F0-ACB4-20AE-7360CDBFED4A}"/>
                    </a:ext>
                  </a:extLst>
                </xdr:cNvPr>
                <xdr:cNvSpPr txBox="1"/>
              </xdr:nvSpPr>
              <xdr:spPr>
                <a:xfrm>
                  <a:off x="1137957" y="7245532"/>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2292BA6-3922-4ECC-84D9-56F41F8EF4B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D_Ver">
              <xdr:nvSpPr>
                <xdr:cNvPr id="2453" name="RM_D">
                  <a:extLst>
                    <a:ext uri="{FF2B5EF4-FFF2-40B4-BE49-F238E27FC236}">
                      <a16:creationId xmlns:a16="http://schemas.microsoft.com/office/drawing/2014/main" id="{DF99665F-B5B8-62D8-667B-123506BFEE8E}"/>
                    </a:ext>
                  </a:extLst>
                </xdr:cNvPr>
                <xdr:cNvSpPr txBox="1"/>
              </xdr:nvSpPr>
              <xdr:spPr>
                <a:xfrm>
                  <a:off x="938654" y="6970859"/>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DADECE1C-6191-41C0-8371-D1D7D404B16D}"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2443" name="Apoyo D">
                <a:extLst>
                  <a:ext uri="{FF2B5EF4-FFF2-40B4-BE49-F238E27FC236}">
                    <a16:creationId xmlns:a16="http://schemas.microsoft.com/office/drawing/2014/main" id="{A88939A0-1482-CACC-AB9D-8B73ED311330}"/>
                  </a:ext>
                </a:extLst>
              </xdr:cNvPr>
              <xdr:cNvGrpSpPr/>
            </xdr:nvGrpSpPr>
            <xdr:grpSpPr>
              <a:xfrm>
                <a:off x="1392906" y="4927946"/>
                <a:ext cx="473544" cy="585768"/>
                <a:chOff x="1242023" y="9122731"/>
                <a:chExt cx="471834" cy="587059"/>
              </a:xfrm>
            </xdr:grpSpPr>
            <xdr:grpSp>
              <xdr:nvGrpSpPr>
                <xdr:cNvPr id="2444" name="Apoyo Móvil">
                  <a:extLst>
                    <a:ext uri="{FF2B5EF4-FFF2-40B4-BE49-F238E27FC236}">
                      <a16:creationId xmlns:a16="http://schemas.microsoft.com/office/drawing/2014/main" id="{420C43B2-4207-5262-1B78-BEB5DCB62BE4}"/>
                    </a:ext>
                  </a:extLst>
                </xdr:cNvPr>
                <xdr:cNvGrpSpPr/>
              </xdr:nvGrpSpPr>
              <xdr:grpSpPr>
                <a:xfrm>
                  <a:off x="1242331" y="9419598"/>
                  <a:ext cx="471526" cy="290192"/>
                  <a:chOff x="10284164" y="8440721"/>
                  <a:chExt cx="469817" cy="287368"/>
                </a:xfrm>
              </xdr:grpSpPr>
              <xdr:sp macro="" textlink="$AF$18">
                <xdr:nvSpPr>
                  <xdr:cNvPr id="2449" name="Suelo D">
                    <a:extLst>
                      <a:ext uri="{FF2B5EF4-FFF2-40B4-BE49-F238E27FC236}">
                        <a16:creationId xmlns:a16="http://schemas.microsoft.com/office/drawing/2014/main" id="{2AE7949D-7E8F-2DA9-BEFF-81B64A36BE79}"/>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DB8F04AC-A3F2-41BD-9B96-EF5E10AC6BD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8">
                <xdr:nvSpPr>
                  <xdr:cNvPr id="2450" name="Ruedas D">
                    <a:extLst>
                      <a:ext uri="{FF2B5EF4-FFF2-40B4-BE49-F238E27FC236}">
                        <a16:creationId xmlns:a16="http://schemas.microsoft.com/office/drawing/2014/main" id="{444AAB39-B923-5BEC-BE3C-5BCAE0F13172}"/>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3ADEF0E-3955-41E6-A552-49C0FAA2B407}"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445" name="Apoyo FIjo">
                  <a:extLst>
                    <a:ext uri="{FF2B5EF4-FFF2-40B4-BE49-F238E27FC236}">
                      <a16:creationId xmlns:a16="http://schemas.microsoft.com/office/drawing/2014/main" id="{3788C409-4863-F19A-0BF9-EFA6E0099925}"/>
                    </a:ext>
                  </a:extLst>
                </xdr:cNvPr>
                <xdr:cNvGrpSpPr/>
              </xdr:nvGrpSpPr>
              <xdr:grpSpPr>
                <a:xfrm>
                  <a:off x="1242023" y="9289134"/>
                  <a:ext cx="471526" cy="358984"/>
                  <a:chOff x="10283423" y="8314710"/>
                  <a:chExt cx="469817" cy="355491"/>
                </a:xfrm>
              </xdr:grpSpPr>
              <xdr:sp macro="" textlink="$AD$18">
                <xdr:nvSpPr>
                  <xdr:cNvPr id="2447" name="Suelo D">
                    <a:extLst>
                      <a:ext uri="{FF2B5EF4-FFF2-40B4-BE49-F238E27FC236}">
                        <a16:creationId xmlns:a16="http://schemas.microsoft.com/office/drawing/2014/main" id="{56E4042B-1B95-BF05-BA50-D948D2C5CAFF}"/>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D0ED632-27A3-4CCA-9C01-131328E810D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8">
                <xdr:nvSpPr>
                  <xdr:cNvPr id="2448" name="Triángulo D">
                    <a:extLst>
                      <a:ext uri="{FF2B5EF4-FFF2-40B4-BE49-F238E27FC236}">
                        <a16:creationId xmlns:a16="http://schemas.microsoft.com/office/drawing/2014/main" id="{D545F813-0FC6-9DA1-7341-AC8291610FF5}"/>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9846CA-42FB-488F-A596-E1A7EC03323B}"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8">
              <xdr:nvSpPr>
                <xdr:cNvPr id="2446" name="Empotramiento D">
                  <a:extLst>
                    <a:ext uri="{FF2B5EF4-FFF2-40B4-BE49-F238E27FC236}">
                      <a16:creationId xmlns:a16="http://schemas.microsoft.com/office/drawing/2014/main" id="{F5E46C2E-0175-0CB9-4BF8-4B5513C17EC7}"/>
                    </a:ext>
                  </a:extLst>
                </xdr:cNvPr>
                <xdr:cNvSpPr txBox="1"/>
              </xdr:nvSpPr>
              <xdr:spPr>
                <a:xfrm rot="16200000">
                  <a:off x="1215784" y="9224492"/>
                  <a:ext cx="475919" cy="272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0A61E1F-9A90-4A8E-90FF-C017F9A5C601}"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299" name="NUDO E">
              <a:extLst>
                <a:ext uri="{FF2B5EF4-FFF2-40B4-BE49-F238E27FC236}">
                  <a16:creationId xmlns:a16="http://schemas.microsoft.com/office/drawing/2014/main" id="{F9D72C23-9A78-53BB-4BE6-9C11870FD4F5}"/>
                </a:ext>
              </a:extLst>
            </xdr:cNvPr>
            <xdr:cNvGrpSpPr/>
          </xdr:nvGrpSpPr>
          <xdr:grpSpPr>
            <a:xfrm>
              <a:off x="349338" y="4818212"/>
              <a:ext cx="2147197" cy="679796"/>
              <a:chOff x="348943" y="4822201"/>
              <a:chExt cx="2150273" cy="677858"/>
            </a:xfrm>
          </xdr:grpSpPr>
          <xdr:grpSp>
            <xdr:nvGrpSpPr>
              <xdr:cNvPr id="2430" name="R E">
                <a:extLst>
                  <a:ext uri="{FF2B5EF4-FFF2-40B4-BE49-F238E27FC236}">
                    <a16:creationId xmlns:a16="http://schemas.microsoft.com/office/drawing/2014/main" id="{B679CA8D-CEE0-1B0E-9E5D-1F452A62D0AE}"/>
                  </a:ext>
                </a:extLst>
              </xdr:cNvPr>
              <xdr:cNvGrpSpPr/>
            </xdr:nvGrpSpPr>
            <xdr:grpSpPr>
              <a:xfrm>
                <a:off x="348943" y="4934553"/>
                <a:ext cx="2150273" cy="565506"/>
                <a:chOff x="96612" y="6730081"/>
                <a:chExt cx="2147875" cy="563264"/>
              </a:xfrm>
            </xdr:grpSpPr>
            <xdr:sp macro="" textlink="RFv_E_Ver">
              <xdr:nvSpPr>
                <xdr:cNvPr id="2439" name="RvE">
                  <a:extLst>
                    <a:ext uri="{FF2B5EF4-FFF2-40B4-BE49-F238E27FC236}">
                      <a16:creationId xmlns:a16="http://schemas.microsoft.com/office/drawing/2014/main" id="{9E3531D3-B31A-6B12-80CD-7D661777BDDA}"/>
                    </a:ext>
                  </a:extLst>
                </xdr:cNvPr>
                <xdr:cNvSpPr txBox="1"/>
              </xdr:nvSpPr>
              <xdr:spPr>
                <a:xfrm>
                  <a:off x="1223061" y="7110962"/>
                  <a:ext cx="1021426" cy="182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053569D-A283-49CD-A88B-FDADED0A90C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E_Ver">
              <xdr:nvSpPr>
                <xdr:cNvPr id="2440" name="RhE">
                  <a:extLst>
                    <a:ext uri="{FF2B5EF4-FFF2-40B4-BE49-F238E27FC236}">
                      <a16:creationId xmlns:a16="http://schemas.microsoft.com/office/drawing/2014/main" id="{EFA55A15-010F-8B2B-8F11-D487AF68FBF3}"/>
                    </a:ext>
                  </a:extLst>
                </xdr:cNvPr>
                <xdr:cNvSpPr txBox="1"/>
              </xdr:nvSpPr>
              <xdr:spPr>
                <a:xfrm>
                  <a:off x="1268165" y="6958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502FA5E-8A8B-4963-9F63-70084A491D7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E_Ver">
              <xdr:nvSpPr>
                <xdr:cNvPr id="2441" name="RM_E">
                  <a:extLst>
                    <a:ext uri="{FF2B5EF4-FFF2-40B4-BE49-F238E27FC236}">
                      <a16:creationId xmlns:a16="http://schemas.microsoft.com/office/drawing/2014/main" id="{1AC19AA3-9506-4D0B-9E7C-39E399C2A576}"/>
                    </a:ext>
                  </a:extLst>
                </xdr:cNvPr>
                <xdr:cNvSpPr txBox="1"/>
              </xdr:nvSpPr>
              <xdr:spPr>
                <a:xfrm>
                  <a:off x="96612" y="6730081"/>
                  <a:ext cx="97032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62916376-6E15-4EF2-9CCA-C87AD5EA7072}"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2431" name="Apoyo E">
                <a:extLst>
                  <a:ext uri="{FF2B5EF4-FFF2-40B4-BE49-F238E27FC236}">
                    <a16:creationId xmlns:a16="http://schemas.microsoft.com/office/drawing/2014/main" id="{0DD4BE48-D752-5891-A177-1F11A9028310}"/>
                  </a:ext>
                </a:extLst>
              </xdr:cNvPr>
              <xdr:cNvGrpSpPr/>
            </xdr:nvGrpSpPr>
            <xdr:grpSpPr>
              <a:xfrm>
                <a:off x="1241921" y="4822201"/>
                <a:ext cx="474310" cy="541771"/>
                <a:chOff x="1242023" y="9163066"/>
                <a:chExt cx="471834" cy="546724"/>
              </a:xfrm>
            </xdr:grpSpPr>
            <xdr:grpSp>
              <xdr:nvGrpSpPr>
                <xdr:cNvPr id="2432" name="Apoyo Móvil">
                  <a:extLst>
                    <a:ext uri="{FF2B5EF4-FFF2-40B4-BE49-F238E27FC236}">
                      <a16:creationId xmlns:a16="http://schemas.microsoft.com/office/drawing/2014/main" id="{B1EED279-4EF2-D392-1EFB-E4AFA7339960}"/>
                    </a:ext>
                  </a:extLst>
                </xdr:cNvPr>
                <xdr:cNvGrpSpPr/>
              </xdr:nvGrpSpPr>
              <xdr:grpSpPr>
                <a:xfrm>
                  <a:off x="1242331" y="9419598"/>
                  <a:ext cx="471526" cy="290192"/>
                  <a:chOff x="10284164" y="8440721"/>
                  <a:chExt cx="469817" cy="287368"/>
                </a:xfrm>
              </xdr:grpSpPr>
              <xdr:sp macro="" textlink="$AF$20">
                <xdr:nvSpPr>
                  <xdr:cNvPr id="2437" name="Suelo E">
                    <a:extLst>
                      <a:ext uri="{FF2B5EF4-FFF2-40B4-BE49-F238E27FC236}">
                        <a16:creationId xmlns:a16="http://schemas.microsoft.com/office/drawing/2014/main" id="{38E6C562-1929-4E21-2036-733D78D55CD9}"/>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5BDD28A-7B1F-40F7-B98D-0927F239D3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0">
                <xdr:nvSpPr>
                  <xdr:cNvPr id="2438" name="Ruedas E">
                    <a:extLst>
                      <a:ext uri="{FF2B5EF4-FFF2-40B4-BE49-F238E27FC236}">
                        <a16:creationId xmlns:a16="http://schemas.microsoft.com/office/drawing/2014/main" id="{2DE37B84-AEC2-87D0-8E92-40B2A641AA81}"/>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882A2E9C-7DB3-4EAF-8E0E-C15A23B5E6D3}"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433" name="Apoyo FIjo">
                  <a:extLst>
                    <a:ext uri="{FF2B5EF4-FFF2-40B4-BE49-F238E27FC236}">
                      <a16:creationId xmlns:a16="http://schemas.microsoft.com/office/drawing/2014/main" id="{50C4FD95-6BA4-805D-3D96-5654C4A26EFF}"/>
                    </a:ext>
                  </a:extLst>
                </xdr:cNvPr>
                <xdr:cNvGrpSpPr/>
              </xdr:nvGrpSpPr>
              <xdr:grpSpPr>
                <a:xfrm>
                  <a:off x="1242023" y="9289134"/>
                  <a:ext cx="471526" cy="358984"/>
                  <a:chOff x="10283423" y="8314710"/>
                  <a:chExt cx="469817" cy="355491"/>
                </a:xfrm>
              </xdr:grpSpPr>
              <xdr:sp macro="" textlink="$AD$20">
                <xdr:nvSpPr>
                  <xdr:cNvPr id="2435" name="Suelo E">
                    <a:extLst>
                      <a:ext uri="{FF2B5EF4-FFF2-40B4-BE49-F238E27FC236}">
                        <a16:creationId xmlns:a16="http://schemas.microsoft.com/office/drawing/2014/main" id="{3CC56937-DC3B-6713-5414-08100E1A9F2D}"/>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6F0A6A2-C565-40A8-AB00-4C88D80615AC}"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0">
                <xdr:nvSpPr>
                  <xdr:cNvPr id="2436" name="Triángulo E">
                    <a:extLst>
                      <a:ext uri="{FF2B5EF4-FFF2-40B4-BE49-F238E27FC236}">
                        <a16:creationId xmlns:a16="http://schemas.microsoft.com/office/drawing/2014/main" id="{B4AAACED-06F8-BBD2-3AEC-F0E0837E45A8}"/>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FFE167-D198-4A3D-8369-D738AA06208A}"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0">
              <xdr:nvSpPr>
                <xdr:cNvPr id="2434" name="Empotramiento E">
                  <a:extLst>
                    <a:ext uri="{FF2B5EF4-FFF2-40B4-BE49-F238E27FC236}">
                      <a16:creationId xmlns:a16="http://schemas.microsoft.com/office/drawing/2014/main" id="{5E0EA845-5B5B-9949-9204-C33F86D8442E}"/>
                    </a:ext>
                  </a:extLst>
                </xdr:cNvPr>
                <xdr:cNvSpPr txBox="1"/>
              </xdr:nvSpPr>
              <xdr:spPr>
                <a:xfrm rot="16200000">
                  <a:off x="1239770" y="9264827"/>
                  <a:ext cx="475919" cy="272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D0F400B5-D164-4DE9-88AD-4DB8DA8E6B9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300" name="NUDO F">
              <a:extLst>
                <a:ext uri="{FF2B5EF4-FFF2-40B4-BE49-F238E27FC236}">
                  <a16:creationId xmlns:a16="http://schemas.microsoft.com/office/drawing/2014/main" id="{29F70E38-5CCF-F3F8-DEC7-80D9260DA7ED}"/>
                </a:ext>
              </a:extLst>
            </xdr:cNvPr>
            <xdr:cNvGrpSpPr/>
          </xdr:nvGrpSpPr>
          <xdr:grpSpPr>
            <a:xfrm>
              <a:off x="1064190" y="4808102"/>
              <a:ext cx="1348915" cy="706918"/>
              <a:chOff x="-316791" y="4674058"/>
              <a:chExt cx="1350892" cy="704352"/>
            </a:xfrm>
          </xdr:grpSpPr>
          <xdr:grpSp>
            <xdr:nvGrpSpPr>
              <xdr:cNvPr id="2418" name="R F">
                <a:extLst>
                  <a:ext uri="{FF2B5EF4-FFF2-40B4-BE49-F238E27FC236}">
                    <a16:creationId xmlns:a16="http://schemas.microsoft.com/office/drawing/2014/main" id="{623A2E20-0BFB-A855-BCBE-AAAF88330E66}"/>
                  </a:ext>
                </a:extLst>
              </xdr:cNvPr>
              <xdr:cNvGrpSpPr/>
            </xdr:nvGrpSpPr>
            <xdr:grpSpPr>
              <a:xfrm>
                <a:off x="-316791" y="4842435"/>
                <a:ext cx="1168444" cy="535975"/>
                <a:chOff x="-720606" y="6485809"/>
                <a:chExt cx="1167141" cy="533850"/>
              </a:xfrm>
            </xdr:grpSpPr>
            <xdr:sp macro="" textlink="RFv_F_Ver">
              <xdr:nvSpPr>
                <xdr:cNvPr id="2427" name="RvF">
                  <a:extLst>
                    <a:ext uri="{FF2B5EF4-FFF2-40B4-BE49-F238E27FC236}">
                      <a16:creationId xmlns:a16="http://schemas.microsoft.com/office/drawing/2014/main" id="{47F9E3FE-A7C9-8FB2-749D-6FA29724E32D}"/>
                    </a:ext>
                  </a:extLst>
                </xdr:cNvPr>
                <xdr:cNvSpPr txBox="1"/>
              </xdr:nvSpPr>
              <xdr:spPr>
                <a:xfrm>
                  <a:off x="-527356" y="6850260"/>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C4F70B8-881F-4C70-8EF5-FF8F7FD575F4}"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F_Ver">
              <xdr:nvSpPr>
                <xdr:cNvPr id="2428" name="RhF">
                  <a:extLst>
                    <a:ext uri="{FF2B5EF4-FFF2-40B4-BE49-F238E27FC236}">
                      <a16:creationId xmlns:a16="http://schemas.microsoft.com/office/drawing/2014/main" id="{F4DBA9AC-4B10-60E8-6B5C-AA1830D902A6}"/>
                    </a:ext>
                  </a:extLst>
                </xdr:cNvPr>
                <xdr:cNvSpPr txBox="1"/>
              </xdr:nvSpPr>
              <xdr:spPr>
                <a:xfrm>
                  <a:off x="-720606" y="6660427"/>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BE3F4DDD-5135-4F11-9C6A-B6AAB649208A}"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F_Ver">
              <xdr:nvSpPr>
                <xdr:cNvPr id="2429" name="RM_F">
                  <a:extLst>
                    <a:ext uri="{FF2B5EF4-FFF2-40B4-BE49-F238E27FC236}">
                      <a16:creationId xmlns:a16="http://schemas.microsoft.com/office/drawing/2014/main" id="{7DE17187-63CE-BAAE-D409-E6047A463405}"/>
                    </a:ext>
                  </a:extLst>
                </xdr:cNvPr>
                <xdr:cNvSpPr txBox="1"/>
              </xdr:nvSpPr>
              <xdr:spPr>
                <a:xfrm>
                  <a:off x="-705367" y="6485809"/>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5197EC8-A3D4-4548-A081-59F1136EFBC9}"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2419" name="Apoyo F">
                <a:extLst>
                  <a:ext uri="{FF2B5EF4-FFF2-40B4-BE49-F238E27FC236}">
                    <a16:creationId xmlns:a16="http://schemas.microsoft.com/office/drawing/2014/main" id="{72D7DB90-5F37-2D8C-692C-E76C6FFD6F57}"/>
                  </a:ext>
                </a:extLst>
              </xdr:cNvPr>
              <xdr:cNvGrpSpPr/>
            </xdr:nvGrpSpPr>
            <xdr:grpSpPr>
              <a:xfrm>
                <a:off x="562475" y="4674058"/>
                <a:ext cx="471626" cy="568158"/>
                <a:chOff x="562305" y="4670996"/>
                <a:chExt cx="470576" cy="565923"/>
              </a:xfrm>
            </xdr:grpSpPr>
            <xdr:grpSp>
              <xdr:nvGrpSpPr>
                <xdr:cNvPr id="2420" name="Apoyo Movil F">
                  <a:extLst>
                    <a:ext uri="{FF2B5EF4-FFF2-40B4-BE49-F238E27FC236}">
                      <a16:creationId xmlns:a16="http://schemas.microsoft.com/office/drawing/2014/main" id="{9ADD09D3-67E7-6A69-482B-FF0672E14A87}"/>
                    </a:ext>
                  </a:extLst>
                </xdr:cNvPr>
                <xdr:cNvGrpSpPr/>
              </xdr:nvGrpSpPr>
              <xdr:grpSpPr>
                <a:xfrm>
                  <a:off x="562612" y="4951098"/>
                  <a:ext cx="470269" cy="285821"/>
                  <a:chOff x="562612" y="4951098"/>
                  <a:chExt cx="470269" cy="285821"/>
                </a:xfrm>
              </xdr:grpSpPr>
              <xdr:sp macro="" textlink="$AF$21">
                <xdr:nvSpPr>
                  <xdr:cNvPr id="2425" name="Suelo F">
                    <a:extLst>
                      <a:ext uri="{FF2B5EF4-FFF2-40B4-BE49-F238E27FC236}">
                        <a16:creationId xmlns:a16="http://schemas.microsoft.com/office/drawing/2014/main" id="{AB608636-8DB8-359F-2BE9-DD193D563E17}"/>
                      </a:ext>
                    </a:extLst>
                  </xdr:cNvPr>
                  <xdr:cNvSpPr txBox="1"/>
                </xdr:nvSpPr>
                <xdr:spPr>
                  <a:xfrm rot="10800000">
                    <a:off x="562612" y="4966124"/>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7B9F4E3-EF39-4556-850E-E850623C5AD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1">
                <xdr:nvSpPr>
                  <xdr:cNvPr id="2426" name="Ruedas F">
                    <a:extLst>
                      <a:ext uri="{FF2B5EF4-FFF2-40B4-BE49-F238E27FC236}">
                        <a16:creationId xmlns:a16="http://schemas.microsoft.com/office/drawing/2014/main" id="{4AB82B40-6CA3-C302-64E3-97AA5C64C125}"/>
                      </a:ext>
                    </a:extLst>
                  </xdr:cNvPr>
                  <xdr:cNvSpPr txBox="1"/>
                </xdr:nvSpPr>
                <xdr:spPr>
                  <a:xfrm>
                    <a:off x="562612" y="4951098"/>
                    <a:ext cx="470269" cy="271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815F02A-466D-4C94-963C-6BD4C8230FC8}"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421" name="Apoyo Fijo F">
                  <a:extLst>
                    <a:ext uri="{FF2B5EF4-FFF2-40B4-BE49-F238E27FC236}">
                      <a16:creationId xmlns:a16="http://schemas.microsoft.com/office/drawing/2014/main" id="{731D67A9-5CEF-D4F4-5B54-2CCDC1DC1C59}"/>
                    </a:ext>
                  </a:extLst>
                </xdr:cNvPr>
                <xdr:cNvGrpSpPr/>
              </xdr:nvGrpSpPr>
              <xdr:grpSpPr>
                <a:xfrm>
                  <a:off x="562305" y="4822599"/>
                  <a:ext cx="470269" cy="353577"/>
                  <a:chOff x="562305" y="4822599"/>
                  <a:chExt cx="470269" cy="353577"/>
                </a:xfrm>
              </xdr:grpSpPr>
              <xdr:sp macro="" textlink="$AD$21">
                <xdr:nvSpPr>
                  <xdr:cNvPr id="2423" name="Suelo F">
                    <a:extLst>
                      <a:ext uri="{FF2B5EF4-FFF2-40B4-BE49-F238E27FC236}">
                        <a16:creationId xmlns:a16="http://schemas.microsoft.com/office/drawing/2014/main" id="{2DB8C3E3-976B-8731-BB47-323A8BA282EC}"/>
                      </a:ext>
                    </a:extLst>
                  </xdr:cNvPr>
                  <xdr:cNvSpPr txBox="1"/>
                </xdr:nvSpPr>
                <xdr:spPr>
                  <a:xfrm rot="10800000">
                    <a:off x="562305" y="4905381"/>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3BC129F-6DFF-40CB-B401-408B2253637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1">
                <xdr:nvSpPr>
                  <xdr:cNvPr id="2424" name="Triángulo F">
                    <a:extLst>
                      <a:ext uri="{FF2B5EF4-FFF2-40B4-BE49-F238E27FC236}">
                        <a16:creationId xmlns:a16="http://schemas.microsoft.com/office/drawing/2014/main" id="{75DE728A-DA5E-B8A5-7EFC-C9603AD804E4}"/>
                      </a:ext>
                    </a:extLst>
                  </xdr:cNvPr>
                  <xdr:cNvSpPr txBox="1"/>
                </xdr:nvSpPr>
                <xdr:spPr>
                  <a:xfrm>
                    <a:off x="655755" y="4822599"/>
                    <a:ext cx="286909" cy="271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EF0C8C-D5B4-4DE7-A435-23315FDFD4E9}"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1">
              <xdr:nvSpPr>
                <xdr:cNvPr id="2422" name="Empotramiento F">
                  <a:extLst>
                    <a:ext uri="{FF2B5EF4-FFF2-40B4-BE49-F238E27FC236}">
                      <a16:creationId xmlns:a16="http://schemas.microsoft.com/office/drawing/2014/main" id="{C508AD8E-07B4-10C4-4B2D-9797DD116FDF}"/>
                    </a:ext>
                  </a:extLst>
                </xdr:cNvPr>
                <xdr:cNvSpPr txBox="1"/>
              </xdr:nvSpPr>
              <xdr:spPr>
                <a:xfrm rot="16200000">
                  <a:off x="544343" y="4770733"/>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3D38A89-1AE2-48E0-A48D-3C610B68CE7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301" name="NUDO G">
              <a:extLst>
                <a:ext uri="{FF2B5EF4-FFF2-40B4-BE49-F238E27FC236}">
                  <a16:creationId xmlns:a16="http://schemas.microsoft.com/office/drawing/2014/main" id="{886EC251-7106-4D11-39A7-9677D61D60A1}"/>
                </a:ext>
              </a:extLst>
            </xdr:cNvPr>
            <xdr:cNvGrpSpPr/>
          </xdr:nvGrpSpPr>
          <xdr:grpSpPr>
            <a:xfrm>
              <a:off x="1954304" y="4548554"/>
              <a:ext cx="1187472" cy="606559"/>
              <a:chOff x="1955865" y="4553630"/>
              <a:chExt cx="1188753" cy="604910"/>
            </a:xfrm>
          </xdr:grpSpPr>
          <xdr:grpSp>
            <xdr:nvGrpSpPr>
              <xdr:cNvPr id="2406" name="R G">
                <a:extLst>
                  <a:ext uri="{FF2B5EF4-FFF2-40B4-BE49-F238E27FC236}">
                    <a16:creationId xmlns:a16="http://schemas.microsoft.com/office/drawing/2014/main" id="{5BFA7C20-EA0B-F944-627A-1E525DB82E5B}"/>
                  </a:ext>
                </a:extLst>
              </xdr:cNvPr>
              <xdr:cNvGrpSpPr/>
            </xdr:nvGrpSpPr>
            <xdr:grpSpPr>
              <a:xfrm>
                <a:off x="1955865" y="4553630"/>
                <a:ext cx="995532" cy="347846"/>
                <a:chOff x="-361245" y="6127876"/>
                <a:chExt cx="994422" cy="346472"/>
              </a:xfrm>
            </xdr:grpSpPr>
            <xdr:sp macro="" textlink="RFv_G_Ver">
              <xdr:nvSpPr>
                <xdr:cNvPr id="2415" name="RvG">
                  <a:extLst>
                    <a:ext uri="{FF2B5EF4-FFF2-40B4-BE49-F238E27FC236}">
                      <a16:creationId xmlns:a16="http://schemas.microsoft.com/office/drawing/2014/main" id="{4D1CAD28-75B7-E745-087C-37DD0F1F0E5E}"/>
                    </a:ext>
                  </a:extLst>
                </xdr:cNvPr>
                <xdr:cNvSpPr txBox="1"/>
              </xdr:nvSpPr>
              <xdr:spPr>
                <a:xfrm>
                  <a:off x="-340714" y="612787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A22F03B0-E060-4148-A393-BAB67E80BA48}"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G_Ver">
              <xdr:nvSpPr>
                <xdr:cNvPr id="2416" name="RhG">
                  <a:extLst>
                    <a:ext uri="{FF2B5EF4-FFF2-40B4-BE49-F238E27FC236}">
                      <a16:creationId xmlns:a16="http://schemas.microsoft.com/office/drawing/2014/main" id="{ACAA60F0-A39B-B0AD-4866-787F85A164F2}"/>
                    </a:ext>
                  </a:extLst>
                </xdr:cNvPr>
                <xdr:cNvSpPr txBox="1"/>
              </xdr:nvSpPr>
              <xdr:spPr>
                <a:xfrm>
                  <a:off x="-341487" y="6240836"/>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0C5A9CF-F1FA-434C-982C-21DA449AA42F}"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G_Ver">
              <xdr:nvSpPr>
                <xdr:cNvPr id="2417" name="RM_G">
                  <a:extLst>
                    <a:ext uri="{FF2B5EF4-FFF2-40B4-BE49-F238E27FC236}">
                      <a16:creationId xmlns:a16="http://schemas.microsoft.com/office/drawing/2014/main" id="{167B76ED-F2B2-FF38-4A97-28C5699FB437}"/>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212AAEC9-A654-4DDE-B587-F6ED2DD38D29}"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2407" name="Apoyo G">
                <a:extLst>
                  <a:ext uri="{FF2B5EF4-FFF2-40B4-BE49-F238E27FC236}">
                    <a16:creationId xmlns:a16="http://schemas.microsoft.com/office/drawing/2014/main" id="{EC4B9C56-3DC5-7B27-8D70-79DF725266F3}"/>
                  </a:ext>
                </a:extLst>
              </xdr:cNvPr>
              <xdr:cNvGrpSpPr/>
            </xdr:nvGrpSpPr>
            <xdr:grpSpPr>
              <a:xfrm rot="10800000">
                <a:off x="2653917" y="4682168"/>
                <a:ext cx="490701" cy="476372"/>
                <a:chOff x="4712203" y="12978955"/>
                <a:chExt cx="490714" cy="481561"/>
              </a:xfrm>
            </xdr:grpSpPr>
            <xdr:grpSp>
              <xdr:nvGrpSpPr>
                <xdr:cNvPr id="2408" name="Apoyo Móvil">
                  <a:extLst>
                    <a:ext uri="{FF2B5EF4-FFF2-40B4-BE49-F238E27FC236}">
                      <a16:creationId xmlns:a16="http://schemas.microsoft.com/office/drawing/2014/main" id="{051F6A0F-2594-94C3-572D-8D63FA0BEC94}"/>
                    </a:ext>
                  </a:extLst>
                </xdr:cNvPr>
                <xdr:cNvGrpSpPr/>
              </xdr:nvGrpSpPr>
              <xdr:grpSpPr>
                <a:xfrm>
                  <a:off x="4727383" y="13169289"/>
                  <a:ext cx="475534" cy="291227"/>
                  <a:chOff x="10290702" y="8453513"/>
                  <a:chExt cx="469817" cy="287372"/>
                </a:xfrm>
              </xdr:grpSpPr>
              <xdr:sp macro="" textlink="$AE$22">
                <xdr:nvSpPr>
                  <xdr:cNvPr id="2413" name="Ruedas G">
                    <a:extLst>
                      <a:ext uri="{FF2B5EF4-FFF2-40B4-BE49-F238E27FC236}">
                        <a16:creationId xmlns:a16="http://schemas.microsoft.com/office/drawing/2014/main" id="{C23B26A3-39F9-1889-B550-E35457700B92}"/>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FD29B93-2B99-4045-A3AC-CAC5BA3FE256}"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2">
                <xdr:nvSpPr>
                  <xdr:cNvPr id="2414" name="Suelo G">
                    <a:extLst>
                      <a:ext uri="{FF2B5EF4-FFF2-40B4-BE49-F238E27FC236}">
                        <a16:creationId xmlns:a16="http://schemas.microsoft.com/office/drawing/2014/main" id="{92AC4596-F788-35A9-8EAF-6F747FB2E903}"/>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8BAD46D-E3F6-4BC0-8025-9CBF20652A91}"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409" name="Apoyo FIjo">
                  <a:extLst>
                    <a:ext uri="{FF2B5EF4-FFF2-40B4-BE49-F238E27FC236}">
                      <a16:creationId xmlns:a16="http://schemas.microsoft.com/office/drawing/2014/main" id="{74846B0F-163E-4743-AAFC-18A0C85738BB}"/>
                    </a:ext>
                  </a:extLst>
                </xdr:cNvPr>
                <xdr:cNvGrpSpPr/>
              </xdr:nvGrpSpPr>
              <xdr:grpSpPr>
                <a:xfrm>
                  <a:off x="4726743" y="13031926"/>
                  <a:ext cx="475534" cy="354860"/>
                  <a:chOff x="10289636" y="8321106"/>
                  <a:chExt cx="469817" cy="350161"/>
                </a:xfrm>
              </xdr:grpSpPr>
              <xdr:sp macro="" textlink="$AC$22">
                <xdr:nvSpPr>
                  <xdr:cNvPr id="2411" name="Triángulo G">
                    <a:extLst>
                      <a:ext uri="{FF2B5EF4-FFF2-40B4-BE49-F238E27FC236}">
                        <a16:creationId xmlns:a16="http://schemas.microsoft.com/office/drawing/2014/main" id="{30961125-1447-6484-6CC5-6571C18371EA}"/>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AFC722-D6D2-4D24-8EA3-C7E72DC9B5DD}"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2">
                <xdr:nvSpPr>
                  <xdr:cNvPr id="2412" name="Suelo G">
                    <a:extLst>
                      <a:ext uri="{FF2B5EF4-FFF2-40B4-BE49-F238E27FC236}">
                        <a16:creationId xmlns:a16="http://schemas.microsoft.com/office/drawing/2014/main" id="{595BED5A-6A69-274D-AB2B-2A103F4EF74D}"/>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6DF9A95-4E89-4D61-935A-7082F22646A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2">
              <xdr:nvSpPr>
                <xdr:cNvPr id="2410" name="Empotramiento G">
                  <a:extLst>
                    <a:ext uri="{FF2B5EF4-FFF2-40B4-BE49-F238E27FC236}">
                      <a16:creationId xmlns:a16="http://schemas.microsoft.com/office/drawing/2014/main" id="{5CF99B25-575B-D13A-E608-FD3F3F5E287D}"/>
                    </a:ext>
                  </a:extLst>
                </xdr:cNvPr>
                <xdr:cNvSpPr txBox="1"/>
              </xdr:nvSpPr>
              <xdr:spPr>
                <a:xfrm rot="10800000">
                  <a:off x="4712203" y="12978955"/>
                  <a:ext cx="471015"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7C12813-F9E5-4F6A-AE48-92FBA8616C6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302" name="NUDO H">
              <a:extLst>
                <a:ext uri="{FF2B5EF4-FFF2-40B4-BE49-F238E27FC236}">
                  <a16:creationId xmlns:a16="http://schemas.microsoft.com/office/drawing/2014/main" id="{56B748B8-7700-35DC-EA54-87083D67D535}"/>
                </a:ext>
              </a:extLst>
            </xdr:cNvPr>
            <xdr:cNvGrpSpPr/>
          </xdr:nvGrpSpPr>
          <xdr:grpSpPr>
            <a:xfrm>
              <a:off x="3347841" y="4819104"/>
              <a:ext cx="1386641" cy="692654"/>
              <a:chOff x="3351378" y="4823090"/>
              <a:chExt cx="1388619" cy="690800"/>
            </a:xfrm>
          </xdr:grpSpPr>
          <xdr:grpSp>
            <xdr:nvGrpSpPr>
              <xdr:cNvPr id="2394" name="R H">
                <a:extLst>
                  <a:ext uri="{FF2B5EF4-FFF2-40B4-BE49-F238E27FC236}">
                    <a16:creationId xmlns:a16="http://schemas.microsoft.com/office/drawing/2014/main" id="{F9644632-4FFA-AF9D-82F5-BF8B0C21897B}"/>
                  </a:ext>
                </a:extLst>
              </xdr:cNvPr>
              <xdr:cNvGrpSpPr/>
            </xdr:nvGrpSpPr>
            <xdr:grpSpPr>
              <a:xfrm>
                <a:off x="3538909" y="4957474"/>
                <a:ext cx="1201088" cy="556416"/>
                <a:chOff x="1067815" y="6991833"/>
                <a:chExt cx="1199744" cy="554212"/>
              </a:xfrm>
            </xdr:grpSpPr>
            <xdr:sp macro="" textlink="RFv_H_Ver">
              <xdr:nvSpPr>
                <xdr:cNvPr id="2403" name="RvH">
                  <a:extLst>
                    <a:ext uri="{FF2B5EF4-FFF2-40B4-BE49-F238E27FC236}">
                      <a16:creationId xmlns:a16="http://schemas.microsoft.com/office/drawing/2014/main" id="{2A53892E-3AD8-462B-E333-536A1F3F5376}"/>
                    </a:ext>
                  </a:extLst>
                </xdr:cNvPr>
                <xdr:cNvSpPr txBox="1"/>
              </xdr:nvSpPr>
              <xdr:spPr>
                <a:xfrm>
                  <a:off x="1067815" y="737664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35C6EA3-6491-482D-A6F0-29E54BA69E81}"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H_Ver">
              <xdr:nvSpPr>
                <xdr:cNvPr id="2404" name="RhH">
                  <a:extLst>
                    <a:ext uri="{FF2B5EF4-FFF2-40B4-BE49-F238E27FC236}">
                      <a16:creationId xmlns:a16="http://schemas.microsoft.com/office/drawing/2014/main" id="{F83CF5A1-68D0-1251-66BB-199ABE243AB3}"/>
                    </a:ext>
                  </a:extLst>
                </xdr:cNvPr>
                <xdr:cNvSpPr txBox="1"/>
              </xdr:nvSpPr>
              <xdr:spPr>
                <a:xfrm>
                  <a:off x="1294567" y="7189682"/>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203C94E-10F8-4669-8654-FC833F291F73}"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H_Ver">
              <xdr:nvSpPr>
                <xdr:cNvPr id="2405" name="RM_H">
                  <a:extLst>
                    <a:ext uri="{FF2B5EF4-FFF2-40B4-BE49-F238E27FC236}">
                      <a16:creationId xmlns:a16="http://schemas.microsoft.com/office/drawing/2014/main" id="{D02F76A4-B673-7988-1CBE-98575F924C5B}"/>
                    </a:ext>
                  </a:extLst>
                </xdr:cNvPr>
                <xdr:cNvSpPr txBox="1"/>
              </xdr:nvSpPr>
              <xdr:spPr>
                <a:xfrm>
                  <a:off x="1277699" y="6991833"/>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ADF250C-B2FE-410B-8BDC-46FBD3A959D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395" name="Apoyo H">
                <a:extLst>
                  <a:ext uri="{FF2B5EF4-FFF2-40B4-BE49-F238E27FC236}">
                    <a16:creationId xmlns:a16="http://schemas.microsoft.com/office/drawing/2014/main" id="{2E748186-9E02-7AAD-E962-4A13B838E6F6}"/>
                  </a:ext>
                </a:extLst>
              </xdr:cNvPr>
              <xdr:cNvGrpSpPr/>
            </xdr:nvGrpSpPr>
            <xdr:grpSpPr>
              <a:xfrm>
                <a:off x="3351378" y="4823090"/>
                <a:ext cx="474401" cy="568299"/>
                <a:chOff x="3351378" y="4823090"/>
                <a:chExt cx="474401" cy="568299"/>
              </a:xfrm>
            </xdr:grpSpPr>
            <xdr:grpSp>
              <xdr:nvGrpSpPr>
                <xdr:cNvPr id="2396" name="Apoyo Móvil">
                  <a:extLst>
                    <a:ext uri="{FF2B5EF4-FFF2-40B4-BE49-F238E27FC236}">
                      <a16:creationId xmlns:a16="http://schemas.microsoft.com/office/drawing/2014/main" id="{8A587573-00BC-5D57-FDCF-47C9BD531F63}"/>
                    </a:ext>
                  </a:extLst>
                </xdr:cNvPr>
                <xdr:cNvGrpSpPr/>
              </xdr:nvGrpSpPr>
              <xdr:grpSpPr>
                <a:xfrm>
                  <a:off x="3352008" y="5103289"/>
                  <a:ext cx="473771" cy="288100"/>
                  <a:chOff x="9236846" y="8226342"/>
                  <a:chExt cx="469817" cy="287382"/>
                </a:xfrm>
              </xdr:grpSpPr>
              <xdr:sp macro="" textlink="$AE$23">
                <xdr:nvSpPr>
                  <xdr:cNvPr id="2401" name="Ruedas H">
                    <a:extLst>
                      <a:ext uri="{FF2B5EF4-FFF2-40B4-BE49-F238E27FC236}">
                        <a16:creationId xmlns:a16="http://schemas.microsoft.com/office/drawing/2014/main" id="{0B0937E2-AB56-1074-3D17-006AF75A8B57}"/>
                      </a:ext>
                    </a:extLst>
                  </xdr:cNvPr>
                  <xdr:cNvSpPr txBox="1"/>
                </xdr:nvSpPr>
                <xdr:spPr>
                  <a:xfrm>
                    <a:off x="9236846" y="8226342"/>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47BD5C1-84C3-4C16-9260-01038DAF0581}"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3">
                <xdr:nvSpPr>
                  <xdr:cNvPr id="2402" name="Suelo H">
                    <a:extLst>
                      <a:ext uri="{FF2B5EF4-FFF2-40B4-BE49-F238E27FC236}">
                        <a16:creationId xmlns:a16="http://schemas.microsoft.com/office/drawing/2014/main" id="{DDEDBE6F-CE08-B954-808A-E0DE99BA3C19}"/>
                      </a:ext>
                    </a:extLst>
                  </xdr:cNvPr>
                  <xdr:cNvSpPr txBox="1"/>
                </xdr:nvSpPr>
                <xdr:spPr>
                  <a:xfrm rot="10800000">
                    <a:off x="9236846" y="8241463"/>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A2B3BDC-EAB9-45C0-AB14-7825158325F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397" name="Apoyo FIjo">
                  <a:extLst>
                    <a:ext uri="{FF2B5EF4-FFF2-40B4-BE49-F238E27FC236}">
                      <a16:creationId xmlns:a16="http://schemas.microsoft.com/office/drawing/2014/main" id="{C4191013-B1C7-68C3-61F7-6A9EC5D99536}"/>
                    </a:ext>
                  </a:extLst>
                </xdr:cNvPr>
                <xdr:cNvGrpSpPr/>
              </xdr:nvGrpSpPr>
              <xdr:grpSpPr>
                <a:xfrm>
                  <a:off x="3351378" y="4970300"/>
                  <a:ext cx="473771" cy="351026"/>
                  <a:chOff x="9235780" y="8096854"/>
                  <a:chExt cx="469817" cy="350150"/>
                </a:xfrm>
              </xdr:grpSpPr>
              <xdr:sp macro="" textlink="$AC$23">
                <xdr:nvSpPr>
                  <xdr:cNvPr id="2399" name="Triángulo H">
                    <a:extLst>
                      <a:ext uri="{FF2B5EF4-FFF2-40B4-BE49-F238E27FC236}">
                        <a16:creationId xmlns:a16="http://schemas.microsoft.com/office/drawing/2014/main" id="{413B1DD6-7A3D-CBDE-C238-D1A0B33EE7CE}"/>
                      </a:ext>
                    </a:extLst>
                  </xdr:cNvPr>
                  <xdr:cNvSpPr txBox="1"/>
                </xdr:nvSpPr>
                <xdr:spPr>
                  <a:xfrm>
                    <a:off x="9328097" y="8096854"/>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16E707-8B26-40AB-9B44-5DF3896E1FCC}"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3">
                <xdr:nvSpPr>
                  <xdr:cNvPr id="2400" name="Suelo H">
                    <a:extLst>
                      <a:ext uri="{FF2B5EF4-FFF2-40B4-BE49-F238E27FC236}">
                        <a16:creationId xmlns:a16="http://schemas.microsoft.com/office/drawing/2014/main" id="{A6FBA015-2E01-33EF-A00D-3071E2469899}"/>
                      </a:ext>
                    </a:extLst>
                  </xdr:cNvPr>
                  <xdr:cNvSpPr txBox="1"/>
                </xdr:nvSpPr>
                <xdr:spPr>
                  <a:xfrm rot="10800000">
                    <a:off x="9235780" y="8174743"/>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E01BC87-B6CB-4D30-A836-D322B53FBD4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3">
              <xdr:nvSpPr>
                <xdr:cNvPr id="2398" name="Empotramiento H">
                  <a:extLst>
                    <a:ext uri="{FF2B5EF4-FFF2-40B4-BE49-F238E27FC236}">
                      <a16:creationId xmlns:a16="http://schemas.microsoft.com/office/drawing/2014/main" id="{8F59C7C7-5B85-F0FA-E16C-D01C47EEC1C5}"/>
                    </a:ext>
                  </a:extLst>
                </xdr:cNvPr>
                <xdr:cNvSpPr txBox="1"/>
              </xdr:nvSpPr>
              <xdr:spPr>
                <a:xfrm rot="5400000">
                  <a:off x="3379693" y="4921320"/>
                  <a:ext cx="471003" cy="274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D72D5A2-C8D2-4F6F-B143-91532EFD7B7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303" name="NUDO I">
              <a:extLst>
                <a:ext uri="{FF2B5EF4-FFF2-40B4-BE49-F238E27FC236}">
                  <a16:creationId xmlns:a16="http://schemas.microsoft.com/office/drawing/2014/main" id="{FBF0FBFE-B2DE-3815-F842-A593749E72F6}"/>
                </a:ext>
              </a:extLst>
            </xdr:cNvPr>
            <xdr:cNvGrpSpPr/>
          </xdr:nvGrpSpPr>
          <xdr:grpSpPr>
            <a:xfrm>
              <a:off x="4047167" y="4803316"/>
              <a:ext cx="1371590" cy="667488"/>
              <a:chOff x="4051492" y="4807918"/>
              <a:chExt cx="1373923" cy="665018"/>
            </a:xfrm>
          </xdr:grpSpPr>
          <xdr:grpSp>
            <xdr:nvGrpSpPr>
              <xdr:cNvPr id="2382" name="R I">
                <a:extLst>
                  <a:ext uri="{FF2B5EF4-FFF2-40B4-BE49-F238E27FC236}">
                    <a16:creationId xmlns:a16="http://schemas.microsoft.com/office/drawing/2014/main" id="{AF45F743-24C2-8EC9-9B29-C1EB89A00DAF}"/>
                  </a:ext>
                </a:extLst>
              </xdr:cNvPr>
              <xdr:cNvGrpSpPr/>
            </xdr:nvGrpSpPr>
            <xdr:grpSpPr>
              <a:xfrm>
                <a:off x="4224327" y="4916520"/>
                <a:ext cx="1201088" cy="556416"/>
                <a:chOff x="3351378" y="4823090"/>
                <a:chExt cx="1201088" cy="556416"/>
              </a:xfrm>
            </xdr:grpSpPr>
            <xdr:sp macro="" textlink="RFv_I_Ver">
              <xdr:nvSpPr>
                <xdr:cNvPr id="2391" name="RvI">
                  <a:extLst>
                    <a:ext uri="{FF2B5EF4-FFF2-40B4-BE49-F238E27FC236}">
                      <a16:creationId xmlns:a16="http://schemas.microsoft.com/office/drawing/2014/main" id="{79D209D6-7A7F-F30D-4B38-63AAE9CAE3B0}"/>
                    </a:ext>
                  </a:extLst>
                </xdr:cNvPr>
                <xdr:cNvSpPr txBox="1"/>
              </xdr:nvSpPr>
              <xdr:spPr>
                <a:xfrm>
                  <a:off x="3351378" y="5209433"/>
                  <a:ext cx="974982" cy="170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B8BE28D-6878-4137-9735-37ECF7F51BB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I_Ver">
              <xdr:nvSpPr>
                <xdr:cNvPr id="2392" name="RhI">
                  <a:extLst>
                    <a:ext uri="{FF2B5EF4-FFF2-40B4-BE49-F238E27FC236}">
                      <a16:creationId xmlns:a16="http://schemas.microsoft.com/office/drawing/2014/main" id="{83F8E456-2E40-0383-6F0D-B702BECF1CD7}"/>
                    </a:ext>
                  </a:extLst>
                </xdr:cNvPr>
                <xdr:cNvSpPr txBox="1"/>
              </xdr:nvSpPr>
              <xdr:spPr>
                <a:xfrm>
                  <a:off x="3578384" y="5021726"/>
                  <a:ext cx="974082" cy="17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9577CFE-4BDB-4D84-956C-B92598FEE1AB}"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I_Ver">
              <xdr:nvSpPr>
                <xdr:cNvPr id="2393" name="RM_I">
                  <a:extLst>
                    <a:ext uri="{FF2B5EF4-FFF2-40B4-BE49-F238E27FC236}">
                      <a16:creationId xmlns:a16="http://schemas.microsoft.com/office/drawing/2014/main" id="{C09695BC-1C3C-BC21-8AA6-4A8270C70B44}"/>
                    </a:ext>
                  </a:extLst>
                </xdr:cNvPr>
                <xdr:cNvSpPr txBox="1"/>
              </xdr:nvSpPr>
              <xdr:spPr>
                <a:xfrm>
                  <a:off x="3561497" y="4823090"/>
                  <a:ext cx="971410" cy="17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C55C455-A123-4AC6-AFA6-51B0C6C5DA38}"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383" name="Apoyo I">
                <a:extLst>
                  <a:ext uri="{FF2B5EF4-FFF2-40B4-BE49-F238E27FC236}">
                    <a16:creationId xmlns:a16="http://schemas.microsoft.com/office/drawing/2014/main" id="{7B953756-4C56-AA8F-7D90-72CF527FFB19}"/>
                  </a:ext>
                </a:extLst>
              </xdr:cNvPr>
              <xdr:cNvGrpSpPr/>
            </xdr:nvGrpSpPr>
            <xdr:grpSpPr>
              <a:xfrm>
                <a:off x="4051492" y="4807918"/>
                <a:ext cx="474409" cy="574092"/>
                <a:chOff x="4726743" y="12880171"/>
                <a:chExt cx="476174" cy="580345"/>
              </a:xfrm>
            </xdr:grpSpPr>
            <xdr:grpSp>
              <xdr:nvGrpSpPr>
                <xdr:cNvPr id="2384" name="Apoyo Móvil">
                  <a:extLst>
                    <a:ext uri="{FF2B5EF4-FFF2-40B4-BE49-F238E27FC236}">
                      <a16:creationId xmlns:a16="http://schemas.microsoft.com/office/drawing/2014/main" id="{A621C69D-5BBF-C615-9DF6-47D3C34BECAE}"/>
                    </a:ext>
                  </a:extLst>
                </xdr:cNvPr>
                <xdr:cNvGrpSpPr/>
              </xdr:nvGrpSpPr>
              <xdr:grpSpPr>
                <a:xfrm>
                  <a:off x="4727383" y="13169289"/>
                  <a:ext cx="475534" cy="291227"/>
                  <a:chOff x="10290702" y="8453513"/>
                  <a:chExt cx="469817" cy="287372"/>
                </a:xfrm>
              </xdr:grpSpPr>
              <xdr:sp macro="" textlink="$AE$24">
                <xdr:nvSpPr>
                  <xdr:cNvPr id="2389" name="Ruedas I">
                    <a:extLst>
                      <a:ext uri="{FF2B5EF4-FFF2-40B4-BE49-F238E27FC236}">
                        <a16:creationId xmlns:a16="http://schemas.microsoft.com/office/drawing/2014/main" id="{A3DFF7C9-146C-1B5F-BE0B-11ABE93ADB08}"/>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F3687D0-AFEC-499F-B342-DE371DAE5EAF}"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4">
                <xdr:nvSpPr>
                  <xdr:cNvPr id="2390" name="Suelo I">
                    <a:extLst>
                      <a:ext uri="{FF2B5EF4-FFF2-40B4-BE49-F238E27FC236}">
                        <a16:creationId xmlns:a16="http://schemas.microsoft.com/office/drawing/2014/main" id="{B6A39B73-8CAB-BDEE-2BFA-8EFBD8E5A254}"/>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0BFA142-EBD0-419C-A6F8-BF8343ACBFFA}"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385" name="Apoyo FIjo">
                  <a:extLst>
                    <a:ext uri="{FF2B5EF4-FFF2-40B4-BE49-F238E27FC236}">
                      <a16:creationId xmlns:a16="http://schemas.microsoft.com/office/drawing/2014/main" id="{4C992E2E-42ED-4E1E-D4FD-711D4433848C}"/>
                    </a:ext>
                  </a:extLst>
                </xdr:cNvPr>
                <xdr:cNvGrpSpPr/>
              </xdr:nvGrpSpPr>
              <xdr:grpSpPr>
                <a:xfrm>
                  <a:off x="4726743" y="13031926"/>
                  <a:ext cx="475534" cy="354860"/>
                  <a:chOff x="10289636" y="8321106"/>
                  <a:chExt cx="469817" cy="350161"/>
                </a:xfrm>
              </xdr:grpSpPr>
              <xdr:sp macro="" textlink="$AC$24">
                <xdr:nvSpPr>
                  <xdr:cNvPr id="2387" name="Triángulo I">
                    <a:extLst>
                      <a:ext uri="{FF2B5EF4-FFF2-40B4-BE49-F238E27FC236}">
                        <a16:creationId xmlns:a16="http://schemas.microsoft.com/office/drawing/2014/main" id="{62B65B70-85AE-B89C-4B3E-F0715D4B2D54}"/>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6EAED6-7575-4F4B-88CC-14968C314DF6}"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4">
                <xdr:nvSpPr>
                  <xdr:cNvPr id="2388" name="Suelo I">
                    <a:extLst>
                      <a:ext uri="{FF2B5EF4-FFF2-40B4-BE49-F238E27FC236}">
                        <a16:creationId xmlns:a16="http://schemas.microsoft.com/office/drawing/2014/main" id="{576E53C9-7687-0D68-3714-5FF9B8A97676}"/>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5E3B90D-E44F-4106-BA66-600DBD043D5E}"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4">
              <xdr:nvSpPr>
                <xdr:cNvPr id="2386" name="Empotramiento I">
                  <a:extLst>
                    <a:ext uri="{FF2B5EF4-FFF2-40B4-BE49-F238E27FC236}">
                      <a16:creationId xmlns:a16="http://schemas.microsoft.com/office/drawing/2014/main" id="{99EED427-52D8-BAC7-2673-7315F03F2B65}"/>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32B7DEA5-5930-4551-BE32-4A6517693B64}"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304" name="NUDO J">
              <a:extLst>
                <a:ext uri="{FF2B5EF4-FFF2-40B4-BE49-F238E27FC236}">
                  <a16:creationId xmlns:a16="http://schemas.microsoft.com/office/drawing/2014/main" id="{E1F3B1C0-18DE-475B-D4A2-4F41DA5826B8}"/>
                </a:ext>
              </a:extLst>
            </xdr:cNvPr>
            <xdr:cNvGrpSpPr/>
          </xdr:nvGrpSpPr>
          <xdr:grpSpPr>
            <a:xfrm>
              <a:off x="2649423" y="5086337"/>
              <a:ext cx="1159290" cy="763017"/>
              <a:chOff x="1645564" y="4568464"/>
              <a:chExt cx="1156605" cy="764523"/>
            </a:xfrm>
          </xdr:grpSpPr>
          <xdr:grpSp>
            <xdr:nvGrpSpPr>
              <xdr:cNvPr id="2370" name="R J">
                <a:extLst>
                  <a:ext uri="{FF2B5EF4-FFF2-40B4-BE49-F238E27FC236}">
                    <a16:creationId xmlns:a16="http://schemas.microsoft.com/office/drawing/2014/main" id="{B7A33B52-93AD-6D22-C795-932C69E6A5A8}"/>
                  </a:ext>
                </a:extLst>
              </xdr:cNvPr>
              <xdr:cNvGrpSpPr/>
            </xdr:nvGrpSpPr>
            <xdr:grpSpPr>
              <a:xfrm>
                <a:off x="1809784" y="4568464"/>
                <a:ext cx="992385" cy="504169"/>
                <a:chOff x="500583" y="5976198"/>
                <a:chExt cx="994423" cy="497297"/>
              </a:xfrm>
            </xdr:grpSpPr>
            <xdr:sp macro="" textlink="RFv_J_Ver">
              <xdr:nvSpPr>
                <xdr:cNvPr id="2379" name="RvJ">
                  <a:extLst>
                    <a:ext uri="{FF2B5EF4-FFF2-40B4-BE49-F238E27FC236}">
                      <a16:creationId xmlns:a16="http://schemas.microsoft.com/office/drawing/2014/main" id="{DD219C06-8179-0338-D69C-1C827370D8FB}"/>
                    </a:ext>
                  </a:extLst>
                </xdr:cNvPr>
                <xdr:cNvSpPr txBox="1"/>
              </xdr:nvSpPr>
              <xdr:spPr>
                <a:xfrm>
                  <a:off x="521115" y="6142773"/>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5CF6B5A-A589-4543-AECD-026ED2AE84D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J_Ver">
              <xdr:nvSpPr>
                <xdr:cNvPr id="2380" name="RhJ">
                  <a:extLst>
                    <a:ext uri="{FF2B5EF4-FFF2-40B4-BE49-F238E27FC236}">
                      <a16:creationId xmlns:a16="http://schemas.microsoft.com/office/drawing/2014/main" id="{1228843E-EA17-0D18-E25D-A33984A6EDB1}"/>
                    </a:ext>
                  </a:extLst>
                </xdr:cNvPr>
                <xdr:cNvSpPr txBox="1"/>
              </xdr:nvSpPr>
              <xdr:spPr>
                <a:xfrm>
                  <a:off x="520342" y="597619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9D7BB1C-5538-45FC-B25A-212F923B841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J_Ver">
              <xdr:nvSpPr>
                <xdr:cNvPr id="2381" name="RM_J">
                  <a:extLst>
                    <a:ext uri="{FF2B5EF4-FFF2-40B4-BE49-F238E27FC236}">
                      <a16:creationId xmlns:a16="http://schemas.microsoft.com/office/drawing/2014/main" id="{55A1AB85-897D-BB42-9DAD-7FB13A369E46}"/>
                    </a:ext>
                  </a:extLst>
                </xdr:cNvPr>
                <xdr:cNvSpPr txBox="1"/>
              </xdr:nvSpPr>
              <xdr:spPr>
                <a:xfrm>
                  <a:off x="500583" y="6301754"/>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9164DE3-A0D8-454B-8691-F80BBAF5E7A9}"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371" name="Apoyo J">
                <a:extLst>
                  <a:ext uri="{FF2B5EF4-FFF2-40B4-BE49-F238E27FC236}">
                    <a16:creationId xmlns:a16="http://schemas.microsoft.com/office/drawing/2014/main" id="{51204F14-FF12-FA4E-38F9-2B3779ED42E5}"/>
                  </a:ext>
                </a:extLst>
              </xdr:cNvPr>
              <xdr:cNvGrpSpPr/>
            </xdr:nvGrpSpPr>
            <xdr:grpSpPr>
              <a:xfrm rot="10800000">
                <a:off x="1645564" y="4851947"/>
                <a:ext cx="489141" cy="481040"/>
                <a:chOff x="4712203" y="12978955"/>
                <a:chExt cx="490714" cy="481561"/>
              </a:xfrm>
            </xdr:grpSpPr>
            <xdr:grpSp>
              <xdr:nvGrpSpPr>
                <xdr:cNvPr id="2372" name="Apoyo Móvil">
                  <a:extLst>
                    <a:ext uri="{FF2B5EF4-FFF2-40B4-BE49-F238E27FC236}">
                      <a16:creationId xmlns:a16="http://schemas.microsoft.com/office/drawing/2014/main" id="{E3CA0E5E-B65E-910B-1710-EE72A82BB5AE}"/>
                    </a:ext>
                  </a:extLst>
                </xdr:cNvPr>
                <xdr:cNvGrpSpPr/>
              </xdr:nvGrpSpPr>
              <xdr:grpSpPr>
                <a:xfrm>
                  <a:off x="4727383" y="13169289"/>
                  <a:ext cx="475534" cy="291227"/>
                  <a:chOff x="10290702" y="8453513"/>
                  <a:chExt cx="469817" cy="287372"/>
                </a:xfrm>
              </xdr:grpSpPr>
              <xdr:sp macro="" textlink="$AE$25">
                <xdr:nvSpPr>
                  <xdr:cNvPr id="2377" name="Ruedas J">
                    <a:extLst>
                      <a:ext uri="{FF2B5EF4-FFF2-40B4-BE49-F238E27FC236}">
                        <a16:creationId xmlns:a16="http://schemas.microsoft.com/office/drawing/2014/main" id="{6124F4C2-E9C4-26FA-5880-537DA34B258B}"/>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240CFB4-2586-4B29-B058-9089243689F5}"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5">
                <xdr:nvSpPr>
                  <xdr:cNvPr id="2378" name="Suelo J">
                    <a:extLst>
                      <a:ext uri="{FF2B5EF4-FFF2-40B4-BE49-F238E27FC236}">
                        <a16:creationId xmlns:a16="http://schemas.microsoft.com/office/drawing/2014/main" id="{B4D0AE31-30F9-D9D3-F3CE-46D8B20D3D69}"/>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4BC4E1B-D96C-46B5-B0F7-2E4F89D387F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373" name="Apoyo FIjo">
                  <a:extLst>
                    <a:ext uri="{FF2B5EF4-FFF2-40B4-BE49-F238E27FC236}">
                      <a16:creationId xmlns:a16="http://schemas.microsoft.com/office/drawing/2014/main" id="{E60C1AC3-D991-D771-DB9D-D2498164DF48}"/>
                    </a:ext>
                  </a:extLst>
                </xdr:cNvPr>
                <xdr:cNvGrpSpPr/>
              </xdr:nvGrpSpPr>
              <xdr:grpSpPr>
                <a:xfrm>
                  <a:off x="4726743" y="13031926"/>
                  <a:ext cx="475534" cy="354860"/>
                  <a:chOff x="10289636" y="8321106"/>
                  <a:chExt cx="469817" cy="350161"/>
                </a:xfrm>
              </xdr:grpSpPr>
              <xdr:sp macro="" textlink="$AC$25">
                <xdr:nvSpPr>
                  <xdr:cNvPr id="2375" name="Triángulo J">
                    <a:extLst>
                      <a:ext uri="{FF2B5EF4-FFF2-40B4-BE49-F238E27FC236}">
                        <a16:creationId xmlns:a16="http://schemas.microsoft.com/office/drawing/2014/main" id="{9B292DD9-4009-2080-D405-DE535D0F22C3}"/>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CA26B1F-9BE3-4933-A0FC-1D9B95E6C8D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5">
                <xdr:nvSpPr>
                  <xdr:cNvPr id="2376" name="Suelo J">
                    <a:extLst>
                      <a:ext uri="{FF2B5EF4-FFF2-40B4-BE49-F238E27FC236}">
                        <a16:creationId xmlns:a16="http://schemas.microsoft.com/office/drawing/2014/main" id="{0B705D62-BD0B-7190-E0EE-547F9B704B27}"/>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80DD02C-8EE3-4BE8-B495-BB258F1C1355}"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5">
              <xdr:nvSpPr>
                <xdr:cNvPr id="2374" name="Empotramiento J">
                  <a:extLst>
                    <a:ext uri="{FF2B5EF4-FFF2-40B4-BE49-F238E27FC236}">
                      <a16:creationId xmlns:a16="http://schemas.microsoft.com/office/drawing/2014/main" id="{658CE6AC-2EE6-42BB-30BA-06BC74F43EB0}"/>
                    </a:ext>
                  </a:extLst>
                </xdr:cNvPr>
                <xdr:cNvSpPr txBox="1"/>
              </xdr:nvSpPr>
              <xdr:spPr>
                <a:xfrm rot="10800000">
                  <a:off x="4712203" y="12978955"/>
                  <a:ext cx="471015"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1D8474A-184F-4180-9512-247A823B299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305" name="NUDO K">
              <a:extLst>
                <a:ext uri="{FF2B5EF4-FFF2-40B4-BE49-F238E27FC236}">
                  <a16:creationId xmlns:a16="http://schemas.microsoft.com/office/drawing/2014/main" id="{67B1C4AF-07CE-C69C-3052-88D17B3A8369}"/>
                </a:ext>
              </a:extLst>
            </xdr:cNvPr>
            <xdr:cNvGrpSpPr/>
          </xdr:nvGrpSpPr>
          <xdr:grpSpPr>
            <a:xfrm>
              <a:off x="1663386" y="6338426"/>
              <a:ext cx="1455112" cy="679456"/>
              <a:chOff x="1664650" y="6337467"/>
              <a:chExt cx="1456690" cy="677603"/>
            </a:xfrm>
          </xdr:grpSpPr>
          <xdr:grpSp>
            <xdr:nvGrpSpPr>
              <xdr:cNvPr id="2358" name="R K">
                <a:extLst>
                  <a:ext uri="{FF2B5EF4-FFF2-40B4-BE49-F238E27FC236}">
                    <a16:creationId xmlns:a16="http://schemas.microsoft.com/office/drawing/2014/main" id="{2A2B4E36-C2D4-E166-8BFA-FFEA906601F1}"/>
                  </a:ext>
                </a:extLst>
              </xdr:cNvPr>
              <xdr:cNvGrpSpPr/>
            </xdr:nvGrpSpPr>
            <xdr:grpSpPr>
              <a:xfrm>
                <a:off x="1664650" y="6537483"/>
                <a:ext cx="1279157" cy="477587"/>
                <a:chOff x="-632890" y="5834419"/>
                <a:chExt cx="1277729" cy="475696"/>
              </a:xfrm>
            </xdr:grpSpPr>
            <xdr:sp macro="" textlink="RFv_K_Ver">
              <xdr:nvSpPr>
                <xdr:cNvPr id="2367" name="RvK">
                  <a:extLst>
                    <a:ext uri="{FF2B5EF4-FFF2-40B4-BE49-F238E27FC236}">
                      <a16:creationId xmlns:a16="http://schemas.microsoft.com/office/drawing/2014/main" id="{9C3AA64E-E47F-3B9D-67BD-10C2C4FF38F2}"/>
                    </a:ext>
                  </a:extLst>
                </xdr:cNvPr>
                <xdr:cNvSpPr txBox="1"/>
              </xdr:nvSpPr>
              <xdr:spPr>
                <a:xfrm>
                  <a:off x="-329052" y="614071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7074C0BA-F6DF-46A1-A66B-0566679C27CF}"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K_Ver">
              <xdr:nvSpPr>
                <xdr:cNvPr id="2368" name="RhK">
                  <a:extLst>
                    <a:ext uri="{FF2B5EF4-FFF2-40B4-BE49-F238E27FC236}">
                      <a16:creationId xmlns:a16="http://schemas.microsoft.com/office/drawing/2014/main" id="{A7DFC4BB-5EFA-0EB1-B0F1-83A57FD791CD}"/>
                    </a:ext>
                  </a:extLst>
                </xdr:cNvPr>
                <xdr:cNvSpPr txBox="1"/>
              </xdr:nvSpPr>
              <xdr:spPr>
                <a:xfrm>
                  <a:off x="-358989" y="5977054"/>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B7EFA94D-7D33-40DE-BF7B-89CC7550CFBB}"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K_Ver">
              <xdr:nvSpPr>
                <xdr:cNvPr id="2369" name="RM_K">
                  <a:extLst>
                    <a:ext uri="{FF2B5EF4-FFF2-40B4-BE49-F238E27FC236}">
                      <a16:creationId xmlns:a16="http://schemas.microsoft.com/office/drawing/2014/main" id="{5681616C-F8DF-9A1C-5C55-DC21793DCBC8}"/>
                    </a:ext>
                  </a:extLst>
                </xdr:cNvPr>
                <xdr:cNvSpPr txBox="1"/>
              </xdr:nvSpPr>
              <xdr:spPr>
                <a:xfrm>
                  <a:off x="-632890" y="5834419"/>
                  <a:ext cx="1274053" cy="1784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6F0A68DF-3DE7-4379-9CB0-6CCE766D5CA8}"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2359" name="Apoyo K">
                <a:extLst>
                  <a:ext uri="{FF2B5EF4-FFF2-40B4-BE49-F238E27FC236}">
                    <a16:creationId xmlns:a16="http://schemas.microsoft.com/office/drawing/2014/main" id="{D31742C3-811A-5C2D-341A-99F05D6F6FB1}"/>
                  </a:ext>
                </a:extLst>
              </xdr:cNvPr>
              <xdr:cNvGrpSpPr/>
            </xdr:nvGrpSpPr>
            <xdr:grpSpPr>
              <a:xfrm>
                <a:off x="2649826" y="6337467"/>
                <a:ext cx="471514" cy="441265"/>
                <a:chOff x="1241967" y="9263559"/>
                <a:chExt cx="471890" cy="446231"/>
              </a:xfrm>
            </xdr:grpSpPr>
            <xdr:grpSp>
              <xdr:nvGrpSpPr>
                <xdr:cNvPr id="2360" name="Apoyo Móvil">
                  <a:extLst>
                    <a:ext uri="{FF2B5EF4-FFF2-40B4-BE49-F238E27FC236}">
                      <a16:creationId xmlns:a16="http://schemas.microsoft.com/office/drawing/2014/main" id="{F519BA1A-11EC-637D-D44A-D8081DA4AD7F}"/>
                    </a:ext>
                  </a:extLst>
                </xdr:cNvPr>
                <xdr:cNvGrpSpPr/>
              </xdr:nvGrpSpPr>
              <xdr:grpSpPr>
                <a:xfrm>
                  <a:off x="1242331" y="9419598"/>
                  <a:ext cx="471526" cy="290192"/>
                  <a:chOff x="10284164" y="8440721"/>
                  <a:chExt cx="469817" cy="287368"/>
                </a:xfrm>
              </xdr:grpSpPr>
              <xdr:sp macro="" textlink="$AF$26">
                <xdr:nvSpPr>
                  <xdr:cNvPr id="2365" name="Suelo K">
                    <a:extLst>
                      <a:ext uri="{FF2B5EF4-FFF2-40B4-BE49-F238E27FC236}">
                        <a16:creationId xmlns:a16="http://schemas.microsoft.com/office/drawing/2014/main" id="{8E56DF52-A002-C133-6911-E9CFBA322B6E}"/>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7A8A3CC-3FEC-41D6-B0B4-6809D2213C4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6">
                <xdr:nvSpPr>
                  <xdr:cNvPr id="2366" name="Ruedas K">
                    <a:extLst>
                      <a:ext uri="{FF2B5EF4-FFF2-40B4-BE49-F238E27FC236}">
                        <a16:creationId xmlns:a16="http://schemas.microsoft.com/office/drawing/2014/main" id="{ED3069BA-21EE-11FB-9FC1-44C3C4E3557E}"/>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87CF1FA-9AEF-4DCE-AACD-B02C32A0372B}"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361" name="Apoyo FIjo">
                  <a:extLst>
                    <a:ext uri="{FF2B5EF4-FFF2-40B4-BE49-F238E27FC236}">
                      <a16:creationId xmlns:a16="http://schemas.microsoft.com/office/drawing/2014/main" id="{C96A69D0-D940-82F3-8448-AB9D4612C454}"/>
                    </a:ext>
                  </a:extLst>
                </xdr:cNvPr>
                <xdr:cNvGrpSpPr/>
              </xdr:nvGrpSpPr>
              <xdr:grpSpPr>
                <a:xfrm>
                  <a:off x="1242023" y="9289134"/>
                  <a:ext cx="471526" cy="358984"/>
                  <a:chOff x="10283423" y="8314710"/>
                  <a:chExt cx="469817" cy="355491"/>
                </a:xfrm>
              </xdr:grpSpPr>
              <xdr:sp macro="" textlink="$AD$26">
                <xdr:nvSpPr>
                  <xdr:cNvPr id="2363" name="Suelo K">
                    <a:extLst>
                      <a:ext uri="{FF2B5EF4-FFF2-40B4-BE49-F238E27FC236}">
                        <a16:creationId xmlns:a16="http://schemas.microsoft.com/office/drawing/2014/main" id="{BC9D45F0-2E88-9BCE-39AF-62BCF2382335}"/>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DD81FF8-235A-4243-8CA6-7B051713D17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6">
                <xdr:nvSpPr>
                  <xdr:cNvPr id="2364" name="Triángulo K">
                    <a:extLst>
                      <a:ext uri="{FF2B5EF4-FFF2-40B4-BE49-F238E27FC236}">
                        <a16:creationId xmlns:a16="http://schemas.microsoft.com/office/drawing/2014/main" id="{87CF5220-71FB-365B-A018-D09DFAA4508B}"/>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742F80-D433-43EB-AFD2-ACCCC79E17A4}"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6">
              <xdr:nvSpPr>
                <xdr:cNvPr id="2362" name="Empotramiento K">
                  <a:extLst>
                    <a:ext uri="{FF2B5EF4-FFF2-40B4-BE49-F238E27FC236}">
                      <a16:creationId xmlns:a16="http://schemas.microsoft.com/office/drawing/2014/main" id="{870FC527-DAD2-7D3B-95C6-29C7EDC0D0D8}"/>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1CCED8E-E548-42EE-9DC0-28242874174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306" name="NUDO L">
              <a:extLst>
                <a:ext uri="{FF2B5EF4-FFF2-40B4-BE49-F238E27FC236}">
                  <a16:creationId xmlns:a16="http://schemas.microsoft.com/office/drawing/2014/main" id="{067BC043-9E4C-491F-CAF1-F5F4A722BBDF}"/>
                </a:ext>
              </a:extLst>
            </xdr:cNvPr>
            <xdr:cNvGrpSpPr/>
          </xdr:nvGrpSpPr>
          <xdr:grpSpPr>
            <a:xfrm>
              <a:off x="3333279" y="6211145"/>
              <a:ext cx="1384927" cy="688924"/>
              <a:chOff x="4888025" y="6380579"/>
              <a:chExt cx="1384670" cy="692431"/>
            </a:xfrm>
          </xdr:grpSpPr>
          <xdr:grpSp>
            <xdr:nvGrpSpPr>
              <xdr:cNvPr id="2346" name="R L">
                <a:extLst>
                  <a:ext uri="{FF2B5EF4-FFF2-40B4-BE49-F238E27FC236}">
                    <a16:creationId xmlns:a16="http://schemas.microsoft.com/office/drawing/2014/main" id="{5092AA1E-DEC8-87F0-61FB-8B24990FA197}"/>
                  </a:ext>
                </a:extLst>
              </xdr:cNvPr>
              <xdr:cNvGrpSpPr/>
            </xdr:nvGrpSpPr>
            <xdr:grpSpPr>
              <a:xfrm>
                <a:off x="5075852" y="6508802"/>
                <a:ext cx="1196843" cy="564208"/>
                <a:chOff x="-576925" y="6302607"/>
                <a:chExt cx="1193853" cy="557114"/>
              </a:xfrm>
            </xdr:grpSpPr>
            <xdr:sp macro="" textlink="RFv_L_Ver">
              <xdr:nvSpPr>
                <xdr:cNvPr id="2355" name="RvL">
                  <a:extLst>
                    <a:ext uri="{FF2B5EF4-FFF2-40B4-BE49-F238E27FC236}">
                      <a16:creationId xmlns:a16="http://schemas.microsoft.com/office/drawing/2014/main" id="{EED55314-DA27-9025-F8E2-A36756E5B4DF}"/>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B0590FF-2B56-448E-91C0-243749A0BA0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L_Ver">
              <xdr:nvSpPr>
                <xdr:cNvPr id="2356" name="RhL">
                  <a:extLst>
                    <a:ext uri="{FF2B5EF4-FFF2-40B4-BE49-F238E27FC236}">
                      <a16:creationId xmlns:a16="http://schemas.microsoft.com/office/drawing/2014/main" id="{DFA379A7-4707-F785-9E2E-0AF350AA1F99}"/>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D3C64C9-32C2-4A20-94A5-812357B229FC}"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L_Ver">
              <xdr:nvSpPr>
                <xdr:cNvPr id="2357" name="RM_L">
                  <a:extLst>
                    <a:ext uri="{FF2B5EF4-FFF2-40B4-BE49-F238E27FC236}">
                      <a16:creationId xmlns:a16="http://schemas.microsoft.com/office/drawing/2014/main" id="{7161E306-9E1F-D5F1-BA39-A7D48BFC958E}"/>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1B44410-E70E-4146-9072-02B877BD98CA}"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347" name="Apoyo L">
                <a:extLst>
                  <a:ext uri="{FF2B5EF4-FFF2-40B4-BE49-F238E27FC236}">
                    <a16:creationId xmlns:a16="http://schemas.microsoft.com/office/drawing/2014/main" id="{15400298-A4F4-3A66-C3E3-80B5DE6F6501}"/>
                  </a:ext>
                </a:extLst>
              </xdr:cNvPr>
              <xdr:cNvGrpSpPr/>
            </xdr:nvGrpSpPr>
            <xdr:grpSpPr>
              <a:xfrm>
                <a:off x="4888025" y="6380579"/>
                <a:ext cx="477673" cy="579093"/>
                <a:chOff x="4726743" y="12880171"/>
                <a:chExt cx="476174" cy="580345"/>
              </a:xfrm>
            </xdr:grpSpPr>
            <xdr:grpSp>
              <xdr:nvGrpSpPr>
                <xdr:cNvPr id="2348" name="Apoyo Móvil">
                  <a:extLst>
                    <a:ext uri="{FF2B5EF4-FFF2-40B4-BE49-F238E27FC236}">
                      <a16:creationId xmlns:a16="http://schemas.microsoft.com/office/drawing/2014/main" id="{BC8A0568-40DE-B3B9-7599-DBDC0E96A7B1}"/>
                    </a:ext>
                  </a:extLst>
                </xdr:cNvPr>
                <xdr:cNvGrpSpPr/>
              </xdr:nvGrpSpPr>
              <xdr:grpSpPr>
                <a:xfrm>
                  <a:off x="4727383" y="13169289"/>
                  <a:ext cx="475534" cy="291227"/>
                  <a:chOff x="10290702" y="8453513"/>
                  <a:chExt cx="469817" cy="287372"/>
                </a:xfrm>
              </xdr:grpSpPr>
              <xdr:sp macro="" textlink="$AE$27">
                <xdr:nvSpPr>
                  <xdr:cNvPr id="2353" name="Ruedas L">
                    <a:extLst>
                      <a:ext uri="{FF2B5EF4-FFF2-40B4-BE49-F238E27FC236}">
                        <a16:creationId xmlns:a16="http://schemas.microsoft.com/office/drawing/2014/main" id="{CEFD4F7C-4050-04B9-C401-69F9100D2206}"/>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2CF46B3-5A4D-46DD-B9CD-7CD74FF1DEAD}"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7">
                <xdr:nvSpPr>
                  <xdr:cNvPr id="2354" name="Suelo L">
                    <a:extLst>
                      <a:ext uri="{FF2B5EF4-FFF2-40B4-BE49-F238E27FC236}">
                        <a16:creationId xmlns:a16="http://schemas.microsoft.com/office/drawing/2014/main" id="{10EAE82C-2A26-9FCD-B2C6-44810BB4CB04}"/>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12F9D5E-705A-4F69-BFD3-01DC16BE457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349" name="Apoyo FIjo">
                  <a:extLst>
                    <a:ext uri="{FF2B5EF4-FFF2-40B4-BE49-F238E27FC236}">
                      <a16:creationId xmlns:a16="http://schemas.microsoft.com/office/drawing/2014/main" id="{C8DF50CD-22DC-3D7F-9631-E2218DAFE253}"/>
                    </a:ext>
                  </a:extLst>
                </xdr:cNvPr>
                <xdr:cNvGrpSpPr/>
              </xdr:nvGrpSpPr>
              <xdr:grpSpPr>
                <a:xfrm>
                  <a:off x="4726743" y="13031926"/>
                  <a:ext cx="475534" cy="354860"/>
                  <a:chOff x="10289636" y="8321106"/>
                  <a:chExt cx="469817" cy="350161"/>
                </a:xfrm>
              </xdr:grpSpPr>
              <xdr:sp macro="" textlink="$AC$27">
                <xdr:nvSpPr>
                  <xdr:cNvPr id="2351" name="Triángulo L">
                    <a:extLst>
                      <a:ext uri="{FF2B5EF4-FFF2-40B4-BE49-F238E27FC236}">
                        <a16:creationId xmlns:a16="http://schemas.microsoft.com/office/drawing/2014/main" id="{C4F8A5C0-8C1D-5B75-0FB5-D606AEC6ECE2}"/>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B0D419-8180-448A-9F84-D32851FD9A3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7">
                <xdr:nvSpPr>
                  <xdr:cNvPr id="2352" name="Suelo L">
                    <a:extLst>
                      <a:ext uri="{FF2B5EF4-FFF2-40B4-BE49-F238E27FC236}">
                        <a16:creationId xmlns:a16="http://schemas.microsoft.com/office/drawing/2014/main" id="{3F7473A5-6259-25E1-6FCB-3C4DA57E4AF9}"/>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A3DCDCE-52A3-4302-82CB-AEB12CB4FDC8}"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7">
              <xdr:nvSpPr>
                <xdr:cNvPr id="2350" name="Empotramiento L">
                  <a:extLst>
                    <a:ext uri="{FF2B5EF4-FFF2-40B4-BE49-F238E27FC236}">
                      <a16:creationId xmlns:a16="http://schemas.microsoft.com/office/drawing/2014/main" id="{CD06F74E-50BE-7339-F4A2-712DA6628258}"/>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B4C4C3C3-29E9-463C-9E03-21A2F37D275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307" name="NUDO M">
              <a:extLst>
                <a:ext uri="{FF2B5EF4-FFF2-40B4-BE49-F238E27FC236}">
                  <a16:creationId xmlns:a16="http://schemas.microsoft.com/office/drawing/2014/main" id="{2F8C9A84-1ED9-487B-F8EE-7FE9490CDB72}"/>
                </a:ext>
              </a:extLst>
            </xdr:cNvPr>
            <xdr:cNvGrpSpPr/>
          </xdr:nvGrpSpPr>
          <xdr:grpSpPr>
            <a:xfrm>
              <a:off x="4044332" y="6210534"/>
              <a:ext cx="1383199" cy="688924"/>
              <a:chOff x="3484802" y="6367216"/>
              <a:chExt cx="1384670" cy="692431"/>
            </a:xfrm>
          </xdr:grpSpPr>
          <xdr:grpSp>
            <xdr:nvGrpSpPr>
              <xdr:cNvPr id="2334" name="R M">
                <a:extLst>
                  <a:ext uri="{FF2B5EF4-FFF2-40B4-BE49-F238E27FC236}">
                    <a16:creationId xmlns:a16="http://schemas.microsoft.com/office/drawing/2014/main" id="{12528725-8508-327C-4B38-D4FE76089839}"/>
                  </a:ext>
                </a:extLst>
              </xdr:cNvPr>
              <xdr:cNvGrpSpPr/>
            </xdr:nvGrpSpPr>
            <xdr:grpSpPr>
              <a:xfrm>
                <a:off x="3672629" y="6495439"/>
                <a:ext cx="1196843" cy="564208"/>
                <a:chOff x="-576925" y="6302607"/>
                <a:chExt cx="1193853" cy="557114"/>
              </a:xfrm>
            </xdr:grpSpPr>
            <xdr:sp macro="" textlink="RFv_M_Ver">
              <xdr:nvSpPr>
                <xdr:cNvPr id="2343" name="RvM">
                  <a:extLst>
                    <a:ext uri="{FF2B5EF4-FFF2-40B4-BE49-F238E27FC236}">
                      <a16:creationId xmlns:a16="http://schemas.microsoft.com/office/drawing/2014/main" id="{87431685-1F0B-3A08-EBD7-A2CA0852F645}"/>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C763009-B44D-43BA-803C-23EA2F8F9D7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M_Ver">
              <xdr:nvSpPr>
                <xdr:cNvPr id="2344" name="RhM">
                  <a:extLst>
                    <a:ext uri="{FF2B5EF4-FFF2-40B4-BE49-F238E27FC236}">
                      <a16:creationId xmlns:a16="http://schemas.microsoft.com/office/drawing/2014/main" id="{2BA653F3-587A-3891-CA5A-D1706295A7EE}"/>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21B6BF8-0869-402F-B1BC-BF10660A688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M_Ver">
              <xdr:nvSpPr>
                <xdr:cNvPr id="2345" name="RM_M">
                  <a:extLst>
                    <a:ext uri="{FF2B5EF4-FFF2-40B4-BE49-F238E27FC236}">
                      <a16:creationId xmlns:a16="http://schemas.microsoft.com/office/drawing/2014/main" id="{ABC688ED-6711-7AEA-B975-DD873807C80C}"/>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A231CDE-7E71-4BE8-8C0A-62922B424363}"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335" name="Apoyo M">
                <a:extLst>
                  <a:ext uri="{FF2B5EF4-FFF2-40B4-BE49-F238E27FC236}">
                    <a16:creationId xmlns:a16="http://schemas.microsoft.com/office/drawing/2014/main" id="{4184C603-548B-78ED-ACDE-D598CE0B1E60}"/>
                  </a:ext>
                </a:extLst>
              </xdr:cNvPr>
              <xdr:cNvGrpSpPr/>
            </xdr:nvGrpSpPr>
            <xdr:grpSpPr>
              <a:xfrm>
                <a:off x="3484802" y="6367216"/>
                <a:ext cx="477673" cy="579093"/>
                <a:chOff x="4726743" y="12880171"/>
                <a:chExt cx="476174" cy="580345"/>
              </a:xfrm>
            </xdr:grpSpPr>
            <xdr:grpSp>
              <xdr:nvGrpSpPr>
                <xdr:cNvPr id="2336" name="Apoyo Móvil">
                  <a:extLst>
                    <a:ext uri="{FF2B5EF4-FFF2-40B4-BE49-F238E27FC236}">
                      <a16:creationId xmlns:a16="http://schemas.microsoft.com/office/drawing/2014/main" id="{59D57B04-95E2-DB06-9F0B-E5A05F8898D8}"/>
                    </a:ext>
                  </a:extLst>
                </xdr:cNvPr>
                <xdr:cNvGrpSpPr/>
              </xdr:nvGrpSpPr>
              <xdr:grpSpPr>
                <a:xfrm>
                  <a:off x="4727383" y="13169289"/>
                  <a:ext cx="475534" cy="291227"/>
                  <a:chOff x="10290702" y="8453513"/>
                  <a:chExt cx="469817" cy="287372"/>
                </a:xfrm>
              </xdr:grpSpPr>
              <xdr:sp macro="" textlink="$AE$28">
                <xdr:nvSpPr>
                  <xdr:cNvPr id="2341" name="Ruedas M">
                    <a:extLst>
                      <a:ext uri="{FF2B5EF4-FFF2-40B4-BE49-F238E27FC236}">
                        <a16:creationId xmlns:a16="http://schemas.microsoft.com/office/drawing/2014/main" id="{57B23580-48DC-8E6C-C055-841809D2E10F}"/>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E78A466-9CC8-47C7-BC80-C7883BAD72C3}"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8">
                <xdr:nvSpPr>
                  <xdr:cNvPr id="2342" name="Suelo M">
                    <a:extLst>
                      <a:ext uri="{FF2B5EF4-FFF2-40B4-BE49-F238E27FC236}">
                        <a16:creationId xmlns:a16="http://schemas.microsoft.com/office/drawing/2014/main" id="{22063A20-6896-0CFA-1051-F2A675DAFC26}"/>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B246354D-7C3F-4CAA-A9F4-0DF56103C73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337" name="Apoyo FIjo">
                  <a:extLst>
                    <a:ext uri="{FF2B5EF4-FFF2-40B4-BE49-F238E27FC236}">
                      <a16:creationId xmlns:a16="http://schemas.microsoft.com/office/drawing/2014/main" id="{327BABFA-ACD0-1B5A-A4F9-1AD87E21BC85}"/>
                    </a:ext>
                  </a:extLst>
                </xdr:cNvPr>
                <xdr:cNvGrpSpPr/>
              </xdr:nvGrpSpPr>
              <xdr:grpSpPr>
                <a:xfrm>
                  <a:off x="4726743" y="13031926"/>
                  <a:ext cx="475534" cy="354860"/>
                  <a:chOff x="10289636" y="8321106"/>
                  <a:chExt cx="469817" cy="350161"/>
                </a:xfrm>
              </xdr:grpSpPr>
              <xdr:sp macro="" textlink="$AC$28">
                <xdr:nvSpPr>
                  <xdr:cNvPr id="2339" name="Triángulo M">
                    <a:extLst>
                      <a:ext uri="{FF2B5EF4-FFF2-40B4-BE49-F238E27FC236}">
                        <a16:creationId xmlns:a16="http://schemas.microsoft.com/office/drawing/2014/main" id="{25A4270A-2903-9D27-79FC-63CCF71351A5}"/>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F285E5-BD5A-469C-B700-94AB636128AD}"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8">
                <xdr:nvSpPr>
                  <xdr:cNvPr id="2340" name="Suelo M">
                    <a:extLst>
                      <a:ext uri="{FF2B5EF4-FFF2-40B4-BE49-F238E27FC236}">
                        <a16:creationId xmlns:a16="http://schemas.microsoft.com/office/drawing/2014/main" id="{B9A93FE1-6537-70C3-EEF0-B1F08FF2D83C}"/>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94B72B0-DB91-4851-9CC0-43A7C7EAE15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8">
              <xdr:nvSpPr>
                <xdr:cNvPr id="2338" name="Empotramiento M">
                  <a:extLst>
                    <a:ext uri="{FF2B5EF4-FFF2-40B4-BE49-F238E27FC236}">
                      <a16:creationId xmlns:a16="http://schemas.microsoft.com/office/drawing/2014/main" id="{EC12450B-AA7F-BABE-E88E-B573477B15D6}"/>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E0F30D1-C7D9-4A22-B829-FA415160E83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308" name="NUDO N">
              <a:extLst>
                <a:ext uri="{FF2B5EF4-FFF2-40B4-BE49-F238E27FC236}">
                  <a16:creationId xmlns:a16="http://schemas.microsoft.com/office/drawing/2014/main" id="{B3EC1E80-E174-7BA3-A1C5-24E9BFA9A6D1}"/>
                </a:ext>
              </a:extLst>
            </xdr:cNvPr>
            <xdr:cNvGrpSpPr/>
          </xdr:nvGrpSpPr>
          <xdr:grpSpPr>
            <a:xfrm>
              <a:off x="4736759" y="6224508"/>
              <a:ext cx="1382227" cy="688924"/>
              <a:chOff x="4742274" y="6224169"/>
              <a:chExt cx="1382752" cy="686451"/>
            </a:xfrm>
          </xdr:grpSpPr>
          <xdr:grpSp>
            <xdr:nvGrpSpPr>
              <xdr:cNvPr id="2322" name="R N">
                <a:extLst>
                  <a:ext uri="{FF2B5EF4-FFF2-40B4-BE49-F238E27FC236}">
                    <a16:creationId xmlns:a16="http://schemas.microsoft.com/office/drawing/2014/main" id="{7D0AD636-2D78-2D54-0B4B-E5EA93494387}"/>
                  </a:ext>
                </a:extLst>
              </xdr:cNvPr>
              <xdr:cNvGrpSpPr/>
            </xdr:nvGrpSpPr>
            <xdr:grpSpPr>
              <a:xfrm>
                <a:off x="4929841" y="6351285"/>
                <a:ext cx="1195185" cy="559335"/>
                <a:chOff x="-576925" y="6302607"/>
                <a:chExt cx="1193853" cy="557114"/>
              </a:xfrm>
            </xdr:grpSpPr>
            <xdr:sp macro="" textlink="RFv_N_Ver">
              <xdr:nvSpPr>
                <xdr:cNvPr id="2331" name="RvN">
                  <a:extLst>
                    <a:ext uri="{FF2B5EF4-FFF2-40B4-BE49-F238E27FC236}">
                      <a16:creationId xmlns:a16="http://schemas.microsoft.com/office/drawing/2014/main" id="{C0BDD63F-948F-3332-8170-0861C08FEFBE}"/>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886EDB3-D369-4EBD-AEC7-1F324470783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N_Ver">
              <xdr:nvSpPr>
                <xdr:cNvPr id="2332" name="RhN">
                  <a:extLst>
                    <a:ext uri="{FF2B5EF4-FFF2-40B4-BE49-F238E27FC236}">
                      <a16:creationId xmlns:a16="http://schemas.microsoft.com/office/drawing/2014/main" id="{2B3E94C8-3892-3A0E-9B19-326F27530C96}"/>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6F86A9B-712C-4894-9DD2-B89E616C91D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N_Ver">
              <xdr:nvSpPr>
                <xdr:cNvPr id="2333" name="RM_N">
                  <a:extLst>
                    <a:ext uri="{FF2B5EF4-FFF2-40B4-BE49-F238E27FC236}">
                      <a16:creationId xmlns:a16="http://schemas.microsoft.com/office/drawing/2014/main" id="{55DB1785-B790-F9B2-5B15-59ED63ED0FE2}"/>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4450F07-C13A-4AB7-8C22-CBB562DF05F8}"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323" name="Apoyo N">
                <a:extLst>
                  <a:ext uri="{FF2B5EF4-FFF2-40B4-BE49-F238E27FC236}">
                    <a16:creationId xmlns:a16="http://schemas.microsoft.com/office/drawing/2014/main" id="{23B6822A-EA89-1191-C74F-70FDAE4C7F59}"/>
                  </a:ext>
                </a:extLst>
              </xdr:cNvPr>
              <xdr:cNvGrpSpPr/>
            </xdr:nvGrpSpPr>
            <xdr:grpSpPr>
              <a:xfrm>
                <a:off x="4742274" y="6224169"/>
                <a:ext cx="477011" cy="574092"/>
                <a:chOff x="4726743" y="12880171"/>
                <a:chExt cx="476174" cy="580345"/>
              </a:xfrm>
            </xdr:grpSpPr>
            <xdr:grpSp>
              <xdr:nvGrpSpPr>
                <xdr:cNvPr id="2324" name="Apoyo Móvil">
                  <a:extLst>
                    <a:ext uri="{FF2B5EF4-FFF2-40B4-BE49-F238E27FC236}">
                      <a16:creationId xmlns:a16="http://schemas.microsoft.com/office/drawing/2014/main" id="{94445E7B-7E79-3414-DAD1-776CA023E160}"/>
                    </a:ext>
                  </a:extLst>
                </xdr:cNvPr>
                <xdr:cNvGrpSpPr/>
              </xdr:nvGrpSpPr>
              <xdr:grpSpPr>
                <a:xfrm>
                  <a:off x="4727383" y="13169289"/>
                  <a:ext cx="475534" cy="291227"/>
                  <a:chOff x="10290702" y="8453513"/>
                  <a:chExt cx="469817" cy="287372"/>
                </a:xfrm>
              </xdr:grpSpPr>
              <xdr:sp macro="" textlink="$AE$29">
                <xdr:nvSpPr>
                  <xdr:cNvPr id="2329" name="Ruedas N">
                    <a:extLst>
                      <a:ext uri="{FF2B5EF4-FFF2-40B4-BE49-F238E27FC236}">
                        <a16:creationId xmlns:a16="http://schemas.microsoft.com/office/drawing/2014/main" id="{073E847E-21B7-4511-81A5-86D55D70DC07}"/>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3C49818-DE30-4C8A-9126-1C4FEBC65539}"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9">
                <xdr:nvSpPr>
                  <xdr:cNvPr id="2330" name="Suelo N">
                    <a:extLst>
                      <a:ext uri="{FF2B5EF4-FFF2-40B4-BE49-F238E27FC236}">
                        <a16:creationId xmlns:a16="http://schemas.microsoft.com/office/drawing/2014/main" id="{040EE35B-E3A6-8D41-4D92-A4F648F650B6}"/>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A4E30AC-4D54-4B6F-83C5-F6F18D0F14F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325" name="Apoyo FIjo">
                  <a:extLst>
                    <a:ext uri="{FF2B5EF4-FFF2-40B4-BE49-F238E27FC236}">
                      <a16:creationId xmlns:a16="http://schemas.microsoft.com/office/drawing/2014/main" id="{43ABD3E2-9C65-9ADC-C6FE-F2B3BB2A9D6B}"/>
                    </a:ext>
                  </a:extLst>
                </xdr:cNvPr>
                <xdr:cNvGrpSpPr/>
              </xdr:nvGrpSpPr>
              <xdr:grpSpPr>
                <a:xfrm>
                  <a:off x="4726743" y="13031926"/>
                  <a:ext cx="475534" cy="354860"/>
                  <a:chOff x="10289636" y="8321106"/>
                  <a:chExt cx="469817" cy="350161"/>
                </a:xfrm>
              </xdr:grpSpPr>
              <xdr:sp macro="" textlink="$AC$29">
                <xdr:nvSpPr>
                  <xdr:cNvPr id="2327" name="Triángulo N">
                    <a:extLst>
                      <a:ext uri="{FF2B5EF4-FFF2-40B4-BE49-F238E27FC236}">
                        <a16:creationId xmlns:a16="http://schemas.microsoft.com/office/drawing/2014/main" id="{DF0F3CE3-992B-8580-763D-1E7F297AAA18}"/>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7D8DCE-E58F-41BB-9615-EB56E9CB7751}"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9">
                <xdr:nvSpPr>
                  <xdr:cNvPr id="2328" name="Suelo N">
                    <a:extLst>
                      <a:ext uri="{FF2B5EF4-FFF2-40B4-BE49-F238E27FC236}">
                        <a16:creationId xmlns:a16="http://schemas.microsoft.com/office/drawing/2014/main" id="{7E7062E1-A14B-E4E7-AE71-2C16A19988E5}"/>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6808C00-545A-44A2-8B09-A893562F590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9">
              <xdr:nvSpPr>
                <xdr:cNvPr id="2326" name="Empotramiento N">
                  <a:extLst>
                    <a:ext uri="{FF2B5EF4-FFF2-40B4-BE49-F238E27FC236}">
                      <a16:creationId xmlns:a16="http://schemas.microsoft.com/office/drawing/2014/main" id="{CCFF9C80-97C0-AD00-AFFF-34856AC6D88F}"/>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87748AC-FCC4-4D07-B1AB-FEB28A9D5114}"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309" name="NUDO O">
              <a:extLst>
                <a:ext uri="{FF2B5EF4-FFF2-40B4-BE49-F238E27FC236}">
                  <a16:creationId xmlns:a16="http://schemas.microsoft.com/office/drawing/2014/main" id="{7BBAC807-0B25-B8BC-6053-A506A96CAEF9}"/>
                </a:ext>
              </a:extLst>
            </xdr:cNvPr>
            <xdr:cNvGrpSpPr/>
          </xdr:nvGrpSpPr>
          <xdr:grpSpPr>
            <a:xfrm>
              <a:off x="3320201" y="7036864"/>
              <a:ext cx="1876975" cy="587288"/>
              <a:chOff x="3315459" y="7053645"/>
              <a:chExt cx="1876013" cy="591593"/>
            </a:xfrm>
          </xdr:grpSpPr>
          <xdr:grpSp>
            <xdr:nvGrpSpPr>
              <xdr:cNvPr id="2310" name="R O">
                <a:extLst>
                  <a:ext uri="{FF2B5EF4-FFF2-40B4-BE49-F238E27FC236}">
                    <a16:creationId xmlns:a16="http://schemas.microsoft.com/office/drawing/2014/main" id="{512241D8-869F-5DE3-2A48-872FF7842D68}"/>
                  </a:ext>
                </a:extLst>
              </xdr:cNvPr>
              <xdr:cNvGrpSpPr/>
            </xdr:nvGrpSpPr>
            <xdr:grpSpPr>
              <a:xfrm>
                <a:off x="3315459" y="7247927"/>
                <a:ext cx="1876013" cy="397311"/>
                <a:chOff x="-55801" y="7087099"/>
                <a:chExt cx="1876363" cy="391557"/>
              </a:xfrm>
            </xdr:grpSpPr>
            <xdr:sp macro="" textlink="RFv_O_Ver">
              <xdr:nvSpPr>
                <xdr:cNvPr id="2319" name="RvO">
                  <a:extLst>
                    <a:ext uri="{FF2B5EF4-FFF2-40B4-BE49-F238E27FC236}">
                      <a16:creationId xmlns:a16="http://schemas.microsoft.com/office/drawing/2014/main" id="{CF0E36E3-9784-98A2-82A5-02F5597D8B02}"/>
                    </a:ext>
                  </a:extLst>
                </xdr:cNvPr>
                <xdr:cNvSpPr txBox="1"/>
              </xdr:nvSpPr>
              <xdr:spPr>
                <a:xfrm>
                  <a:off x="-1825" y="7309257"/>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AE10C883-DAEC-48C6-A9D5-BB2C2B741D76}"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O_Ver">
              <xdr:nvSpPr>
                <xdr:cNvPr id="2320" name="RhO">
                  <a:extLst>
                    <a:ext uri="{FF2B5EF4-FFF2-40B4-BE49-F238E27FC236}">
                      <a16:creationId xmlns:a16="http://schemas.microsoft.com/office/drawing/2014/main" id="{6690450E-AE17-37DE-8468-3BC6FCDC7999}"/>
                    </a:ext>
                  </a:extLst>
                </xdr:cNvPr>
                <xdr:cNvSpPr txBox="1"/>
              </xdr:nvSpPr>
              <xdr:spPr>
                <a:xfrm>
                  <a:off x="-55801" y="7087099"/>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094463D-6F7F-4257-8B44-C4AD8D28477C}"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O_Ver">
              <xdr:nvSpPr>
                <xdr:cNvPr id="2321" name="RM_O">
                  <a:extLst>
                    <a:ext uri="{FF2B5EF4-FFF2-40B4-BE49-F238E27FC236}">
                      <a16:creationId xmlns:a16="http://schemas.microsoft.com/office/drawing/2014/main" id="{DBAB05D8-4BD4-ADFD-C2E0-354F1B7B3526}"/>
                    </a:ext>
                  </a:extLst>
                </xdr:cNvPr>
                <xdr:cNvSpPr txBox="1"/>
              </xdr:nvSpPr>
              <xdr:spPr>
                <a:xfrm>
                  <a:off x="850239" y="711219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0746AACC-F734-4FD5-BE0D-A66A1A16B704}"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311" name="Apoyo O">
                <a:extLst>
                  <a:ext uri="{FF2B5EF4-FFF2-40B4-BE49-F238E27FC236}">
                    <a16:creationId xmlns:a16="http://schemas.microsoft.com/office/drawing/2014/main" id="{DCB9FCE5-E7AA-1FA7-7A8B-5616DDAAC0A8}"/>
                  </a:ext>
                </a:extLst>
              </xdr:cNvPr>
              <xdr:cNvGrpSpPr/>
            </xdr:nvGrpSpPr>
            <xdr:grpSpPr>
              <a:xfrm>
                <a:off x="4035140" y="7053645"/>
                <a:ext cx="470962" cy="447395"/>
                <a:chOff x="1241967" y="9263559"/>
                <a:chExt cx="471890" cy="446201"/>
              </a:xfrm>
            </xdr:grpSpPr>
            <xdr:grpSp>
              <xdr:nvGrpSpPr>
                <xdr:cNvPr id="2312" name="Apoyo Móvil">
                  <a:extLst>
                    <a:ext uri="{FF2B5EF4-FFF2-40B4-BE49-F238E27FC236}">
                      <a16:creationId xmlns:a16="http://schemas.microsoft.com/office/drawing/2014/main" id="{873937FE-B6FA-4033-AF23-348B7229C385}"/>
                    </a:ext>
                  </a:extLst>
                </xdr:cNvPr>
                <xdr:cNvGrpSpPr/>
              </xdr:nvGrpSpPr>
              <xdr:grpSpPr>
                <a:xfrm>
                  <a:off x="1242331" y="9419552"/>
                  <a:ext cx="471526" cy="290208"/>
                  <a:chOff x="10284165" y="8440687"/>
                  <a:chExt cx="469817" cy="287384"/>
                </a:xfrm>
              </xdr:grpSpPr>
              <xdr:sp macro="" textlink="$AF$30">
                <xdr:nvSpPr>
                  <xdr:cNvPr id="2317" name="Suelo O">
                    <a:extLst>
                      <a:ext uri="{FF2B5EF4-FFF2-40B4-BE49-F238E27FC236}">
                        <a16:creationId xmlns:a16="http://schemas.microsoft.com/office/drawing/2014/main" id="{42A86505-5935-224E-C497-A76EB26D12CB}"/>
                      </a:ext>
                    </a:extLst>
                  </xdr:cNvPr>
                  <xdr:cNvSpPr txBox="1"/>
                </xdr:nvSpPr>
                <xdr:spPr>
                  <a:xfrm rot="10800000">
                    <a:off x="10284165" y="8455811"/>
                    <a:ext cx="469817" cy="272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EE8C2A1-74A3-4774-836F-823CA4CC4E7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30">
                <xdr:nvSpPr>
                  <xdr:cNvPr id="2318" name="Ruedas O">
                    <a:extLst>
                      <a:ext uri="{FF2B5EF4-FFF2-40B4-BE49-F238E27FC236}">
                        <a16:creationId xmlns:a16="http://schemas.microsoft.com/office/drawing/2014/main" id="{E40B9D8B-2FFF-430C-D1CF-727CA2EDF534}"/>
                      </a:ext>
                    </a:extLst>
                  </xdr:cNvPr>
                  <xdr:cNvSpPr txBox="1"/>
                </xdr:nvSpPr>
                <xdr:spPr>
                  <a:xfrm>
                    <a:off x="10284165" y="8440687"/>
                    <a:ext cx="469817" cy="27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FC3E696-B4C5-4092-91C3-CA76DDF6C47C}"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313" name="Apoyo FIjo">
                  <a:extLst>
                    <a:ext uri="{FF2B5EF4-FFF2-40B4-BE49-F238E27FC236}">
                      <a16:creationId xmlns:a16="http://schemas.microsoft.com/office/drawing/2014/main" id="{9924E50E-ED28-74AA-E62B-46D296B804A2}"/>
                    </a:ext>
                  </a:extLst>
                </xdr:cNvPr>
                <xdr:cNvGrpSpPr/>
              </xdr:nvGrpSpPr>
              <xdr:grpSpPr>
                <a:xfrm>
                  <a:off x="1242023" y="9289134"/>
                  <a:ext cx="471526" cy="358984"/>
                  <a:chOff x="10283423" y="8314710"/>
                  <a:chExt cx="469817" cy="355491"/>
                </a:xfrm>
              </xdr:grpSpPr>
              <xdr:sp macro="" textlink="$AD$30">
                <xdr:nvSpPr>
                  <xdr:cNvPr id="2315" name="Suelo O">
                    <a:extLst>
                      <a:ext uri="{FF2B5EF4-FFF2-40B4-BE49-F238E27FC236}">
                        <a16:creationId xmlns:a16="http://schemas.microsoft.com/office/drawing/2014/main" id="{D4497D97-8DC5-7141-2537-3D84A24619F7}"/>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E06FE54-1113-40C4-BD17-F88845924B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30">
                <xdr:nvSpPr>
                  <xdr:cNvPr id="2316" name="Triángulo O">
                    <a:extLst>
                      <a:ext uri="{FF2B5EF4-FFF2-40B4-BE49-F238E27FC236}">
                        <a16:creationId xmlns:a16="http://schemas.microsoft.com/office/drawing/2014/main" id="{8FE12E41-2059-4050-EDCE-0AF296334CA4}"/>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F436A5-337A-4E68-9879-A72302E588F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30">
              <xdr:nvSpPr>
                <xdr:cNvPr id="2314" name="Empotramiento O">
                  <a:extLst>
                    <a:ext uri="{FF2B5EF4-FFF2-40B4-BE49-F238E27FC236}">
                      <a16:creationId xmlns:a16="http://schemas.microsoft.com/office/drawing/2014/main" id="{FFAC3207-A9D0-7B87-1011-1519C9CC1023}"/>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13DD8D3-BE3E-470F-A8F4-B496E3F3CAA5}"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grpSp>
        <xdr:nvGrpSpPr>
          <xdr:cNvPr id="2020" name="ESTRUCTURA">
            <a:extLst>
              <a:ext uri="{FF2B5EF4-FFF2-40B4-BE49-F238E27FC236}">
                <a16:creationId xmlns:a16="http://schemas.microsoft.com/office/drawing/2014/main" id="{C8299571-B753-D1FC-0137-5EBC659F8AE7}"/>
              </a:ext>
            </a:extLst>
          </xdr:cNvPr>
          <xdr:cNvGrpSpPr/>
        </xdr:nvGrpSpPr>
        <xdr:grpSpPr>
          <a:xfrm>
            <a:off x="96785" y="5591092"/>
            <a:ext cx="4947500" cy="2820986"/>
            <a:chOff x="96785" y="5580656"/>
            <a:chExt cx="4939231" cy="2845350"/>
          </a:xfrm>
        </xdr:grpSpPr>
        <xdr:grpSp>
          <xdr:nvGrpSpPr>
            <xdr:cNvPr id="2178" name="AB">
              <a:extLst>
                <a:ext uri="{FF2B5EF4-FFF2-40B4-BE49-F238E27FC236}">
                  <a16:creationId xmlns:a16="http://schemas.microsoft.com/office/drawing/2014/main" id="{82CAA238-2DB9-D6DA-DCDD-383696175BAC}"/>
                </a:ext>
              </a:extLst>
            </xdr:cNvPr>
            <xdr:cNvGrpSpPr/>
          </xdr:nvGrpSpPr>
          <xdr:grpSpPr>
            <a:xfrm>
              <a:off x="96785" y="7577763"/>
              <a:ext cx="751918" cy="836724"/>
              <a:chOff x="96785" y="7577763"/>
              <a:chExt cx="751918" cy="836724"/>
            </a:xfrm>
          </xdr:grpSpPr>
          <xdr:sp macro="" textlink="$Y$15">
            <xdr:nvSpPr>
              <xdr:cNvPr id="2288" name="Barra AB">
                <a:extLst>
                  <a:ext uri="{FF2B5EF4-FFF2-40B4-BE49-F238E27FC236}">
                    <a16:creationId xmlns:a16="http://schemas.microsoft.com/office/drawing/2014/main" id="{BE2BD707-8D71-D67D-B8B6-5ADB2DD07082}"/>
                  </a:ext>
                </a:extLst>
              </xdr:cNvPr>
              <xdr:cNvSpPr txBox="1"/>
            </xdr:nvSpPr>
            <xdr:spPr>
              <a:xfrm rot="16200000">
                <a:off x="420962" y="7931694"/>
                <a:ext cx="708099" cy="1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199A997-BF91-48FD-92F0-E50BD19F794A}"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89" name="Cota">
                <a:extLst>
                  <a:ext uri="{FF2B5EF4-FFF2-40B4-BE49-F238E27FC236}">
                    <a16:creationId xmlns:a16="http://schemas.microsoft.com/office/drawing/2014/main" id="{A5EA927B-CDBF-E74C-5AC7-6CB975EDCE4F}"/>
                  </a:ext>
                </a:extLst>
              </xdr:cNvPr>
              <xdr:cNvGrpSpPr/>
            </xdr:nvGrpSpPr>
            <xdr:grpSpPr>
              <a:xfrm>
                <a:off x="96785" y="7577763"/>
                <a:ext cx="594232" cy="836724"/>
                <a:chOff x="10021477" y="7645975"/>
                <a:chExt cx="594182" cy="843363"/>
              </a:xfrm>
            </xdr:grpSpPr>
            <xdr:sp macro="" textlink="$AA$15">
              <xdr:nvSpPr>
                <xdr:cNvPr id="2291" name="Vertical BA">
                  <a:extLst>
                    <a:ext uri="{FF2B5EF4-FFF2-40B4-BE49-F238E27FC236}">
                      <a16:creationId xmlns:a16="http://schemas.microsoft.com/office/drawing/2014/main" id="{AB03F545-D12D-940D-3B67-4E74A43AB83A}"/>
                    </a:ext>
                  </a:extLst>
                </xdr:cNvPr>
                <xdr:cNvSpPr txBox="1"/>
              </xdr:nvSpPr>
              <xdr:spPr>
                <a:xfrm>
                  <a:off x="10103075"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4693C7F9-C5C4-4D9B-8B20-6D20BE3F0E04}"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AB_Ver">
              <xdr:nvSpPr>
                <xdr:cNvPr id="2292" name="L_AB">
                  <a:extLst>
                    <a:ext uri="{FF2B5EF4-FFF2-40B4-BE49-F238E27FC236}">
                      <a16:creationId xmlns:a16="http://schemas.microsoft.com/office/drawing/2014/main" id="{39616F50-33AA-E8C8-BF6F-4B61C8779B26}"/>
                    </a:ext>
                  </a:extLst>
                </xdr:cNvPr>
                <xdr:cNvSpPr txBox="1"/>
              </xdr:nvSpPr>
              <xdr:spPr>
                <a:xfrm rot="16200000">
                  <a:off x="977676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0BBCFF5-3C36-4CFD-AAB0-79507C53DED4}" type="TxLink">
                    <a:rPr lang="en-US" sz="900" b="0" i="0" u="none" strike="noStrike">
                      <a:solidFill>
                        <a:srgbClr val="000000"/>
                      </a:solidFill>
                      <a:latin typeface="Calibri"/>
                      <a:ea typeface="Calibri"/>
                      <a:cs typeface="Calibri"/>
                    </a:rPr>
                    <a:pPr algn="ctr"/>
                    <a:t> </a:t>
                  </a:fld>
                  <a:endParaRPr lang="es-ES" sz="1100"/>
                </a:p>
              </xdr:txBody>
            </xdr:sp>
            <xdr:sp macro="" textlink="$Z$15">
              <xdr:nvSpPr>
                <xdr:cNvPr id="2293" name="Flecha AB">
                  <a:extLst>
                    <a:ext uri="{FF2B5EF4-FFF2-40B4-BE49-F238E27FC236}">
                      <a16:creationId xmlns:a16="http://schemas.microsoft.com/office/drawing/2014/main" id="{0266EAB6-3B95-EF41-498E-9A5BA3813422}"/>
                    </a:ext>
                  </a:extLst>
                </xdr:cNvPr>
                <xdr:cNvSpPr txBox="1"/>
              </xdr:nvSpPr>
              <xdr:spPr>
                <a:xfrm rot="16200000">
                  <a:off x="9836444" y="7904551"/>
                  <a:ext cx="713169" cy="34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F22FE89-DF16-4C88-803D-A5EB2F15DE5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5">
              <xdr:nvSpPr>
                <xdr:cNvPr id="2294" name="Vertical AB">
                  <a:extLst>
                    <a:ext uri="{FF2B5EF4-FFF2-40B4-BE49-F238E27FC236}">
                      <a16:creationId xmlns:a16="http://schemas.microsoft.com/office/drawing/2014/main" id="{919173AC-A900-F607-AE08-8E1E9EEF7190}"/>
                    </a:ext>
                  </a:extLst>
                </xdr:cNvPr>
                <xdr:cNvSpPr txBox="1"/>
              </xdr:nvSpPr>
              <xdr:spPr>
                <a:xfrm>
                  <a:off x="10099504" y="8337373"/>
                  <a:ext cx="507963"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34732A0-EBB4-48DC-AA26-4C5D2E0E94E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5">
            <xdr:nvSpPr>
              <xdr:cNvPr id="2290" name="A">
                <a:extLst>
                  <a:ext uri="{FF2B5EF4-FFF2-40B4-BE49-F238E27FC236}">
                    <a16:creationId xmlns:a16="http://schemas.microsoft.com/office/drawing/2014/main" id="{3E37D9B7-7645-96DD-51DB-5A41CAA7565F}"/>
                  </a:ext>
                </a:extLst>
              </xdr:cNvPr>
              <xdr:cNvSpPr txBox="1"/>
            </xdr:nvSpPr>
            <xdr:spPr>
              <a:xfrm>
                <a:off x="669116" y="8223599"/>
                <a:ext cx="80324" cy="156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C941F89-CD4D-4DCC-BBBA-EAADF87ECBB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79" name="BC">
              <a:extLst>
                <a:ext uri="{FF2B5EF4-FFF2-40B4-BE49-F238E27FC236}">
                  <a16:creationId xmlns:a16="http://schemas.microsoft.com/office/drawing/2014/main" id="{D5D98900-0F5A-23A4-9B0E-AD739C19FE0B}"/>
                </a:ext>
              </a:extLst>
            </xdr:cNvPr>
            <xdr:cNvGrpSpPr/>
          </xdr:nvGrpSpPr>
          <xdr:grpSpPr>
            <a:xfrm>
              <a:off x="125083" y="6875559"/>
              <a:ext cx="722173" cy="843871"/>
              <a:chOff x="125083" y="6875559"/>
              <a:chExt cx="722173" cy="843871"/>
            </a:xfrm>
          </xdr:grpSpPr>
          <xdr:sp macro="" textlink="$Y$16">
            <xdr:nvSpPr>
              <xdr:cNvPr id="2281" name="Barra BC">
                <a:extLst>
                  <a:ext uri="{FF2B5EF4-FFF2-40B4-BE49-F238E27FC236}">
                    <a16:creationId xmlns:a16="http://schemas.microsoft.com/office/drawing/2014/main" id="{D677FC47-8213-8D3F-3F44-F4AA54E5A275}"/>
                  </a:ext>
                </a:extLst>
              </xdr:cNvPr>
              <xdr:cNvSpPr txBox="1"/>
            </xdr:nvSpPr>
            <xdr:spPr>
              <a:xfrm rot="16200000">
                <a:off x="418378" y="7232140"/>
                <a:ext cx="710051" cy="147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1BFEBF3-7E32-471E-A9EE-1ECD42AA8637}"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82" name="Cota">
                <a:extLst>
                  <a:ext uri="{FF2B5EF4-FFF2-40B4-BE49-F238E27FC236}">
                    <a16:creationId xmlns:a16="http://schemas.microsoft.com/office/drawing/2014/main" id="{ADB10B0C-95F5-DBA2-5F2A-32E9DA45D4D4}"/>
                  </a:ext>
                </a:extLst>
              </xdr:cNvPr>
              <xdr:cNvGrpSpPr/>
            </xdr:nvGrpSpPr>
            <xdr:grpSpPr>
              <a:xfrm>
                <a:off x="125083" y="6875559"/>
                <a:ext cx="564148" cy="839000"/>
                <a:chOff x="10052795" y="7646008"/>
                <a:chExt cx="562869" cy="843332"/>
              </a:xfrm>
            </xdr:grpSpPr>
            <xdr:sp macro="" textlink="AA16">
              <xdr:nvSpPr>
                <xdr:cNvPr id="2284" name="Vertical BC">
                  <a:extLst>
                    <a:ext uri="{FF2B5EF4-FFF2-40B4-BE49-F238E27FC236}">
                      <a16:creationId xmlns:a16="http://schemas.microsoft.com/office/drawing/2014/main" id="{BADF138C-D0F5-9844-B160-B2278A091B1D}"/>
                    </a:ext>
                  </a:extLst>
                </xdr:cNvPr>
                <xdr:cNvSpPr txBox="1"/>
              </xdr:nvSpPr>
              <xdr:spPr>
                <a:xfrm>
                  <a:off x="10103080" y="7646008"/>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92B0F44-3B9B-45BB-8E26-687B3FFF21A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BC_Ver">
              <xdr:nvSpPr>
                <xdr:cNvPr id="2285" name="L_BC">
                  <a:extLst>
                    <a:ext uri="{FF2B5EF4-FFF2-40B4-BE49-F238E27FC236}">
                      <a16:creationId xmlns:a16="http://schemas.microsoft.com/office/drawing/2014/main" id="{925A2653-D197-E4BF-3368-6D4972991A52}"/>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2C3CA30-478C-4FDB-B934-6699CEB01075}" type="TxLink">
                    <a:rPr lang="en-US" sz="900" b="0" i="0" u="none" strike="noStrike">
                      <a:solidFill>
                        <a:srgbClr val="000000"/>
                      </a:solidFill>
                      <a:latin typeface="Calibri"/>
                      <a:ea typeface="Calibri"/>
                      <a:cs typeface="Calibri"/>
                    </a:rPr>
                    <a:pPr algn="ctr"/>
                    <a:t> </a:t>
                  </a:fld>
                  <a:endParaRPr lang="es-ES" sz="1100"/>
                </a:p>
              </xdr:txBody>
            </xdr:sp>
            <xdr:sp macro="" textlink="Z16">
              <xdr:nvSpPr>
                <xdr:cNvPr id="2286" name="Flecha BC">
                  <a:extLst>
                    <a:ext uri="{FF2B5EF4-FFF2-40B4-BE49-F238E27FC236}">
                      <a16:creationId xmlns:a16="http://schemas.microsoft.com/office/drawing/2014/main" id="{68BF7FBC-04D9-8A74-6105-9553DC7176EC}"/>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E876628-044B-4069-B4C2-FBE1B43B5F65}"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6">
              <xdr:nvSpPr>
                <xdr:cNvPr id="2287" name="Vertical BC">
                  <a:extLst>
                    <a:ext uri="{FF2B5EF4-FFF2-40B4-BE49-F238E27FC236}">
                      <a16:creationId xmlns:a16="http://schemas.microsoft.com/office/drawing/2014/main" id="{CDDFDE66-1CC8-3307-8AEB-C21473604B61}"/>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4E0B917-C290-42D9-9BFB-BAD109477DDA}"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6">
            <xdr:nvSpPr>
              <xdr:cNvPr id="2283" name="B">
                <a:extLst>
                  <a:ext uri="{FF2B5EF4-FFF2-40B4-BE49-F238E27FC236}">
                    <a16:creationId xmlns:a16="http://schemas.microsoft.com/office/drawing/2014/main" id="{A9EE8149-6F90-BA06-D6DA-51BAD06E0DBC}"/>
                  </a:ext>
                </a:extLst>
              </xdr:cNvPr>
              <xdr:cNvSpPr txBox="1"/>
            </xdr:nvSpPr>
            <xdr:spPr>
              <a:xfrm>
                <a:off x="681274" y="7562505"/>
                <a:ext cx="80500" cy="156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6E508EC-DE81-48AB-8D07-568C3049B8ED}"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80" name="CD">
              <a:extLst>
                <a:ext uri="{FF2B5EF4-FFF2-40B4-BE49-F238E27FC236}">
                  <a16:creationId xmlns:a16="http://schemas.microsoft.com/office/drawing/2014/main" id="{E4C03C74-8C54-34A0-0D0A-284F7D40CD85}"/>
                </a:ext>
              </a:extLst>
            </xdr:cNvPr>
            <xdr:cNvGrpSpPr/>
          </xdr:nvGrpSpPr>
          <xdr:grpSpPr>
            <a:xfrm>
              <a:off x="125896" y="6178983"/>
              <a:ext cx="722172" cy="841615"/>
              <a:chOff x="125896" y="6178983"/>
              <a:chExt cx="722172" cy="841615"/>
            </a:xfrm>
          </xdr:grpSpPr>
          <xdr:sp macro="" textlink="Y17">
            <xdr:nvSpPr>
              <xdr:cNvPr id="2274" name="Barra CD">
                <a:extLst>
                  <a:ext uri="{FF2B5EF4-FFF2-40B4-BE49-F238E27FC236}">
                    <a16:creationId xmlns:a16="http://schemas.microsoft.com/office/drawing/2014/main" id="{739D7D7D-C844-0EBB-B7C4-F3DC6E39651E}"/>
                  </a:ext>
                </a:extLst>
              </xdr:cNvPr>
              <xdr:cNvSpPr txBox="1"/>
            </xdr:nvSpPr>
            <xdr:spPr>
              <a:xfrm rot="16200000">
                <a:off x="419185" y="6531370"/>
                <a:ext cx="710061" cy="147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5B82EDE-687B-4126-A474-EAAA6659AF20}"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75" name="Cota">
                <a:extLst>
                  <a:ext uri="{FF2B5EF4-FFF2-40B4-BE49-F238E27FC236}">
                    <a16:creationId xmlns:a16="http://schemas.microsoft.com/office/drawing/2014/main" id="{DE257111-BD5C-96DB-465F-AE43E0ECDEC9}"/>
                  </a:ext>
                </a:extLst>
              </xdr:cNvPr>
              <xdr:cNvGrpSpPr/>
            </xdr:nvGrpSpPr>
            <xdr:grpSpPr>
              <a:xfrm>
                <a:off x="125896" y="6178983"/>
                <a:ext cx="564147" cy="841615"/>
                <a:chOff x="10052796" y="7648551"/>
                <a:chExt cx="562868" cy="845947"/>
              </a:xfrm>
            </xdr:grpSpPr>
            <xdr:sp macro="" textlink="AA17">
              <xdr:nvSpPr>
                <xdr:cNvPr id="2277" name="Vertical CD">
                  <a:extLst>
                    <a:ext uri="{FF2B5EF4-FFF2-40B4-BE49-F238E27FC236}">
                      <a16:creationId xmlns:a16="http://schemas.microsoft.com/office/drawing/2014/main" id="{8A72BBB3-ECD2-BD6C-F249-61080837EBBA}"/>
                    </a:ext>
                  </a:extLst>
                </xdr:cNvPr>
                <xdr:cNvSpPr txBox="1"/>
              </xdr:nvSpPr>
              <xdr:spPr>
                <a:xfrm>
                  <a:off x="10103080" y="7648551"/>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27739F2-016D-422A-9C6E-EC93482D870D}"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CE_Ver">
              <xdr:nvSpPr>
                <xdr:cNvPr id="2278" name="L_CD">
                  <a:extLst>
                    <a:ext uri="{FF2B5EF4-FFF2-40B4-BE49-F238E27FC236}">
                      <a16:creationId xmlns:a16="http://schemas.microsoft.com/office/drawing/2014/main" id="{1A03E8FB-BA9E-F072-8CB1-62B308F5B3C8}"/>
                    </a:ext>
                  </a:extLst>
                </xdr:cNvPr>
                <xdr:cNvSpPr txBox="1"/>
              </xdr:nvSpPr>
              <xdr:spPr>
                <a:xfrm rot="16200000">
                  <a:off x="9776748" y="8005393"/>
                  <a:ext cx="698095"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E453D3E-DE0B-4111-8339-EC6074A0874E}" type="TxLink">
                    <a:rPr lang="en-US" sz="900" b="0" i="0" u="none" strike="noStrike">
                      <a:solidFill>
                        <a:srgbClr val="000000"/>
                      </a:solidFill>
                      <a:latin typeface="Calibri"/>
                      <a:ea typeface="Calibri"/>
                      <a:cs typeface="Calibri"/>
                    </a:rPr>
                    <a:pPr algn="ctr"/>
                    <a:t> </a:t>
                  </a:fld>
                  <a:endParaRPr lang="es-ES" sz="1100"/>
                </a:p>
              </xdr:txBody>
            </xdr:sp>
            <xdr:sp macro="" textlink="Z17">
              <xdr:nvSpPr>
                <xdr:cNvPr id="2279" name="Flecha CD">
                  <a:extLst>
                    <a:ext uri="{FF2B5EF4-FFF2-40B4-BE49-F238E27FC236}">
                      <a16:creationId xmlns:a16="http://schemas.microsoft.com/office/drawing/2014/main" id="{37CCA97B-39D7-C2B3-E69A-06FB25699431}"/>
                    </a:ext>
                  </a:extLst>
                </xdr:cNvPr>
                <xdr:cNvSpPr txBox="1"/>
              </xdr:nvSpPr>
              <xdr:spPr>
                <a:xfrm rot="16200000">
                  <a:off x="9836441" y="8005001"/>
                  <a:ext cx="713170"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C3ACD96-30BC-4EBE-8D42-BC65F92FBA14}"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7">
              <xdr:nvSpPr>
                <xdr:cNvPr id="2280" name="Vertical CD">
                  <a:extLst>
                    <a:ext uri="{FF2B5EF4-FFF2-40B4-BE49-F238E27FC236}">
                      <a16:creationId xmlns:a16="http://schemas.microsoft.com/office/drawing/2014/main" id="{67313586-0347-5A66-6BFB-2DB886898518}"/>
                    </a:ext>
                  </a:extLst>
                </xdr:cNvPr>
                <xdr:cNvSpPr txBox="1"/>
              </xdr:nvSpPr>
              <xdr:spPr>
                <a:xfrm>
                  <a:off x="10099514" y="8342533"/>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BD950AB-3F2E-4A3C-9589-E0BCD1938A34}"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7">
            <xdr:nvSpPr>
              <xdr:cNvPr id="2276" name="C">
                <a:extLst>
                  <a:ext uri="{FF2B5EF4-FFF2-40B4-BE49-F238E27FC236}">
                    <a16:creationId xmlns:a16="http://schemas.microsoft.com/office/drawing/2014/main" id="{BDDF0617-41AC-EF1D-99C1-05EF2840DC4C}"/>
                  </a:ext>
                </a:extLst>
              </xdr:cNvPr>
              <xdr:cNvSpPr txBox="1"/>
            </xdr:nvSpPr>
            <xdr:spPr>
              <a:xfrm>
                <a:off x="682086" y="6839887"/>
                <a:ext cx="80500" cy="156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75C3138-160E-47C4-A70A-DD1A5CEF95B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81" name="CE">
              <a:extLst>
                <a:ext uri="{FF2B5EF4-FFF2-40B4-BE49-F238E27FC236}">
                  <a16:creationId xmlns:a16="http://schemas.microsoft.com/office/drawing/2014/main" id="{53855B75-FB99-B5B0-A4DA-F7BDB85F00E6}"/>
                </a:ext>
              </a:extLst>
            </xdr:cNvPr>
            <xdr:cNvGrpSpPr/>
          </xdr:nvGrpSpPr>
          <xdr:grpSpPr>
            <a:xfrm>
              <a:off x="668240" y="6403653"/>
              <a:ext cx="919793" cy="356043"/>
              <a:chOff x="668240" y="6403653"/>
              <a:chExt cx="919793" cy="356043"/>
            </a:xfrm>
          </xdr:grpSpPr>
          <xdr:sp macro="" textlink="$Y$19">
            <xdr:nvSpPr>
              <xdr:cNvPr id="2271" name="Barra CD'">
                <a:extLst>
                  <a:ext uri="{FF2B5EF4-FFF2-40B4-BE49-F238E27FC236}">
                    <a16:creationId xmlns:a16="http://schemas.microsoft.com/office/drawing/2014/main" id="{19614B8D-4C0C-C115-E15D-CE46FFAC04A1}"/>
                  </a:ext>
                </a:extLst>
              </xdr:cNvPr>
              <xdr:cNvSpPr txBox="1"/>
            </xdr:nvSpPr>
            <xdr:spPr>
              <a:xfrm rot="18900000">
                <a:off x="668240" y="6613352"/>
                <a:ext cx="716383" cy="146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27EDB3EC-E12E-4F9F-A36B-54E124C4C4D9}" type="TxLink">
                  <a:rPr lang="en-US" sz="2200" b="1" i="0" u="none" strike="noStrike">
                    <a:solidFill>
                      <a:srgbClr val="000000"/>
                    </a:solidFill>
                    <a:latin typeface="Calibri"/>
                    <a:ea typeface="Calibri"/>
                    <a:cs typeface="Calibri"/>
                  </a:rPr>
                  <a:pPr algn="l"/>
                  <a:t> </a:t>
                </a:fld>
                <a:endParaRPr lang="es-ES" sz="1400" b="1">
                  <a:solidFill>
                    <a:srgbClr val="0070C0"/>
                  </a:solidFill>
                </a:endParaRPr>
              </a:p>
            </xdr:txBody>
          </xdr:sp>
          <xdr:sp macro="" textlink="$Y$19">
            <xdr:nvSpPr>
              <xdr:cNvPr id="2272" name="Barra D'E">
                <a:extLst>
                  <a:ext uri="{FF2B5EF4-FFF2-40B4-BE49-F238E27FC236}">
                    <a16:creationId xmlns:a16="http://schemas.microsoft.com/office/drawing/2014/main" id="{9B631DB4-7D5D-33D4-8DDF-A3C41A613EBD}"/>
                  </a:ext>
                </a:extLst>
              </xdr:cNvPr>
              <xdr:cNvSpPr txBox="1"/>
            </xdr:nvSpPr>
            <xdr:spPr>
              <a:xfrm rot="18900000">
                <a:off x="879884" y="6403653"/>
                <a:ext cx="708149" cy="147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EB5840AD-129D-4C98-BB51-5AEB72AC0C98}" type="TxLink">
                  <a:rPr lang="en-US" sz="2200" b="1" i="0" u="none" strike="noStrike">
                    <a:solidFill>
                      <a:srgbClr val="000000"/>
                    </a:solidFill>
                    <a:latin typeface="Calibri"/>
                    <a:ea typeface="Calibri"/>
                    <a:cs typeface="Calibri"/>
                  </a:rPr>
                  <a:pPr algn="r"/>
                  <a:t> </a:t>
                </a:fld>
                <a:endParaRPr lang="es-ES" sz="1400" b="1">
                  <a:solidFill>
                    <a:srgbClr val="0070C0"/>
                  </a:solidFill>
                </a:endParaRPr>
              </a:p>
            </xdr:txBody>
          </xdr:sp>
          <xdr:sp macro="" textlink="$V$19">
            <xdr:nvSpPr>
              <xdr:cNvPr id="2273" name="D'">
                <a:extLst>
                  <a:ext uri="{FF2B5EF4-FFF2-40B4-BE49-F238E27FC236}">
                    <a16:creationId xmlns:a16="http://schemas.microsoft.com/office/drawing/2014/main" id="{0E6B0179-9DDD-EF84-132A-3B2AF2C28AA5}"/>
                  </a:ext>
                </a:extLst>
              </xdr:cNvPr>
              <xdr:cNvSpPr txBox="1"/>
            </xdr:nvSpPr>
            <xdr:spPr>
              <a:xfrm>
                <a:off x="1188100" y="6553728"/>
                <a:ext cx="100235" cy="142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EE2547F-BA36-40FD-A49C-1E87E91C19C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82" name="DE">
              <a:extLst>
                <a:ext uri="{FF2B5EF4-FFF2-40B4-BE49-F238E27FC236}">
                  <a16:creationId xmlns:a16="http://schemas.microsoft.com/office/drawing/2014/main" id="{D9E5CD41-841D-8537-DD1C-7EED745C79B2}"/>
                </a:ext>
              </a:extLst>
            </xdr:cNvPr>
            <xdr:cNvGrpSpPr/>
          </xdr:nvGrpSpPr>
          <xdr:grpSpPr>
            <a:xfrm>
              <a:off x="731773" y="5581666"/>
              <a:ext cx="837188" cy="802404"/>
              <a:chOff x="735805" y="5573602"/>
              <a:chExt cx="837188" cy="800387"/>
            </a:xfrm>
          </xdr:grpSpPr>
          <xdr:sp macro="" textlink="$Y$18">
            <xdr:nvSpPr>
              <xdr:cNvPr id="2264" name="Barra DE">
                <a:extLst>
                  <a:ext uri="{FF2B5EF4-FFF2-40B4-BE49-F238E27FC236}">
                    <a16:creationId xmlns:a16="http://schemas.microsoft.com/office/drawing/2014/main" id="{337F412B-59F9-76C3-6705-09A6FCCA72C5}"/>
                  </a:ext>
                </a:extLst>
              </xdr:cNvPr>
              <xdr:cNvSpPr txBox="1"/>
            </xdr:nvSpPr>
            <xdr:spPr>
              <a:xfrm>
                <a:off x="790890" y="6144885"/>
                <a:ext cx="708490" cy="146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6F2301B-D37C-414D-9ADF-9C98E762B20A}"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65" name="Cota">
                <a:extLst>
                  <a:ext uri="{FF2B5EF4-FFF2-40B4-BE49-F238E27FC236}">
                    <a16:creationId xmlns:a16="http://schemas.microsoft.com/office/drawing/2014/main" id="{0319EB92-A8A6-5507-08EC-D8529CAD60B6}"/>
                  </a:ext>
                </a:extLst>
              </xdr:cNvPr>
              <xdr:cNvGrpSpPr/>
            </xdr:nvGrpSpPr>
            <xdr:grpSpPr>
              <a:xfrm rot="5400000">
                <a:off x="873889" y="5435518"/>
                <a:ext cx="561020" cy="837188"/>
                <a:chOff x="10052795" y="7645975"/>
                <a:chExt cx="562869" cy="843365"/>
              </a:xfrm>
            </xdr:grpSpPr>
            <xdr:sp macro="" textlink="AA18">
              <xdr:nvSpPr>
                <xdr:cNvPr id="2267" name="Vertical DE">
                  <a:extLst>
                    <a:ext uri="{FF2B5EF4-FFF2-40B4-BE49-F238E27FC236}">
                      <a16:creationId xmlns:a16="http://schemas.microsoft.com/office/drawing/2014/main" id="{BDC3DA46-7C4D-42B9-9710-D74288A1D376}"/>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355E5C9-0FEF-4C2D-A8EF-D84941B196C5}"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DE_Ver">
              <xdr:nvSpPr>
                <xdr:cNvPr id="2268" name="L_DE">
                  <a:extLst>
                    <a:ext uri="{FF2B5EF4-FFF2-40B4-BE49-F238E27FC236}">
                      <a16:creationId xmlns:a16="http://schemas.microsoft.com/office/drawing/2014/main" id="{BE191F52-D2CA-5AFB-F9E1-E274634AD772}"/>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2555706-2595-48C6-9B3E-7C38C2B65A03}" type="TxLink">
                    <a:rPr lang="en-US" sz="900" b="0" i="0" u="none" strike="noStrike">
                      <a:solidFill>
                        <a:srgbClr val="000000"/>
                      </a:solidFill>
                      <a:latin typeface="Calibri"/>
                      <a:ea typeface="Calibri"/>
                      <a:cs typeface="Calibri"/>
                    </a:rPr>
                    <a:pPr algn="ctr"/>
                    <a:t> </a:t>
                  </a:fld>
                  <a:endParaRPr lang="es-ES" sz="1100"/>
                </a:p>
              </xdr:txBody>
            </xdr:sp>
            <xdr:sp macro="" textlink="$Z$18">
              <xdr:nvSpPr>
                <xdr:cNvPr id="2269" name="Flecha DE">
                  <a:extLst>
                    <a:ext uri="{FF2B5EF4-FFF2-40B4-BE49-F238E27FC236}">
                      <a16:creationId xmlns:a16="http://schemas.microsoft.com/office/drawing/2014/main" id="{3DF53B9F-EF69-B18E-8A77-DED028BE0726}"/>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BC9EBCE-CAD1-4450-9902-0DBE415055E1}"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8">
              <xdr:nvSpPr>
                <xdr:cNvPr id="2270" name="Vertical DE">
                  <a:extLst>
                    <a:ext uri="{FF2B5EF4-FFF2-40B4-BE49-F238E27FC236}">
                      <a16:creationId xmlns:a16="http://schemas.microsoft.com/office/drawing/2014/main" id="{E87DEDBB-1D0B-F977-67B6-F6AEA79EE1B8}"/>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E615C7E-5925-4A57-A88B-E17A858BE48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8">
            <xdr:nvSpPr>
              <xdr:cNvPr id="2266" name="D">
                <a:extLst>
                  <a:ext uri="{FF2B5EF4-FFF2-40B4-BE49-F238E27FC236}">
                    <a16:creationId xmlns:a16="http://schemas.microsoft.com/office/drawing/2014/main" id="{FE9416EC-44D6-8137-AE18-44292E57F82A}"/>
                  </a:ext>
                </a:extLst>
              </xdr:cNvPr>
              <xdr:cNvSpPr txBox="1"/>
            </xdr:nvSpPr>
            <xdr:spPr>
              <a:xfrm>
                <a:off x="832707" y="6218381"/>
                <a:ext cx="80554" cy="155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A132369-0CDF-415B-B5C7-B3D7EE5D57BD}"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83" name="EF">
              <a:extLst>
                <a:ext uri="{FF2B5EF4-FFF2-40B4-BE49-F238E27FC236}">
                  <a16:creationId xmlns:a16="http://schemas.microsoft.com/office/drawing/2014/main" id="{BD3E920B-B116-047A-9316-CA4FF90300F8}"/>
                </a:ext>
              </a:extLst>
            </xdr:cNvPr>
            <xdr:cNvGrpSpPr/>
          </xdr:nvGrpSpPr>
          <xdr:grpSpPr>
            <a:xfrm>
              <a:off x="1429956" y="5580656"/>
              <a:ext cx="836070" cy="721292"/>
              <a:chOff x="1433988" y="5572593"/>
              <a:chExt cx="838085" cy="719275"/>
            </a:xfrm>
          </xdr:grpSpPr>
          <xdr:sp macro="" textlink="Y20">
            <xdr:nvSpPr>
              <xdr:cNvPr id="2257" name="Barra EF">
                <a:extLst>
                  <a:ext uri="{FF2B5EF4-FFF2-40B4-BE49-F238E27FC236}">
                    <a16:creationId xmlns:a16="http://schemas.microsoft.com/office/drawing/2014/main" id="{87BE10BD-89C5-87E9-2D45-A6C702D59A41}"/>
                  </a:ext>
                </a:extLst>
              </xdr:cNvPr>
              <xdr:cNvSpPr txBox="1"/>
            </xdr:nvSpPr>
            <xdr:spPr>
              <a:xfrm>
                <a:off x="1489137" y="6144755"/>
                <a:ext cx="709247" cy="147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2E3CEB3-0ACC-4944-83C4-A65FDCAB2C8C}"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58" name="Cota">
                <a:extLst>
                  <a:ext uri="{FF2B5EF4-FFF2-40B4-BE49-F238E27FC236}">
                    <a16:creationId xmlns:a16="http://schemas.microsoft.com/office/drawing/2014/main" id="{36FAF53D-F7C8-42F0-6FF6-ACC11249620B}"/>
                  </a:ext>
                </a:extLst>
              </xdr:cNvPr>
              <xdr:cNvGrpSpPr/>
            </xdr:nvGrpSpPr>
            <xdr:grpSpPr>
              <a:xfrm rot="5400000">
                <a:off x="1572088" y="5434493"/>
                <a:ext cx="561885" cy="838085"/>
                <a:chOff x="10052795" y="7645975"/>
                <a:chExt cx="562869" cy="843370"/>
              </a:xfrm>
            </xdr:grpSpPr>
            <xdr:sp macro="" textlink="AA20">
              <xdr:nvSpPr>
                <xdr:cNvPr id="2260" name="Vertical EF">
                  <a:extLst>
                    <a:ext uri="{FF2B5EF4-FFF2-40B4-BE49-F238E27FC236}">
                      <a16:creationId xmlns:a16="http://schemas.microsoft.com/office/drawing/2014/main" id="{BAD548BF-B880-8F29-7865-997A612E0435}"/>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E9DF117-68C0-408F-8BA8-60A1C8541F6E}"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EF_Ver">
              <xdr:nvSpPr>
                <xdr:cNvPr id="2261" name="L_EF">
                  <a:extLst>
                    <a:ext uri="{FF2B5EF4-FFF2-40B4-BE49-F238E27FC236}">
                      <a16:creationId xmlns:a16="http://schemas.microsoft.com/office/drawing/2014/main" id="{BF07F6F8-2E17-3FCA-E5BF-CA8836B31FF6}"/>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B7CD2AC-7F72-4490-A3C8-5739EE1AB2D0}" type="TxLink">
                    <a:rPr lang="en-US" sz="900" b="0" i="0" u="none" strike="noStrike">
                      <a:solidFill>
                        <a:srgbClr val="000000"/>
                      </a:solidFill>
                      <a:latin typeface="Calibri"/>
                      <a:ea typeface="Calibri"/>
                      <a:cs typeface="Calibri"/>
                    </a:rPr>
                    <a:pPr algn="ctr"/>
                    <a:t> </a:t>
                  </a:fld>
                  <a:endParaRPr lang="es-ES" sz="1100"/>
                </a:p>
              </xdr:txBody>
            </xdr:sp>
            <xdr:sp macro="" textlink="Z20">
              <xdr:nvSpPr>
                <xdr:cNvPr id="2262" name="Flecha EF">
                  <a:extLst>
                    <a:ext uri="{FF2B5EF4-FFF2-40B4-BE49-F238E27FC236}">
                      <a16:creationId xmlns:a16="http://schemas.microsoft.com/office/drawing/2014/main" id="{36240432-BE12-8563-D1DC-E596A68C0249}"/>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1AAC797-D29B-463C-AA6C-7673F9C537BD}"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0">
              <xdr:nvSpPr>
                <xdr:cNvPr id="2263" name="Vertical EF">
                  <a:extLst>
                    <a:ext uri="{FF2B5EF4-FFF2-40B4-BE49-F238E27FC236}">
                      <a16:creationId xmlns:a16="http://schemas.microsoft.com/office/drawing/2014/main" id="{2614AC7B-46BD-48CB-3D84-E9D7F1A8A463}"/>
                    </a:ext>
                  </a:extLst>
                </xdr:cNvPr>
                <xdr:cNvSpPr txBox="1"/>
              </xdr:nvSpPr>
              <xdr:spPr>
                <a:xfrm>
                  <a:off x="10099512" y="8337379"/>
                  <a:ext cx="507965" cy="151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4FE3732-5FD9-490E-B797-8C0615D2FEE3}"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0">
            <xdr:nvSpPr>
              <xdr:cNvPr id="2259" name="E">
                <a:extLst>
                  <a:ext uri="{FF2B5EF4-FFF2-40B4-BE49-F238E27FC236}">
                    <a16:creationId xmlns:a16="http://schemas.microsoft.com/office/drawing/2014/main" id="{21720FAF-8531-C847-4968-CB7E1E2881F5}"/>
                  </a:ext>
                </a:extLst>
              </xdr:cNvPr>
              <xdr:cNvSpPr txBox="1"/>
            </xdr:nvSpPr>
            <xdr:spPr>
              <a:xfrm>
                <a:off x="1502248" y="6073627"/>
                <a:ext cx="80640" cy="155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9A2C873-0EA0-46CD-96C2-9CB17A52E34A}"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84" name="FG">
              <a:extLst>
                <a:ext uri="{FF2B5EF4-FFF2-40B4-BE49-F238E27FC236}">
                  <a16:creationId xmlns:a16="http://schemas.microsoft.com/office/drawing/2014/main" id="{F5CE8AA9-C506-8CC6-0715-9A878EBE4F20}"/>
                </a:ext>
              </a:extLst>
            </xdr:cNvPr>
            <xdr:cNvGrpSpPr/>
          </xdr:nvGrpSpPr>
          <xdr:grpSpPr>
            <a:xfrm>
              <a:off x="2125265" y="5581456"/>
              <a:ext cx="833683" cy="721597"/>
              <a:chOff x="2130305" y="5573393"/>
              <a:chExt cx="834691" cy="719580"/>
            </a:xfrm>
          </xdr:grpSpPr>
          <xdr:sp macro="" textlink="Y21">
            <xdr:nvSpPr>
              <xdr:cNvPr id="2250" name="Barra FG">
                <a:extLst>
                  <a:ext uri="{FF2B5EF4-FFF2-40B4-BE49-F238E27FC236}">
                    <a16:creationId xmlns:a16="http://schemas.microsoft.com/office/drawing/2014/main" id="{C2696928-5801-2FB0-108F-2ADDFBA5F590}"/>
                  </a:ext>
                </a:extLst>
              </xdr:cNvPr>
              <xdr:cNvSpPr txBox="1"/>
            </xdr:nvSpPr>
            <xdr:spPr>
              <a:xfrm>
                <a:off x="2185227" y="6145798"/>
                <a:ext cx="706377" cy="14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B6F954A-E0D3-40AD-9E8E-885CDCAB9DB3}"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51" name="Cota">
                <a:extLst>
                  <a:ext uri="{FF2B5EF4-FFF2-40B4-BE49-F238E27FC236}">
                    <a16:creationId xmlns:a16="http://schemas.microsoft.com/office/drawing/2014/main" id="{B4A427BB-956B-849D-1EEB-11D7DC9CFB4B}"/>
                  </a:ext>
                </a:extLst>
              </xdr:cNvPr>
              <xdr:cNvGrpSpPr/>
            </xdr:nvGrpSpPr>
            <xdr:grpSpPr>
              <a:xfrm rot="5400000">
                <a:off x="2266590" y="5437108"/>
                <a:ext cx="562122" cy="834691"/>
                <a:chOff x="10052795" y="7645975"/>
                <a:chExt cx="562869" cy="843365"/>
              </a:xfrm>
            </xdr:grpSpPr>
            <xdr:sp macro="" textlink="AA21">
              <xdr:nvSpPr>
                <xdr:cNvPr id="2253" name="Vertical FG">
                  <a:extLst>
                    <a:ext uri="{FF2B5EF4-FFF2-40B4-BE49-F238E27FC236}">
                      <a16:creationId xmlns:a16="http://schemas.microsoft.com/office/drawing/2014/main" id="{09C67752-6A36-E7BB-00DC-D7FEB2663FAF}"/>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23BC6CF-5B2C-489C-ACD1-9A0C1F83B1A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FG_Ver">
              <xdr:nvSpPr>
                <xdr:cNvPr id="2254" name="L_FG">
                  <a:extLst>
                    <a:ext uri="{FF2B5EF4-FFF2-40B4-BE49-F238E27FC236}">
                      <a16:creationId xmlns:a16="http://schemas.microsoft.com/office/drawing/2014/main" id="{DDECF3B9-7AE7-C8AB-A816-DE2173B2A8B2}"/>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9E64977-AA83-40B4-9E9E-0F660F1B443F}" type="TxLink">
                    <a:rPr lang="en-US" sz="900" b="0" i="0" u="none" strike="noStrike">
                      <a:solidFill>
                        <a:srgbClr val="000000"/>
                      </a:solidFill>
                      <a:latin typeface="Calibri"/>
                      <a:ea typeface="Calibri"/>
                      <a:cs typeface="Calibri"/>
                    </a:rPr>
                    <a:pPr algn="ctr"/>
                    <a:t> </a:t>
                  </a:fld>
                  <a:endParaRPr lang="es-ES" sz="1100"/>
                </a:p>
              </xdr:txBody>
            </xdr:sp>
            <xdr:sp macro="" textlink="Z21">
              <xdr:nvSpPr>
                <xdr:cNvPr id="2255" name="Flecha FG">
                  <a:extLst>
                    <a:ext uri="{FF2B5EF4-FFF2-40B4-BE49-F238E27FC236}">
                      <a16:creationId xmlns:a16="http://schemas.microsoft.com/office/drawing/2014/main" id="{627B7A81-FC96-3804-AF1F-A6835ECB6B95}"/>
                    </a:ext>
                  </a:extLst>
                </xdr:cNvPr>
                <xdr:cNvSpPr txBox="1"/>
              </xdr:nvSpPr>
              <xdr:spPr>
                <a:xfrm rot="16200000">
                  <a:off x="9836442"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CA22EB8-66DC-4F33-9234-0B2EDFC526B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1">
              <xdr:nvSpPr>
                <xdr:cNvPr id="2256" name="Vertical FG">
                  <a:extLst>
                    <a:ext uri="{FF2B5EF4-FFF2-40B4-BE49-F238E27FC236}">
                      <a16:creationId xmlns:a16="http://schemas.microsoft.com/office/drawing/2014/main" id="{248ACDB9-BE71-AE0D-67A7-41CD6463B38E}"/>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067F3C4F-B9B2-4D52-8251-22F7882B7730}"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1">
            <xdr:nvSpPr>
              <xdr:cNvPr id="2252" name="F">
                <a:extLst>
                  <a:ext uri="{FF2B5EF4-FFF2-40B4-BE49-F238E27FC236}">
                    <a16:creationId xmlns:a16="http://schemas.microsoft.com/office/drawing/2014/main" id="{779E7281-4D06-2BAF-F2DD-32AFD602CE1B}"/>
                  </a:ext>
                </a:extLst>
              </xdr:cNvPr>
              <xdr:cNvSpPr txBox="1"/>
            </xdr:nvSpPr>
            <xdr:spPr>
              <a:xfrm>
                <a:off x="2144905" y="6082414"/>
                <a:ext cx="80314" cy="155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7862DE9-A6B6-4C94-B683-6F285A3081A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85" name="GH">
              <a:extLst>
                <a:ext uri="{FF2B5EF4-FFF2-40B4-BE49-F238E27FC236}">
                  <a16:creationId xmlns:a16="http://schemas.microsoft.com/office/drawing/2014/main" id="{582CCC32-9F04-60D0-C488-B3F5A156A428}"/>
                </a:ext>
              </a:extLst>
            </xdr:cNvPr>
            <xdr:cNvGrpSpPr/>
          </xdr:nvGrpSpPr>
          <xdr:grpSpPr>
            <a:xfrm>
              <a:off x="2823267" y="5581351"/>
              <a:ext cx="832124" cy="719892"/>
              <a:chOff x="2829314" y="5573285"/>
              <a:chExt cx="833133" cy="718084"/>
            </a:xfrm>
          </xdr:grpSpPr>
          <xdr:sp macro="" textlink="Y22">
            <xdr:nvSpPr>
              <xdr:cNvPr id="2243" name="Barra GH">
                <a:extLst>
                  <a:ext uri="{FF2B5EF4-FFF2-40B4-BE49-F238E27FC236}">
                    <a16:creationId xmlns:a16="http://schemas.microsoft.com/office/drawing/2014/main" id="{2BC005B1-B1FE-E095-B5D8-FB69571AB409}"/>
                  </a:ext>
                </a:extLst>
              </xdr:cNvPr>
              <xdr:cNvSpPr txBox="1"/>
            </xdr:nvSpPr>
            <xdr:spPr>
              <a:xfrm>
                <a:off x="2884132" y="6144500"/>
                <a:ext cx="705058" cy="146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D485DA8-4EAB-4F58-9963-44B732A1C71B}"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44" name="Cota">
                <a:extLst>
                  <a:ext uri="{FF2B5EF4-FFF2-40B4-BE49-F238E27FC236}">
                    <a16:creationId xmlns:a16="http://schemas.microsoft.com/office/drawing/2014/main" id="{921B7FEA-97A2-291D-BD20-A5AD2B94FC0F}"/>
                  </a:ext>
                </a:extLst>
              </xdr:cNvPr>
              <xdr:cNvGrpSpPr/>
            </xdr:nvGrpSpPr>
            <xdr:grpSpPr>
              <a:xfrm rot="5400000">
                <a:off x="2965404" y="5437195"/>
                <a:ext cx="560953" cy="833133"/>
                <a:chOff x="10052795" y="7645975"/>
                <a:chExt cx="562869" cy="843365"/>
              </a:xfrm>
            </xdr:grpSpPr>
            <xdr:sp macro="" textlink="AA22">
              <xdr:nvSpPr>
                <xdr:cNvPr id="2246" name="Vertical GH">
                  <a:extLst>
                    <a:ext uri="{FF2B5EF4-FFF2-40B4-BE49-F238E27FC236}">
                      <a16:creationId xmlns:a16="http://schemas.microsoft.com/office/drawing/2014/main" id="{C2A3BC35-5551-3924-9CF3-2FF02FF9DFB0}"/>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79C4BA0-32F1-458B-BCEF-3F2BCF5357C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GH_Ver">
              <xdr:nvSpPr>
                <xdr:cNvPr id="2247" name="L_GH">
                  <a:extLst>
                    <a:ext uri="{FF2B5EF4-FFF2-40B4-BE49-F238E27FC236}">
                      <a16:creationId xmlns:a16="http://schemas.microsoft.com/office/drawing/2014/main" id="{32737EAF-B092-603B-2C9E-BFA38E72CD67}"/>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2080048-0BE5-4EBE-81FA-4FD543DAD156}" type="TxLink">
                    <a:rPr lang="en-US" sz="900" b="0" i="0" u="none" strike="noStrike">
                      <a:solidFill>
                        <a:srgbClr val="000000"/>
                      </a:solidFill>
                      <a:latin typeface="Calibri"/>
                      <a:ea typeface="Calibri"/>
                      <a:cs typeface="Calibri"/>
                    </a:rPr>
                    <a:pPr algn="ctr"/>
                    <a:t> </a:t>
                  </a:fld>
                  <a:endParaRPr lang="es-ES" sz="1100"/>
                </a:p>
              </xdr:txBody>
            </xdr:sp>
            <xdr:sp macro="" textlink="Z22">
              <xdr:nvSpPr>
                <xdr:cNvPr id="2248" name="Flecha GH">
                  <a:extLst>
                    <a:ext uri="{FF2B5EF4-FFF2-40B4-BE49-F238E27FC236}">
                      <a16:creationId xmlns:a16="http://schemas.microsoft.com/office/drawing/2014/main" id="{34F202D9-62E8-9CFC-5245-D42B53DFD85E}"/>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AD451FA8-43EB-47BD-ADD3-D9FAC75E2C07}"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2">
              <xdr:nvSpPr>
                <xdr:cNvPr id="2249" name="Vertical GH">
                  <a:extLst>
                    <a:ext uri="{FF2B5EF4-FFF2-40B4-BE49-F238E27FC236}">
                      <a16:creationId xmlns:a16="http://schemas.microsoft.com/office/drawing/2014/main" id="{BA8B1FA3-8AD9-F5D9-A826-3C81187A6DBD}"/>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B9AC266-DEFF-4E20-9604-8548FD704EB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2">
            <xdr:nvSpPr>
              <xdr:cNvPr id="2245" name="G">
                <a:extLst>
                  <a:ext uri="{FF2B5EF4-FFF2-40B4-BE49-F238E27FC236}">
                    <a16:creationId xmlns:a16="http://schemas.microsoft.com/office/drawing/2014/main" id="{A4897AB6-B41E-2F1A-0E30-5DD18500995D}"/>
                  </a:ext>
                </a:extLst>
              </xdr:cNvPr>
              <xdr:cNvSpPr txBox="1"/>
            </xdr:nvSpPr>
            <xdr:spPr>
              <a:xfrm>
                <a:off x="2880380" y="6080315"/>
                <a:ext cx="80164" cy="1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D94B6C4-C25D-4265-BD81-F9CA7E9125D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86" name="HI">
              <a:extLst>
                <a:ext uri="{FF2B5EF4-FFF2-40B4-BE49-F238E27FC236}">
                  <a16:creationId xmlns:a16="http://schemas.microsoft.com/office/drawing/2014/main" id="{F16066CC-E576-9B1C-897D-CCA4EDE8ED21}"/>
                </a:ext>
              </a:extLst>
            </xdr:cNvPr>
            <xdr:cNvGrpSpPr/>
          </xdr:nvGrpSpPr>
          <xdr:grpSpPr>
            <a:xfrm>
              <a:off x="3516789" y="5581245"/>
              <a:ext cx="834642" cy="722537"/>
              <a:chOff x="3516789" y="5581245"/>
              <a:chExt cx="834642" cy="722537"/>
            </a:xfrm>
          </xdr:grpSpPr>
          <xdr:sp macro="" textlink="Y23">
            <xdr:nvSpPr>
              <xdr:cNvPr id="2235" name="Barra HI">
                <a:extLst>
                  <a:ext uri="{FF2B5EF4-FFF2-40B4-BE49-F238E27FC236}">
                    <a16:creationId xmlns:a16="http://schemas.microsoft.com/office/drawing/2014/main" id="{C489370C-D1B2-E17A-7170-FE863F288952}"/>
                  </a:ext>
                </a:extLst>
              </xdr:cNvPr>
              <xdr:cNvSpPr txBox="1"/>
            </xdr:nvSpPr>
            <xdr:spPr>
              <a:xfrm>
                <a:off x="3571707" y="6156002"/>
                <a:ext cx="706336" cy="147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5D754A1-A461-4545-9FD2-EBC2A9A9C435}"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36" name="Cota">
                <a:extLst>
                  <a:ext uri="{FF2B5EF4-FFF2-40B4-BE49-F238E27FC236}">
                    <a16:creationId xmlns:a16="http://schemas.microsoft.com/office/drawing/2014/main" id="{B097E131-2335-0D57-15CA-6CD4C1AE42B6}"/>
                  </a:ext>
                </a:extLst>
              </xdr:cNvPr>
              <xdr:cNvGrpSpPr/>
            </xdr:nvGrpSpPr>
            <xdr:grpSpPr>
              <a:xfrm rot="5400000">
                <a:off x="3651894" y="5446140"/>
                <a:ext cx="564431" cy="834642"/>
                <a:chOff x="10052795" y="7645975"/>
                <a:chExt cx="562869" cy="843365"/>
              </a:xfrm>
            </xdr:grpSpPr>
            <xdr:sp macro="" textlink="AA23">
              <xdr:nvSpPr>
                <xdr:cNvPr id="2239" name="Vertical HI">
                  <a:extLst>
                    <a:ext uri="{FF2B5EF4-FFF2-40B4-BE49-F238E27FC236}">
                      <a16:creationId xmlns:a16="http://schemas.microsoft.com/office/drawing/2014/main" id="{4A19ED1D-B5EB-1961-FB3F-D90A447A4AE1}"/>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68A0A2-E164-4BE0-831B-FD244DD9D405}"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HI_Ver">
              <xdr:nvSpPr>
                <xdr:cNvPr id="2240" name="L_HI">
                  <a:extLst>
                    <a:ext uri="{FF2B5EF4-FFF2-40B4-BE49-F238E27FC236}">
                      <a16:creationId xmlns:a16="http://schemas.microsoft.com/office/drawing/2014/main" id="{3A764875-D895-1131-5CF0-0CEF455E6753}"/>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1B26902-5A3A-4BE8-AAE2-639B701F5796}" type="TxLink">
                    <a:rPr lang="en-US" sz="900" b="0" i="0" u="none" strike="noStrike">
                      <a:solidFill>
                        <a:srgbClr val="000000"/>
                      </a:solidFill>
                      <a:latin typeface="Calibri"/>
                      <a:ea typeface="Calibri"/>
                      <a:cs typeface="Calibri"/>
                    </a:rPr>
                    <a:pPr algn="ctr"/>
                    <a:t> </a:t>
                  </a:fld>
                  <a:endParaRPr lang="es-ES" sz="1100"/>
                </a:p>
              </xdr:txBody>
            </xdr:sp>
            <xdr:sp macro="" textlink="Z23">
              <xdr:nvSpPr>
                <xdr:cNvPr id="2241" name="Flecha HI">
                  <a:extLst>
                    <a:ext uri="{FF2B5EF4-FFF2-40B4-BE49-F238E27FC236}">
                      <a16:creationId xmlns:a16="http://schemas.microsoft.com/office/drawing/2014/main" id="{4A863352-89C0-2EB5-9AB4-C9B82A5606AF}"/>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61D91B5-1880-40AC-BB05-13DF3013DD26}"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3">
              <xdr:nvSpPr>
                <xdr:cNvPr id="2242" name="Vertical HI">
                  <a:extLst>
                    <a:ext uri="{FF2B5EF4-FFF2-40B4-BE49-F238E27FC236}">
                      <a16:creationId xmlns:a16="http://schemas.microsoft.com/office/drawing/2014/main" id="{6AC95570-43A8-63BA-D190-E5663F9FC6FA}"/>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72CEEE-3050-45F9-A312-B707D07567AF}"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4">
            <xdr:nvSpPr>
              <xdr:cNvPr id="2237" name="I">
                <a:extLst>
                  <a:ext uri="{FF2B5EF4-FFF2-40B4-BE49-F238E27FC236}">
                    <a16:creationId xmlns:a16="http://schemas.microsoft.com/office/drawing/2014/main" id="{9491B9DE-582D-1605-828D-02C255C23D66}"/>
                  </a:ext>
                </a:extLst>
              </xdr:cNvPr>
              <xdr:cNvSpPr txBox="1"/>
            </xdr:nvSpPr>
            <xdr:spPr>
              <a:xfrm>
                <a:off x="4200821" y="6077426"/>
                <a:ext cx="80310" cy="156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D2E3662-723B-4A52-A11A-505F5CFCEC6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V$23">
            <xdr:nvSpPr>
              <xdr:cNvPr id="2238" name="H">
                <a:extLst>
                  <a:ext uri="{FF2B5EF4-FFF2-40B4-BE49-F238E27FC236}">
                    <a16:creationId xmlns:a16="http://schemas.microsoft.com/office/drawing/2014/main" id="{C30452CF-F1F9-58B4-BADB-1DE5B57A3C1E}"/>
                  </a:ext>
                </a:extLst>
              </xdr:cNvPr>
              <xdr:cNvSpPr txBox="1"/>
            </xdr:nvSpPr>
            <xdr:spPr>
              <a:xfrm>
                <a:off x="3531387" y="6092357"/>
                <a:ext cx="80310" cy="156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0966678-12B5-4FD9-80AA-FBD04E725B0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87" name="GJ">
              <a:extLst>
                <a:ext uri="{FF2B5EF4-FFF2-40B4-BE49-F238E27FC236}">
                  <a16:creationId xmlns:a16="http://schemas.microsoft.com/office/drawing/2014/main" id="{DF41DFCC-2FD3-26D9-B744-8A3778AAE748}"/>
                </a:ext>
              </a:extLst>
            </xdr:cNvPr>
            <xdr:cNvGrpSpPr/>
          </xdr:nvGrpSpPr>
          <xdr:grpSpPr>
            <a:xfrm>
              <a:off x="2215821" y="6178904"/>
              <a:ext cx="752912" cy="910214"/>
              <a:chOff x="2220861" y="6169832"/>
              <a:chExt cx="753920" cy="905175"/>
            </a:xfrm>
          </xdr:grpSpPr>
          <xdr:sp macro="" textlink="Y24">
            <xdr:nvSpPr>
              <xdr:cNvPr id="2228" name="Barra GJ">
                <a:extLst>
                  <a:ext uri="{FF2B5EF4-FFF2-40B4-BE49-F238E27FC236}">
                    <a16:creationId xmlns:a16="http://schemas.microsoft.com/office/drawing/2014/main" id="{24C5C690-97AE-BC83-B926-54A1484AB705}"/>
                  </a:ext>
                </a:extLst>
              </xdr:cNvPr>
              <xdr:cNvSpPr txBox="1"/>
            </xdr:nvSpPr>
            <xdr:spPr>
              <a:xfrm rot="16200000">
                <a:off x="2513329" y="6522661"/>
                <a:ext cx="706003" cy="147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3611BA8-CA19-4719-9308-2A9E616E8D7E}"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29" name="Cota">
                <a:extLst>
                  <a:ext uri="{FF2B5EF4-FFF2-40B4-BE49-F238E27FC236}">
                    <a16:creationId xmlns:a16="http://schemas.microsoft.com/office/drawing/2014/main" id="{A1893604-8D51-20A7-FA02-753EF240AD54}"/>
                  </a:ext>
                </a:extLst>
              </xdr:cNvPr>
              <xdr:cNvGrpSpPr/>
            </xdr:nvGrpSpPr>
            <xdr:grpSpPr>
              <a:xfrm>
                <a:off x="2220861" y="6169832"/>
                <a:ext cx="561671" cy="834250"/>
                <a:chOff x="10052796" y="7645975"/>
                <a:chExt cx="562877" cy="843365"/>
              </a:xfrm>
            </xdr:grpSpPr>
            <xdr:sp macro="" textlink="AA24">
              <xdr:nvSpPr>
                <xdr:cNvPr id="2231" name="Vertical GJ">
                  <a:extLst>
                    <a:ext uri="{FF2B5EF4-FFF2-40B4-BE49-F238E27FC236}">
                      <a16:creationId xmlns:a16="http://schemas.microsoft.com/office/drawing/2014/main" id="{01035602-89A4-6C15-1151-844CDA6612BB}"/>
                    </a:ext>
                  </a:extLst>
                </xdr:cNvPr>
                <xdr:cNvSpPr txBox="1"/>
              </xdr:nvSpPr>
              <xdr:spPr>
                <a:xfrm>
                  <a:off x="10103089"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7972329-D07C-4A22-94A3-D666846F02B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GJ_Ver">
              <xdr:nvSpPr>
                <xdr:cNvPr id="2232" name="L_GJ">
                  <a:extLst>
                    <a:ext uri="{FF2B5EF4-FFF2-40B4-BE49-F238E27FC236}">
                      <a16:creationId xmlns:a16="http://schemas.microsoft.com/office/drawing/2014/main" id="{3CE46F5B-31B4-8F19-F733-EF478C05019B}"/>
                    </a:ext>
                  </a:extLst>
                </xdr:cNvPr>
                <xdr:cNvSpPr txBox="1"/>
              </xdr:nvSpPr>
              <xdr:spPr>
                <a:xfrm rot="16200000">
                  <a:off x="9776749" y="8002805"/>
                  <a:ext cx="698093"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2F25087-0E2F-483E-9C55-08965E2F2909}" type="TxLink">
                    <a:rPr lang="en-US" sz="900" b="0" i="0" u="none" strike="noStrike">
                      <a:solidFill>
                        <a:srgbClr val="000000"/>
                      </a:solidFill>
                      <a:latin typeface="Calibri"/>
                      <a:ea typeface="Calibri"/>
                      <a:cs typeface="Calibri"/>
                    </a:rPr>
                    <a:pPr algn="ctr"/>
                    <a:t> </a:t>
                  </a:fld>
                  <a:endParaRPr lang="es-ES" sz="1100"/>
                </a:p>
              </xdr:txBody>
            </xdr:sp>
            <xdr:sp macro="" textlink="Z24">
              <xdr:nvSpPr>
                <xdr:cNvPr id="2233" name="Flecha GJ">
                  <a:extLst>
                    <a:ext uri="{FF2B5EF4-FFF2-40B4-BE49-F238E27FC236}">
                      <a16:creationId xmlns:a16="http://schemas.microsoft.com/office/drawing/2014/main" id="{D4A21025-3E7B-D830-6339-088A365BC958}"/>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76C607B-3B88-4918-956B-5729766580B4}"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4">
              <xdr:nvSpPr>
                <xdr:cNvPr id="2234" name="Vertical GJ">
                  <a:extLst>
                    <a:ext uri="{FF2B5EF4-FFF2-40B4-BE49-F238E27FC236}">
                      <a16:creationId xmlns:a16="http://schemas.microsoft.com/office/drawing/2014/main" id="{657D2EB1-9E52-B97A-E256-5CEDD19B3EA5}"/>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2BE8732-3551-4036-A962-0BADA2FDD8B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5">
            <xdr:nvSpPr>
              <xdr:cNvPr id="2230" name="J">
                <a:extLst>
                  <a:ext uri="{FF2B5EF4-FFF2-40B4-BE49-F238E27FC236}">
                    <a16:creationId xmlns:a16="http://schemas.microsoft.com/office/drawing/2014/main" id="{A24413D0-5B01-7A58-A84D-A44C411CC2DE}"/>
                  </a:ext>
                </a:extLst>
              </xdr:cNvPr>
              <xdr:cNvSpPr txBox="1"/>
            </xdr:nvSpPr>
            <xdr:spPr>
              <a:xfrm>
                <a:off x="2894636" y="6918977"/>
                <a:ext cx="80145" cy="156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9E3D112-0CFC-4434-882F-47015567202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88" name="JK">
              <a:extLst>
                <a:ext uri="{FF2B5EF4-FFF2-40B4-BE49-F238E27FC236}">
                  <a16:creationId xmlns:a16="http://schemas.microsoft.com/office/drawing/2014/main" id="{A4E19746-CB6F-CFE4-D5C0-CAF0A1E5CEA3}"/>
                </a:ext>
              </a:extLst>
            </xdr:cNvPr>
            <xdr:cNvGrpSpPr/>
          </xdr:nvGrpSpPr>
          <xdr:grpSpPr>
            <a:xfrm>
              <a:off x="2215740" y="6878393"/>
              <a:ext cx="717892" cy="838042"/>
              <a:chOff x="2220780" y="6865289"/>
              <a:chExt cx="718900" cy="834011"/>
            </a:xfrm>
          </xdr:grpSpPr>
          <xdr:sp macro="" textlink="Y25">
            <xdr:nvSpPr>
              <xdr:cNvPr id="2221" name="Barra JK">
                <a:extLst>
                  <a:ext uri="{FF2B5EF4-FFF2-40B4-BE49-F238E27FC236}">
                    <a16:creationId xmlns:a16="http://schemas.microsoft.com/office/drawing/2014/main" id="{626FBA5F-64E6-1A58-440C-2515EAEA78C6}"/>
                  </a:ext>
                </a:extLst>
              </xdr:cNvPr>
              <xdr:cNvSpPr txBox="1"/>
            </xdr:nvSpPr>
            <xdr:spPr>
              <a:xfrm rot="16200000">
                <a:off x="2513262" y="7218006"/>
                <a:ext cx="705801" cy="147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253C14B-78CE-4924-85C9-867775EECFC2}"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22" name="Cota">
                <a:extLst>
                  <a:ext uri="{FF2B5EF4-FFF2-40B4-BE49-F238E27FC236}">
                    <a16:creationId xmlns:a16="http://schemas.microsoft.com/office/drawing/2014/main" id="{45C1F2A6-3BF5-022A-96FF-01BA1E7D3FA9}"/>
                  </a:ext>
                </a:extLst>
              </xdr:cNvPr>
              <xdr:cNvGrpSpPr/>
            </xdr:nvGrpSpPr>
            <xdr:grpSpPr>
              <a:xfrm>
                <a:off x="2220780" y="6865289"/>
                <a:ext cx="561595" cy="834011"/>
                <a:chOff x="10052796" y="7645975"/>
                <a:chExt cx="562877" cy="843365"/>
              </a:xfrm>
            </xdr:grpSpPr>
            <xdr:sp macro="" textlink="AA25">
              <xdr:nvSpPr>
                <xdr:cNvPr id="2224" name="Vertical JK">
                  <a:extLst>
                    <a:ext uri="{FF2B5EF4-FFF2-40B4-BE49-F238E27FC236}">
                      <a16:creationId xmlns:a16="http://schemas.microsoft.com/office/drawing/2014/main" id="{6769217F-DE4A-8923-267E-D392F7318FA7}"/>
                    </a:ext>
                  </a:extLst>
                </xdr:cNvPr>
                <xdr:cNvSpPr txBox="1"/>
              </xdr:nvSpPr>
              <xdr:spPr>
                <a:xfrm>
                  <a:off x="10103089"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391A7E9-6574-4215-B080-47C603F508E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JK_Ver">
              <xdr:nvSpPr>
                <xdr:cNvPr id="2225" name="L_JK">
                  <a:extLst>
                    <a:ext uri="{FF2B5EF4-FFF2-40B4-BE49-F238E27FC236}">
                      <a16:creationId xmlns:a16="http://schemas.microsoft.com/office/drawing/2014/main" id="{8D888B5D-01EC-5718-9C29-5CE535490179}"/>
                    </a:ext>
                  </a:extLst>
                </xdr:cNvPr>
                <xdr:cNvSpPr txBox="1"/>
              </xdr:nvSpPr>
              <xdr:spPr>
                <a:xfrm rot="16200000">
                  <a:off x="977674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0B02512-AB92-40F9-A5C8-14807A2D2052}" type="TxLink">
                    <a:rPr lang="en-US" sz="900" b="0" i="0" u="none" strike="noStrike">
                      <a:solidFill>
                        <a:srgbClr val="000000"/>
                      </a:solidFill>
                      <a:latin typeface="Calibri"/>
                      <a:ea typeface="Calibri"/>
                      <a:cs typeface="Calibri"/>
                    </a:rPr>
                    <a:pPr algn="ctr"/>
                    <a:t> </a:t>
                  </a:fld>
                  <a:endParaRPr lang="es-ES" sz="1100"/>
                </a:p>
              </xdr:txBody>
            </xdr:sp>
            <xdr:sp macro="" textlink="Z25">
              <xdr:nvSpPr>
                <xdr:cNvPr id="2226" name="Flecha JK">
                  <a:extLst>
                    <a:ext uri="{FF2B5EF4-FFF2-40B4-BE49-F238E27FC236}">
                      <a16:creationId xmlns:a16="http://schemas.microsoft.com/office/drawing/2014/main" id="{309C67CA-3A1B-D2BD-1AE4-E1FC7797DBC1}"/>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D80F680-38DF-4822-9046-3685B5E3E5F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5">
              <xdr:nvSpPr>
                <xdr:cNvPr id="2227" name="Vertical JK">
                  <a:extLst>
                    <a:ext uri="{FF2B5EF4-FFF2-40B4-BE49-F238E27FC236}">
                      <a16:creationId xmlns:a16="http://schemas.microsoft.com/office/drawing/2014/main" id="{E8DF334F-00E7-E081-D233-E3B0C889D95A}"/>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4371130B-3E37-43ED-9CB5-7CD3DCE57912}"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6">
            <xdr:nvSpPr>
              <xdr:cNvPr id="2223" name="K">
                <a:extLst>
                  <a:ext uri="{FF2B5EF4-FFF2-40B4-BE49-F238E27FC236}">
                    <a16:creationId xmlns:a16="http://schemas.microsoft.com/office/drawing/2014/main" id="{8294D1AB-020A-FE3A-D417-F2FA523CA6E2}"/>
                  </a:ext>
                </a:extLst>
              </xdr:cNvPr>
              <xdr:cNvSpPr txBox="1"/>
            </xdr:nvSpPr>
            <xdr:spPr>
              <a:xfrm>
                <a:off x="2780293" y="7521779"/>
                <a:ext cx="80134" cy="155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13EE75C-04AD-4B0A-A602-A874C6218298}"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89" name="KL">
              <a:extLst>
                <a:ext uri="{FF2B5EF4-FFF2-40B4-BE49-F238E27FC236}">
                  <a16:creationId xmlns:a16="http://schemas.microsoft.com/office/drawing/2014/main" id="{0D876A7B-B848-9536-41B4-228D469E8BC7}"/>
                </a:ext>
              </a:extLst>
            </xdr:cNvPr>
            <xdr:cNvGrpSpPr/>
          </xdr:nvGrpSpPr>
          <xdr:grpSpPr>
            <a:xfrm>
              <a:off x="2812617" y="7061886"/>
              <a:ext cx="836290" cy="651783"/>
              <a:chOff x="2818664" y="7047775"/>
              <a:chExt cx="837299" cy="648759"/>
            </a:xfrm>
          </xdr:grpSpPr>
          <xdr:sp macro="" textlink="Y26">
            <xdr:nvSpPr>
              <xdr:cNvPr id="2215" name="Barra KL">
                <a:extLst>
                  <a:ext uri="{FF2B5EF4-FFF2-40B4-BE49-F238E27FC236}">
                    <a16:creationId xmlns:a16="http://schemas.microsoft.com/office/drawing/2014/main" id="{D9F2F7FA-968E-E70D-1A1B-74891EFC01B8}"/>
                  </a:ext>
                </a:extLst>
              </xdr:cNvPr>
              <xdr:cNvSpPr txBox="1"/>
            </xdr:nvSpPr>
            <xdr:spPr>
              <a:xfrm>
                <a:off x="2873758" y="7549606"/>
                <a:ext cx="708590" cy="146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A6A2AFC-7E27-430C-9C46-61DB280C7070}"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16" name="Cota">
                <a:extLst>
                  <a:ext uri="{FF2B5EF4-FFF2-40B4-BE49-F238E27FC236}">
                    <a16:creationId xmlns:a16="http://schemas.microsoft.com/office/drawing/2014/main" id="{9CA1832C-9302-4EB7-19B1-244A20261A7E}"/>
                  </a:ext>
                </a:extLst>
              </xdr:cNvPr>
              <xdr:cNvGrpSpPr/>
            </xdr:nvGrpSpPr>
            <xdr:grpSpPr>
              <a:xfrm rot="5400000">
                <a:off x="2956731" y="6909708"/>
                <a:ext cx="561165" cy="837299"/>
                <a:chOff x="10122615" y="7645983"/>
                <a:chExt cx="562857" cy="843357"/>
              </a:xfrm>
            </xdr:grpSpPr>
            <xdr:sp macro="" textlink="AA26">
              <xdr:nvSpPr>
                <xdr:cNvPr id="2217" name="Vertical KL">
                  <a:extLst>
                    <a:ext uri="{FF2B5EF4-FFF2-40B4-BE49-F238E27FC236}">
                      <a16:creationId xmlns:a16="http://schemas.microsoft.com/office/drawing/2014/main" id="{084D0E72-A620-F18C-7A16-F92519329C35}"/>
                    </a:ext>
                  </a:extLst>
                </xdr:cNvPr>
                <xdr:cNvSpPr txBox="1"/>
              </xdr:nvSpPr>
              <xdr:spPr>
                <a:xfrm>
                  <a:off x="10172888" y="7645983"/>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4ADBD9D-24FA-4FE0-9235-10962D0AC31F}"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KL_Ver">
              <xdr:nvSpPr>
                <xdr:cNvPr id="2218" name="L_KL">
                  <a:extLst>
                    <a:ext uri="{FF2B5EF4-FFF2-40B4-BE49-F238E27FC236}">
                      <a16:creationId xmlns:a16="http://schemas.microsoft.com/office/drawing/2014/main" id="{84238D8C-ADAB-A342-3E16-BB71CEB1671A}"/>
                    </a:ext>
                  </a:extLst>
                </xdr:cNvPr>
                <xdr:cNvSpPr txBox="1"/>
              </xdr:nvSpPr>
              <xdr:spPr>
                <a:xfrm rot="16200000">
                  <a:off x="9846568" y="8002800"/>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C0BC6DE-8593-46D9-8672-B75231D20A15}" type="TxLink">
                    <a:rPr lang="en-US" sz="900" b="0" i="0" u="none" strike="noStrike">
                      <a:solidFill>
                        <a:srgbClr val="000000"/>
                      </a:solidFill>
                      <a:latin typeface="Calibri"/>
                      <a:ea typeface="Calibri"/>
                      <a:cs typeface="Calibri"/>
                    </a:rPr>
                    <a:pPr algn="ctr"/>
                    <a:t> </a:t>
                  </a:fld>
                  <a:endParaRPr lang="es-ES" sz="1100"/>
                </a:p>
              </xdr:txBody>
            </xdr:sp>
            <xdr:sp macro="" textlink="Z26">
              <xdr:nvSpPr>
                <xdr:cNvPr id="2219" name="Flecha KL">
                  <a:extLst>
                    <a:ext uri="{FF2B5EF4-FFF2-40B4-BE49-F238E27FC236}">
                      <a16:creationId xmlns:a16="http://schemas.microsoft.com/office/drawing/2014/main" id="{3A5F900F-A4DC-1B1D-2BD4-3647C857FAC4}"/>
                    </a:ext>
                  </a:extLst>
                </xdr:cNvPr>
                <xdr:cNvSpPr txBox="1"/>
              </xdr:nvSpPr>
              <xdr:spPr>
                <a:xfrm rot="16200000">
                  <a:off x="9906251" y="8002411"/>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8E76BBD-9B64-4807-9391-3C9AF619BEF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6">
              <xdr:nvSpPr>
                <xdr:cNvPr id="2220" name="Vertical KL">
                  <a:extLst>
                    <a:ext uri="{FF2B5EF4-FFF2-40B4-BE49-F238E27FC236}">
                      <a16:creationId xmlns:a16="http://schemas.microsoft.com/office/drawing/2014/main" id="{2311CA3C-8EF8-EA99-EA78-448CD374AF21}"/>
                    </a:ext>
                  </a:extLst>
                </xdr:cNvPr>
                <xdr:cNvSpPr txBox="1"/>
              </xdr:nvSpPr>
              <xdr:spPr>
                <a:xfrm>
                  <a:off x="1016932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8E2B627A-C2A1-45E7-B410-1842A204460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grpSp>
        <xdr:grpSp>
          <xdr:nvGrpSpPr>
            <xdr:cNvPr id="2190" name="LM">
              <a:extLst>
                <a:ext uri="{FF2B5EF4-FFF2-40B4-BE49-F238E27FC236}">
                  <a16:creationId xmlns:a16="http://schemas.microsoft.com/office/drawing/2014/main" id="{13804F0E-73D1-C314-4283-9391B8EC3685}"/>
                </a:ext>
              </a:extLst>
            </xdr:cNvPr>
            <xdr:cNvGrpSpPr/>
          </xdr:nvGrpSpPr>
          <xdr:grpSpPr>
            <a:xfrm>
              <a:off x="3489580" y="7061813"/>
              <a:ext cx="853805" cy="653165"/>
              <a:chOff x="3496636" y="7047702"/>
              <a:chExt cx="854812" cy="650141"/>
            </a:xfrm>
          </xdr:grpSpPr>
          <xdr:sp macro="" textlink="Y27">
            <xdr:nvSpPr>
              <xdr:cNvPr id="2208" name="Barra LM">
                <a:extLst>
                  <a:ext uri="{FF2B5EF4-FFF2-40B4-BE49-F238E27FC236}">
                    <a16:creationId xmlns:a16="http://schemas.microsoft.com/office/drawing/2014/main" id="{63800E07-6510-CEDC-05FD-23215594503A}"/>
                  </a:ext>
                </a:extLst>
              </xdr:cNvPr>
              <xdr:cNvSpPr txBox="1"/>
            </xdr:nvSpPr>
            <xdr:spPr>
              <a:xfrm>
                <a:off x="3570253" y="7550804"/>
                <a:ext cx="707687" cy="147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82BD075-4FB9-4E84-8A14-81E26110C192}"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09" name="Cota">
                <a:extLst>
                  <a:ext uri="{FF2B5EF4-FFF2-40B4-BE49-F238E27FC236}">
                    <a16:creationId xmlns:a16="http://schemas.microsoft.com/office/drawing/2014/main" id="{D1E2378D-4423-1B86-E690-02D2E92792AF}"/>
                  </a:ext>
                </a:extLst>
              </xdr:cNvPr>
              <xdr:cNvGrpSpPr/>
            </xdr:nvGrpSpPr>
            <xdr:grpSpPr>
              <a:xfrm rot="5400000">
                <a:off x="3677285" y="6885644"/>
                <a:ext cx="512105" cy="836221"/>
                <a:chOff x="10121721" y="7645996"/>
                <a:chExt cx="513259" cy="843346"/>
              </a:xfrm>
            </xdr:grpSpPr>
            <xdr:sp macro="" textlink="AA27">
              <xdr:nvSpPr>
                <xdr:cNvPr id="2211" name="Vertical LM">
                  <a:extLst>
                    <a:ext uri="{FF2B5EF4-FFF2-40B4-BE49-F238E27FC236}">
                      <a16:creationId xmlns:a16="http://schemas.microsoft.com/office/drawing/2014/main" id="{CD856302-3090-A993-AD94-A87189BD9F64}"/>
                    </a:ext>
                  </a:extLst>
                </xdr:cNvPr>
                <xdr:cNvSpPr txBox="1"/>
              </xdr:nvSpPr>
              <xdr:spPr>
                <a:xfrm>
                  <a:off x="10122396" y="7645996"/>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B8A0585-6AFE-4BF2-9015-C29FA19254E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LM_Ver">
              <xdr:nvSpPr>
                <xdr:cNvPr id="2212" name="L_LM">
                  <a:extLst>
                    <a:ext uri="{FF2B5EF4-FFF2-40B4-BE49-F238E27FC236}">
                      <a16:creationId xmlns:a16="http://schemas.microsoft.com/office/drawing/2014/main" id="{703531DA-9065-7530-E1A6-BE7F84E23B60}"/>
                    </a:ext>
                  </a:extLst>
                </xdr:cNvPr>
                <xdr:cNvSpPr txBox="1"/>
              </xdr:nvSpPr>
              <xdr:spPr>
                <a:xfrm rot="16200000">
                  <a:off x="9845674" y="8002808"/>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181E652-10F8-449A-91D3-29C1E1E739B3}" type="TxLink">
                    <a:rPr lang="en-US" sz="900" b="0" i="0" u="none" strike="noStrike">
                      <a:solidFill>
                        <a:srgbClr val="000000"/>
                      </a:solidFill>
                      <a:latin typeface="Calibri"/>
                      <a:ea typeface="Calibri"/>
                      <a:cs typeface="Calibri"/>
                    </a:rPr>
                    <a:pPr algn="ctr"/>
                    <a:t> </a:t>
                  </a:fld>
                  <a:endParaRPr lang="es-ES" sz="1100"/>
                </a:p>
              </xdr:txBody>
            </xdr:sp>
            <xdr:sp macro="" textlink="Z27">
              <xdr:nvSpPr>
                <xdr:cNvPr id="2213" name="Flecha LM">
                  <a:extLst>
                    <a:ext uri="{FF2B5EF4-FFF2-40B4-BE49-F238E27FC236}">
                      <a16:creationId xmlns:a16="http://schemas.microsoft.com/office/drawing/2014/main" id="{227F1D06-E6A6-5181-16BE-724252BF3237}"/>
                    </a:ext>
                  </a:extLst>
                </xdr:cNvPr>
                <xdr:cNvSpPr txBox="1"/>
              </xdr:nvSpPr>
              <xdr:spPr>
                <a:xfrm rot="16200000">
                  <a:off x="9905358" y="8002421"/>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33BF6DB-C7CC-44F2-93CE-F5CDAD7D2458}"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7">
              <xdr:nvSpPr>
                <xdr:cNvPr id="2214" name="Vertical LM">
                  <a:extLst>
                    <a:ext uri="{FF2B5EF4-FFF2-40B4-BE49-F238E27FC236}">
                      <a16:creationId xmlns:a16="http://schemas.microsoft.com/office/drawing/2014/main" id="{2187EB8E-49E8-B6A3-A947-DEA7A860CC28}"/>
                    </a:ext>
                  </a:extLst>
                </xdr:cNvPr>
                <xdr:cNvSpPr txBox="1"/>
              </xdr:nvSpPr>
              <xdr:spPr>
                <a:xfrm>
                  <a:off x="10123802" y="8337377"/>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F27DDA4-EF61-43A6-BF2C-C677AF1A57E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7">
            <xdr:nvSpPr>
              <xdr:cNvPr id="2210" name="L">
                <a:extLst>
                  <a:ext uri="{FF2B5EF4-FFF2-40B4-BE49-F238E27FC236}">
                    <a16:creationId xmlns:a16="http://schemas.microsoft.com/office/drawing/2014/main" id="{0FEE84E0-7B97-3A8B-2B39-31B65E9A5FC6}"/>
                  </a:ext>
                </a:extLst>
              </xdr:cNvPr>
              <xdr:cNvSpPr txBox="1"/>
            </xdr:nvSpPr>
            <xdr:spPr>
              <a:xfrm>
                <a:off x="3496636" y="7487480"/>
                <a:ext cx="80463" cy="155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7EB152C-8523-4B0A-9993-CC4FF908E382}"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91" name="MN">
              <a:extLst>
                <a:ext uri="{FF2B5EF4-FFF2-40B4-BE49-F238E27FC236}">
                  <a16:creationId xmlns:a16="http://schemas.microsoft.com/office/drawing/2014/main" id="{8E51B559-36EF-0292-5CE8-536042A49855}"/>
                </a:ext>
              </a:extLst>
            </xdr:cNvPr>
            <xdr:cNvGrpSpPr/>
          </xdr:nvGrpSpPr>
          <xdr:grpSpPr>
            <a:xfrm>
              <a:off x="4194970" y="7034301"/>
              <a:ext cx="841046" cy="680461"/>
              <a:chOff x="4194970" y="7059501"/>
              <a:chExt cx="841046" cy="680461"/>
            </a:xfrm>
          </xdr:grpSpPr>
          <xdr:sp macro="" textlink="Y28">
            <xdr:nvSpPr>
              <xdr:cNvPr id="2200" name="Barra MN">
                <a:extLst>
                  <a:ext uri="{FF2B5EF4-FFF2-40B4-BE49-F238E27FC236}">
                    <a16:creationId xmlns:a16="http://schemas.microsoft.com/office/drawing/2014/main" id="{0570A868-2295-63BB-761A-2A1B8AA0D91A}"/>
                  </a:ext>
                </a:extLst>
              </xdr:cNvPr>
              <xdr:cNvSpPr txBox="1"/>
            </xdr:nvSpPr>
            <xdr:spPr>
              <a:xfrm>
                <a:off x="4257925" y="7592116"/>
                <a:ext cx="704831" cy="147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0A295C7-8CF2-4018-954C-DC4378183846}"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201" name="Cota">
                <a:extLst>
                  <a:ext uri="{FF2B5EF4-FFF2-40B4-BE49-F238E27FC236}">
                    <a16:creationId xmlns:a16="http://schemas.microsoft.com/office/drawing/2014/main" id="{2E8477D5-D52E-6C2E-28B2-C3CB5CB7814C}"/>
                  </a:ext>
                </a:extLst>
              </xdr:cNvPr>
              <xdr:cNvGrpSpPr/>
            </xdr:nvGrpSpPr>
            <xdr:grpSpPr>
              <a:xfrm rot="5400000">
                <a:off x="4353596" y="6909038"/>
                <a:ext cx="531958" cy="832883"/>
                <a:chOff x="10118937" y="7645967"/>
                <a:chExt cx="530258" cy="843384"/>
              </a:xfrm>
            </xdr:grpSpPr>
            <xdr:sp macro="" textlink="AA28">
              <xdr:nvSpPr>
                <xdr:cNvPr id="2204" name="Vertical MN">
                  <a:extLst>
                    <a:ext uri="{FF2B5EF4-FFF2-40B4-BE49-F238E27FC236}">
                      <a16:creationId xmlns:a16="http://schemas.microsoft.com/office/drawing/2014/main" id="{5CB48498-BD65-93BF-FC36-808DA823CA58}"/>
                    </a:ext>
                  </a:extLst>
                </xdr:cNvPr>
                <xdr:cNvSpPr txBox="1"/>
              </xdr:nvSpPr>
              <xdr:spPr>
                <a:xfrm>
                  <a:off x="10136611" y="7645967"/>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3ACD596-092C-4F13-9C89-728A616D0502}"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MN_Ver">
              <xdr:nvSpPr>
                <xdr:cNvPr id="2205" name="L_MN">
                  <a:extLst>
                    <a:ext uri="{FF2B5EF4-FFF2-40B4-BE49-F238E27FC236}">
                      <a16:creationId xmlns:a16="http://schemas.microsoft.com/office/drawing/2014/main" id="{74239E12-064F-AEA6-633C-0EB589D70DE7}"/>
                    </a:ext>
                  </a:extLst>
                </xdr:cNvPr>
                <xdr:cNvSpPr txBox="1"/>
              </xdr:nvSpPr>
              <xdr:spPr>
                <a:xfrm rot="16200000">
                  <a:off x="9842890" y="8002811"/>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BFD9715-D08A-45C1-BB76-52C344DF0FC9}" type="TxLink">
                    <a:rPr lang="en-US" sz="900" b="0" i="0" u="none" strike="noStrike">
                      <a:solidFill>
                        <a:srgbClr val="000000"/>
                      </a:solidFill>
                      <a:latin typeface="Calibri"/>
                      <a:ea typeface="Calibri"/>
                      <a:cs typeface="Calibri"/>
                    </a:rPr>
                    <a:pPr algn="ctr"/>
                    <a:t> </a:t>
                  </a:fld>
                  <a:endParaRPr lang="es-ES" sz="1100"/>
                </a:p>
              </xdr:txBody>
            </xdr:sp>
            <xdr:sp macro="" textlink="Z28">
              <xdr:nvSpPr>
                <xdr:cNvPr id="2206" name="Flecha MN">
                  <a:extLst>
                    <a:ext uri="{FF2B5EF4-FFF2-40B4-BE49-F238E27FC236}">
                      <a16:creationId xmlns:a16="http://schemas.microsoft.com/office/drawing/2014/main" id="{1D1008ED-573E-EBFD-D3B2-9AD31017829B}"/>
                    </a:ext>
                  </a:extLst>
                </xdr:cNvPr>
                <xdr:cNvSpPr txBox="1"/>
              </xdr:nvSpPr>
              <xdr:spPr>
                <a:xfrm rot="16200000">
                  <a:off x="9929478"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DF8E5013-32A0-465B-9F0F-A25C194597B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8">
              <xdr:nvSpPr>
                <xdr:cNvPr id="2207" name="Vertical MN">
                  <a:extLst>
                    <a:ext uri="{FF2B5EF4-FFF2-40B4-BE49-F238E27FC236}">
                      <a16:creationId xmlns:a16="http://schemas.microsoft.com/office/drawing/2014/main" id="{4CD7B23D-B1AF-AE8E-2124-BA85DA81A8A3}"/>
                    </a:ext>
                  </a:extLst>
                </xdr:cNvPr>
                <xdr:cNvSpPr txBox="1"/>
              </xdr:nvSpPr>
              <xdr:spPr>
                <a:xfrm>
                  <a:off x="10138099" y="8337386"/>
                  <a:ext cx="507970"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F42D038-2305-4F4E-9BB5-2C096E9C0DF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9">
            <xdr:nvSpPr>
              <xdr:cNvPr id="2202" name="N">
                <a:extLst>
                  <a:ext uri="{FF2B5EF4-FFF2-40B4-BE49-F238E27FC236}">
                    <a16:creationId xmlns:a16="http://schemas.microsoft.com/office/drawing/2014/main" id="{8CE94D96-11F0-0277-CDC5-F47644C0B10A}"/>
                  </a:ext>
                </a:extLst>
              </xdr:cNvPr>
              <xdr:cNvSpPr txBox="1"/>
            </xdr:nvSpPr>
            <xdr:spPr>
              <a:xfrm>
                <a:off x="4864457" y="7444586"/>
                <a:ext cx="80138" cy="156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5FB8E99-A737-4F33-880F-F628AF56C5F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V28">
            <xdr:nvSpPr>
              <xdr:cNvPr id="2203" name="M">
                <a:extLst>
                  <a:ext uri="{FF2B5EF4-FFF2-40B4-BE49-F238E27FC236}">
                    <a16:creationId xmlns:a16="http://schemas.microsoft.com/office/drawing/2014/main" id="{E4943D9D-C6B9-0566-B86C-95BE3D66E7C8}"/>
                  </a:ext>
                </a:extLst>
              </xdr:cNvPr>
              <xdr:cNvSpPr txBox="1"/>
            </xdr:nvSpPr>
            <xdr:spPr>
              <a:xfrm>
                <a:off x="4194970" y="7504611"/>
                <a:ext cx="145141" cy="156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820B20D-74B0-4385-8DBD-438381F77308}"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192" name="MO">
              <a:extLst>
                <a:ext uri="{FF2B5EF4-FFF2-40B4-BE49-F238E27FC236}">
                  <a16:creationId xmlns:a16="http://schemas.microsoft.com/office/drawing/2014/main" id="{C769695F-415F-C045-CEAF-4FB487D2C135}"/>
                </a:ext>
              </a:extLst>
            </xdr:cNvPr>
            <xdr:cNvGrpSpPr/>
          </xdr:nvGrpSpPr>
          <xdr:grpSpPr>
            <a:xfrm>
              <a:off x="3597704" y="7592585"/>
              <a:ext cx="779962" cy="833421"/>
              <a:chOff x="3604760" y="7571305"/>
              <a:chExt cx="780969" cy="837699"/>
            </a:xfrm>
          </xdr:grpSpPr>
          <xdr:sp macro="" textlink="Y29">
            <xdr:nvSpPr>
              <xdr:cNvPr id="2193" name="Barra MO">
                <a:extLst>
                  <a:ext uri="{FF2B5EF4-FFF2-40B4-BE49-F238E27FC236}">
                    <a16:creationId xmlns:a16="http://schemas.microsoft.com/office/drawing/2014/main" id="{DB556A7A-6074-7BB0-BBA0-B9AAD16FE5B5}"/>
                  </a:ext>
                </a:extLst>
              </xdr:cNvPr>
              <xdr:cNvSpPr txBox="1"/>
            </xdr:nvSpPr>
            <xdr:spPr>
              <a:xfrm rot="16200000">
                <a:off x="3899296" y="7928389"/>
                <a:ext cx="704322" cy="147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B853C56-9556-412A-BAED-7E7C41629B53}"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194" name="Cota">
                <a:extLst>
                  <a:ext uri="{FF2B5EF4-FFF2-40B4-BE49-F238E27FC236}">
                    <a16:creationId xmlns:a16="http://schemas.microsoft.com/office/drawing/2014/main" id="{93171DA3-E845-E1F6-E05F-2E5CD9AD2FD3}"/>
                  </a:ext>
                </a:extLst>
              </xdr:cNvPr>
              <xdr:cNvGrpSpPr/>
            </xdr:nvGrpSpPr>
            <xdr:grpSpPr>
              <a:xfrm>
                <a:off x="3604760" y="7571305"/>
                <a:ext cx="562739" cy="837699"/>
                <a:chOff x="10052796" y="7640470"/>
                <a:chExt cx="562877" cy="848870"/>
              </a:xfrm>
            </xdr:grpSpPr>
            <xdr:sp macro="" textlink="AA29">
              <xdr:nvSpPr>
                <xdr:cNvPr id="2196" name="Vertical MO">
                  <a:extLst>
                    <a:ext uri="{FF2B5EF4-FFF2-40B4-BE49-F238E27FC236}">
                      <a16:creationId xmlns:a16="http://schemas.microsoft.com/office/drawing/2014/main" id="{1DEE938A-06FA-C35E-7CD3-B72DC6811086}"/>
                    </a:ext>
                  </a:extLst>
                </xdr:cNvPr>
                <xdr:cNvSpPr txBox="1"/>
              </xdr:nvSpPr>
              <xdr:spPr>
                <a:xfrm>
                  <a:off x="10103089" y="7640470"/>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B74B228-274A-4A3C-B4A9-9244F56A705D}"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MO_Ver">
              <xdr:nvSpPr>
                <xdr:cNvPr id="2197" name="L_MO">
                  <a:extLst>
                    <a:ext uri="{FF2B5EF4-FFF2-40B4-BE49-F238E27FC236}">
                      <a16:creationId xmlns:a16="http://schemas.microsoft.com/office/drawing/2014/main" id="{2D400FA1-9D2E-6A7D-A8F5-A66A1FDF567C}"/>
                    </a:ext>
                  </a:extLst>
                </xdr:cNvPr>
                <xdr:cNvSpPr txBox="1"/>
              </xdr:nvSpPr>
              <xdr:spPr>
                <a:xfrm rot="16200000">
                  <a:off x="977674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D2E7577-1B7C-44A1-BED3-B9047C382AC5}" type="TxLink">
                    <a:rPr lang="en-US" sz="900" b="0" i="0" u="none" strike="noStrike">
                      <a:solidFill>
                        <a:srgbClr val="000000"/>
                      </a:solidFill>
                      <a:latin typeface="Calibri"/>
                      <a:ea typeface="Calibri"/>
                      <a:cs typeface="Calibri"/>
                    </a:rPr>
                    <a:pPr algn="ctr"/>
                    <a:t> </a:t>
                  </a:fld>
                  <a:endParaRPr lang="es-ES" sz="1100"/>
                </a:p>
              </xdr:txBody>
            </xdr:sp>
            <xdr:sp macro="" textlink="Z29">
              <xdr:nvSpPr>
                <xdr:cNvPr id="2198" name="Flecha MO">
                  <a:extLst>
                    <a:ext uri="{FF2B5EF4-FFF2-40B4-BE49-F238E27FC236}">
                      <a16:creationId xmlns:a16="http://schemas.microsoft.com/office/drawing/2014/main" id="{E821D1C6-5E4B-7DDB-4743-0284E1360F9B}"/>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1CDAEFB-F46D-474C-8723-2CF577344AD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9">
              <xdr:nvSpPr>
                <xdr:cNvPr id="2199" name="Vertical MO">
                  <a:extLst>
                    <a:ext uri="{FF2B5EF4-FFF2-40B4-BE49-F238E27FC236}">
                      <a16:creationId xmlns:a16="http://schemas.microsoft.com/office/drawing/2014/main" id="{5C73C9C9-017B-1224-2C3A-292ACA89FD57}"/>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54D7FED-F74D-415D-9103-98AE6AAF40D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30">
            <xdr:nvSpPr>
              <xdr:cNvPr id="2195" name="O">
                <a:extLst>
                  <a:ext uri="{FF2B5EF4-FFF2-40B4-BE49-F238E27FC236}">
                    <a16:creationId xmlns:a16="http://schemas.microsoft.com/office/drawing/2014/main" id="{35AC26FD-BC2E-4913-EE5A-95EA59618D7D}"/>
                  </a:ext>
                </a:extLst>
              </xdr:cNvPr>
              <xdr:cNvSpPr txBox="1"/>
            </xdr:nvSpPr>
            <xdr:spPr>
              <a:xfrm>
                <a:off x="4305431" y="8205581"/>
                <a:ext cx="80298" cy="155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5582D53E-502E-461B-B639-ED32968C86CF}"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grpSp>
        <xdr:nvGrpSpPr>
          <xdr:cNvPr id="2021" name="CARGAS">
            <a:extLst>
              <a:ext uri="{FF2B5EF4-FFF2-40B4-BE49-F238E27FC236}">
                <a16:creationId xmlns:a16="http://schemas.microsoft.com/office/drawing/2014/main" id="{6435CBF9-F5B4-BA00-D078-6A3640336126}"/>
              </a:ext>
            </a:extLst>
          </xdr:cNvPr>
          <xdr:cNvGrpSpPr/>
        </xdr:nvGrpSpPr>
        <xdr:grpSpPr>
          <a:xfrm>
            <a:off x="185821" y="5827263"/>
            <a:ext cx="5565371" cy="2958865"/>
            <a:chOff x="185672" y="5818867"/>
            <a:chExt cx="5556069" cy="2984420"/>
          </a:xfrm>
        </xdr:grpSpPr>
        <xdr:grpSp>
          <xdr:nvGrpSpPr>
            <xdr:cNvPr id="2037" name="Cargas AB">
              <a:extLst>
                <a:ext uri="{FF2B5EF4-FFF2-40B4-BE49-F238E27FC236}">
                  <a16:creationId xmlns:a16="http://schemas.microsoft.com/office/drawing/2014/main" id="{C0B4634C-3F21-E0DF-FB0D-5AF808299C0B}"/>
                </a:ext>
              </a:extLst>
            </xdr:cNvPr>
            <xdr:cNvGrpSpPr/>
          </xdr:nvGrpSpPr>
          <xdr:grpSpPr>
            <a:xfrm>
              <a:off x="403328" y="7683934"/>
              <a:ext cx="1118227" cy="1119353"/>
              <a:chOff x="8539988" y="7797030"/>
              <a:chExt cx="1118433" cy="1123906"/>
            </a:xfrm>
          </xdr:grpSpPr>
          <xdr:sp macro="" textlink="$AS$15">
            <xdr:nvSpPr>
              <xdr:cNvPr id="2170" name="qAB">
                <a:extLst>
                  <a:ext uri="{FF2B5EF4-FFF2-40B4-BE49-F238E27FC236}">
                    <a16:creationId xmlns:a16="http://schemas.microsoft.com/office/drawing/2014/main" id="{04A52467-0790-FA83-BE81-BD3043A0F8F4}"/>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5E22B19-10E7-4023-BD22-CE56BAFD186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AB_Ver">
            <xdr:nvSpPr>
              <xdr:cNvPr id="2171" name="q_AB">
                <a:extLst>
                  <a:ext uri="{FF2B5EF4-FFF2-40B4-BE49-F238E27FC236}">
                    <a16:creationId xmlns:a16="http://schemas.microsoft.com/office/drawing/2014/main" id="{D08BFC80-2515-3BBC-2E72-E304B367AFB4}"/>
                  </a:ext>
                </a:extLst>
              </xdr:cNvPr>
              <xdr:cNvSpPr txBox="1"/>
            </xdr:nvSpPr>
            <xdr:spPr>
              <a:xfrm rot="16200000">
                <a:off x="8480221"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94139EF-4C73-40D4-8E50-FE833F946BA3}"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5">
            <xdr:nvSpPr>
              <xdr:cNvPr id="2172" name="MzA">
                <a:extLst>
                  <a:ext uri="{FF2B5EF4-FFF2-40B4-BE49-F238E27FC236}">
                    <a16:creationId xmlns:a16="http://schemas.microsoft.com/office/drawing/2014/main" id="{B1CA76A8-7128-7E4F-176E-C8BFCAB95578}"/>
                  </a:ext>
                </a:extLst>
              </xdr:cNvPr>
              <xdr:cNvSpPr txBox="1"/>
            </xdr:nvSpPr>
            <xdr:spPr>
              <a:xfrm>
                <a:off x="9005676" y="8403692"/>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4A85214-C6E2-42F1-8149-EE3C3DAC0A16}"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A_Ver">
            <xdr:nvSpPr>
              <xdr:cNvPr id="2173" name="Mz_A">
                <a:extLst>
                  <a:ext uri="{FF2B5EF4-FFF2-40B4-BE49-F238E27FC236}">
                    <a16:creationId xmlns:a16="http://schemas.microsoft.com/office/drawing/2014/main" id="{28266338-B594-2632-0FF4-03B8D379A05D}"/>
                  </a:ext>
                </a:extLst>
              </xdr:cNvPr>
              <xdr:cNvSpPr txBox="1"/>
            </xdr:nvSpPr>
            <xdr:spPr>
              <a:xfrm>
                <a:off x="9119687" y="8398268"/>
                <a:ext cx="538734"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8A3097B-9DFD-486F-BE83-12D6BEB332B2}"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5">
            <xdr:nvSpPr>
              <xdr:cNvPr id="2174" name="FhA">
                <a:extLst>
                  <a:ext uri="{FF2B5EF4-FFF2-40B4-BE49-F238E27FC236}">
                    <a16:creationId xmlns:a16="http://schemas.microsoft.com/office/drawing/2014/main" id="{59122CBE-DF35-FCDA-358B-369A6FCC40B3}"/>
                  </a:ext>
                </a:extLst>
              </xdr:cNvPr>
              <xdr:cNvSpPr txBox="1"/>
            </xdr:nvSpPr>
            <xdr:spPr>
              <a:xfrm>
                <a:off x="8621560"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DA37113-2B0B-416D-B413-F6505AD8CA1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A_Ver">
            <xdr:nvSpPr>
              <xdr:cNvPr id="2175" name="Fh_A">
                <a:extLst>
                  <a:ext uri="{FF2B5EF4-FFF2-40B4-BE49-F238E27FC236}">
                    <a16:creationId xmlns:a16="http://schemas.microsoft.com/office/drawing/2014/main" id="{2966CDF1-3698-FC73-A5A3-DA1D1B1F4B23}"/>
                  </a:ext>
                </a:extLst>
              </xdr:cNvPr>
              <xdr:cNvSpPr txBox="1"/>
            </xdr:nvSpPr>
            <xdr:spPr>
              <a:xfrm rot="16200000">
                <a:off x="8326010" y="8419262"/>
                <a:ext cx="552974" cy="125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A8FCB55-EF74-4C98-818F-A7C5231FC9E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5">
            <xdr:nvSpPr>
              <xdr:cNvPr id="2176" name="FvA">
                <a:extLst>
                  <a:ext uri="{FF2B5EF4-FFF2-40B4-BE49-F238E27FC236}">
                    <a16:creationId xmlns:a16="http://schemas.microsoft.com/office/drawing/2014/main" id="{0F527670-EDA6-E6D3-31DD-48B3607E3A3B}"/>
                  </a:ext>
                </a:extLst>
              </xdr:cNvPr>
              <xdr:cNvSpPr txBox="1"/>
            </xdr:nvSpPr>
            <xdr:spPr>
              <a:xfrm>
                <a:off x="8822096" y="8774163"/>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BF9160B-F983-4D02-B44F-993DD024E55E}"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A_Ver">
            <xdr:nvSpPr>
              <xdr:cNvPr id="2177" name="Fv_A">
                <a:extLst>
                  <a:ext uri="{FF2B5EF4-FFF2-40B4-BE49-F238E27FC236}">
                    <a16:creationId xmlns:a16="http://schemas.microsoft.com/office/drawing/2014/main" id="{5C8E0339-7B73-4BC7-5C66-0FA92E76D393}"/>
                  </a:ext>
                </a:extLst>
              </xdr:cNvPr>
              <xdr:cNvSpPr txBox="1"/>
            </xdr:nvSpPr>
            <xdr:spPr>
              <a:xfrm>
                <a:off x="8997989" y="8794448"/>
                <a:ext cx="32930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410D9EC8-00E2-451D-8EC0-F3B84AA0332F}"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2038" name="Cargas BC">
              <a:extLst>
                <a:ext uri="{FF2B5EF4-FFF2-40B4-BE49-F238E27FC236}">
                  <a16:creationId xmlns:a16="http://schemas.microsoft.com/office/drawing/2014/main" id="{624EFADD-6F22-01F4-DA27-5399E97769B9}"/>
                </a:ext>
              </a:extLst>
            </xdr:cNvPr>
            <xdr:cNvGrpSpPr/>
          </xdr:nvGrpSpPr>
          <xdr:grpSpPr>
            <a:xfrm>
              <a:off x="396998" y="6971923"/>
              <a:ext cx="1086619" cy="964354"/>
              <a:chOff x="8551192" y="7796998"/>
              <a:chExt cx="1084443" cy="965605"/>
            </a:xfrm>
          </xdr:grpSpPr>
          <xdr:sp macro="" textlink="$AS$16">
            <xdr:nvSpPr>
              <xdr:cNvPr id="2162" name="qBC">
                <a:extLst>
                  <a:ext uri="{FF2B5EF4-FFF2-40B4-BE49-F238E27FC236}">
                    <a16:creationId xmlns:a16="http://schemas.microsoft.com/office/drawing/2014/main" id="{7594E770-445A-48F5-41A7-E293468005FB}"/>
                  </a:ext>
                </a:extLst>
              </xdr:cNvPr>
              <xdr:cNvSpPr txBox="1"/>
            </xdr:nvSpPr>
            <xdr:spPr>
              <a:xfrm rot="16200000">
                <a:off x="8560554" y="8056795"/>
                <a:ext cx="660476"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8D65225-4C11-4165-B86F-0D51AE244C92}"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BC_Ver">
            <xdr:nvSpPr>
              <xdr:cNvPr id="2163" name="q_BC">
                <a:extLst>
                  <a:ext uri="{FF2B5EF4-FFF2-40B4-BE49-F238E27FC236}">
                    <a16:creationId xmlns:a16="http://schemas.microsoft.com/office/drawing/2014/main" id="{7D2C0A57-19A0-D60D-1DF2-EED54BA73706}"/>
                  </a:ext>
                </a:extLst>
              </xdr:cNvPr>
              <xdr:cNvSpPr txBox="1"/>
            </xdr:nvSpPr>
            <xdr:spPr>
              <a:xfrm rot="16200000">
                <a:off x="8480214" y="8031760"/>
                <a:ext cx="610974"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BA4C9A5-EBC5-4818-93E2-570492E273F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6">
            <xdr:nvSpPr>
              <xdr:cNvPr id="2164" name="MzB">
                <a:extLst>
                  <a:ext uri="{FF2B5EF4-FFF2-40B4-BE49-F238E27FC236}">
                    <a16:creationId xmlns:a16="http://schemas.microsoft.com/office/drawing/2014/main" id="{28D619F6-5B82-4D8C-F271-B1B3A2533251}"/>
                  </a:ext>
                </a:extLst>
              </xdr:cNvPr>
              <xdr:cNvSpPr txBox="1"/>
            </xdr:nvSpPr>
            <xdr:spPr>
              <a:xfrm>
                <a:off x="9005668" y="8381356"/>
                <a:ext cx="88601" cy="141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2E4A539-DFCC-471D-AB40-38BF2E73BAA1}"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B_Ver">
            <xdr:nvSpPr>
              <xdr:cNvPr id="2165" name="Mz_B">
                <a:extLst>
                  <a:ext uri="{FF2B5EF4-FFF2-40B4-BE49-F238E27FC236}">
                    <a16:creationId xmlns:a16="http://schemas.microsoft.com/office/drawing/2014/main" id="{94079919-FEBC-71F1-2F02-C0BD07C1BF4A}"/>
                  </a:ext>
                </a:extLst>
              </xdr:cNvPr>
              <xdr:cNvSpPr txBox="1"/>
            </xdr:nvSpPr>
            <xdr:spPr>
              <a:xfrm>
                <a:off x="9112292" y="8377786"/>
                <a:ext cx="523343" cy="142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021AE18-2FF2-4B5E-9649-A33F56B7117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6">
            <xdr:nvSpPr>
              <xdr:cNvPr id="2166" name="FhB">
                <a:extLst>
                  <a:ext uri="{FF2B5EF4-FFF2-40B4-BE49-F238E27FC236}">
                    <a16:creationId xmlns:a16="http://schemas.microsoft.com/office/drawing/2014/main" id="{CA4D90B3-4359-6B95-A693-0B411729567B}"/>
                  </a:ext>
                </a:extLst>
              </xdr:cNvPr>
              <xdr:cNvSpPr txBox="1"/>
            </xdr:nvSpPr>
            <xdr:spPr>
              <a:xfrm>
                <a:off x="8621541" y="8405082"/>
                <a:ext cx="198257" cy="141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03C29B-9486-42B9-A7C6-0D7D47FF760F}"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B_Ver">
            <xdr:nvSpPr>
              <xdr:cNvPr id="2167" name="Fh_B">
                <a:extLst>
                  <a:ext uri="{FF2B5EF4-FFF2-40B4-BE49-F238E27FC236}">
                    <a16:creationId xmlns:a16="http://schemas.microsoft.com/office/drawing/2014/main" id="{556169E6-6472-C804-5C29-CE01B0FF3976}"/>
                  </a:ext>
                </a:extLst>
              </xdr:cNvPr>
              <xdr:cNvSpPr txBox="1"/>
            </xdr:nvSpPr>
            <xdr:spPr>
              <a:xfrm rot="16200000">
                <a:off x="8337053" y="8423507"/>
                <a:ext cx="553235"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FA1D1BC-BCE1-47D2-AADB-D8FE02DF61F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6">
            <xdr:nvSpPr>
              <xdr:cNvPr id="2168" name="FvB">
                <a:extLst>
                  <a:ext uri="{FF2B5EF4-FFF2-40B4-BE49-F238E27FC236}">
                    <a16:creationId xmlns:a16="http://schemas.microsoft.com/office/drawing/2014/main" id="{DDBA815F-EC78-B5FE-B329-A1E666D4C4BF}"/>
                  </a:ext>
                </a:extLst>
              </xdr:cNvPr>
              <xdr:cNvSpPr txBox="1"/>
            </xdr:nvSpPr>
            <xdr:spPr>
              <a:xfrm>
                <a:off x="8930990" y="8483231"/>
                <a:ext cx="251992" cy="141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11BF8CF-64F1-471B-A7DD-8E55ED0FDEF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B_Ver">
            <xdr:nvSpPr>
              <xdr:cNvPr id="2169" name="Fv_B">
                <a:extLst>
                  <a:ext uri="{FF2B5EF4-FFF2-40B4-BE49-F238E27FC236}">
                    <a16:creationId xmlns:a16="http://schemas.microsoft.com/office/drawing/2014/main" id="{42E79A8C-C863-919B-A0DB-A1204DE5B2DC}"/>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F192CC1-1F41-4486-99A6-B39BF67B8D15}"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2039" name="Cargas CD">
              <a:extLst>
                <a:ext uri="{FF2B5EF4-FFF2-40B4-BE49-F238E27FC236}">
                  <a16:creationId xmlns:a16="http://schemas.microsoft.com/office/drawing/2014/main" id="{F5CF2FD4-766B-8D52-A52C-A4EEA56F0FD0}"/>
                </a:ext>
              </a:extLst>
            </xdr:cNvPr>
            <xdr:cNvGrpSpPr/>
          </xdr:nvGrpSpPr>
          <xdr:grpSpPr>
            <a:xfrm>
              <a:off x="407889" y="6272814"/>
              <a:ext cx="1086619" cy="964370"/>
              <a:chOff x="8551199" y="7797030"/>
              <a:chExt cx="1084444" cy="965611"/>
            </a:xfrm>
          </xdr:grpSpPr>
          <xdr:sp macro="" textlink="AS17">
            <xdr:nvSpPr>
              <xdr:cNvPr id="2154" name="qCD">
                <a:extLst>
                  <a:ext uri="{FF2B5EF4-FFF2-40B4-BE49-F238E27FC236}">
                    <a16:creationId xmlns:a16="http://schemas.microsoft.com/office/drawing/2014/main" id="{52E93850-6E47-3596-A271-9780390C913E}"/>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177E8C2-31C3-4A49-9DCF-2FCBA2D59125}"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CD_Ver">
            <xdr:nvSpPr>
              <xdr:cNvPr id="2155" name="q_CD">
                <a:extLst>
                  <a:ext uri="{FF2B5EF4-FFF2-40B4-BE49-F238E27FC236}">
                    <a16:creationId xmlns:a16="http://schemas.microsoft.com/office/drawing/2014/main" id="{C7424200-0DBA-1692-3EED-F6320BE113A2}"/>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881050B-E9A1-4D69-A88B-1E3D2F84FB4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7">
            <xdr:nvSpPr>
              <xdr:cNvPr id="2156" name="MzC">
                <a:extLst>
                  <a:ext uri="{FF2B5EF4-FFF2-40B4-BE49-F238E27FC236}">
                    <a16:creationId xmlns:a16="http://schemas.microsoft.com/office/drawing/2014/main" id="{E6AA28EA-DA61-9F07-E5F5-1AD7C95DFFD5}"/>
                  </a:ext>
                </a:extLst>
              </xdr:cNvPr>
              <xdr:cNvSpPr txBox="1"/>
            </xdr:nvSpPr>
            <xdr:spPr>
              <a:xfrm>
                <a:off x="9005676" y="8381386"/>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49E4607-8A1D-45B1-BDB0-E753B1B7C51A}"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C_Ver">
            <xdr:nvSpPr>
              <xdr:cNvPr id="2157" name="Mz_C">
                <a:extLst>
                  <a:ext uri="{FF2B5EF4-FFF2-40B4-BE49-F238E27FC236}">
                    <a16:creationId xmlns:a16="http://schemas.microsoft.com/office/drawing/2014/main" id="{7B9615E9-260D-AAED-BB28-BA469AF7D7DD}"/>
                  </a:ext>
                </a:extLst>
              </xdr:cNvPr>
              <xdr:cNvSpPr txBox="1"/>
            </xdr:nvSpPr>
            <xdr:spPr>
              <a:xfrm>
                <a:off x="9112300" y="8377817"/>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833CDA8-7B2D-4AA4-A452-6F6A0DB0327F}"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7">
            <xdr:nvSpPr>
              <xdr:cNvPr id="2158" name="FhC">
                <a:extLst>
                  <a:ext uri="{FF2B5EF4-FFF2-40B4-BE49-F238E27FC236}">
                    <a16:creationId xmlns:a16="http://schemas.microsoft.com/office/drawing/2014/main" id="{72268CC8-8273-95F6-843D-BDD2E2CDE2DD}"/>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2C0310A-6106-4894-9C7F-BD6F449FCE9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7">
            <xdr:nvSpPr>
              <xdr:cNvPr id="2159" name="FvC">
                <a:extLst>
                  <a:ext uri="{FF2B5EF4-FFF2-40B4-BE49-F238E27FC236}">
                    <a16:creationId xmlns:a16="http://schemas.microsoft.com/office/drawing/2014/main" id="{C3C56A32-2CE0-D3E0-18ED-314160B3D219}"/>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C7BC527-84B1-4BC1-A183-5E355617DF3D}"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C_Ver">
            <xdr:nvSpPr>
              <xdr:cNvPr id="2160" name="Fv_C">
                <a:extLst>
                  <a:ext uri="{FF2B5EF4-FFF2-40B4-BE49-F238E27FC236}">
                    <a16:creationId xmlns:a16="http://schemas.microsoft.com/office/drawing/2014/main" id="{20C810F6-B0E2-10A1-8A0D-C0840B409643}"/>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A08498D-2D70-4012-A77F-BB734B71EBB6}"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sp macro="" textlink="Fh_C_Ver">
            <xdr:nvSpPr>
              <xdr:cNvPr id="2161" name="Fh_C">
                <a:extLst>
                  <a:ext uri="{FF2B5EF4-FFF2-40B4-BE49-F238E27FC236}">
                    <a16:creationId xmlns:a16="http://schemas.microsoft.com/office/drawing/2014/main" id="{A3E17C77-9DC5-7773-1EC2-FFC466C8E49B}"/>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C51EEB2-74DA-4A72-8A82-B870A651906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grpSp>
        <xdr:grpSp>
          <xdr:nvGrpSpPr>
            <xdr:cNvPr id="2040" name="Cargas CE">
              <a:extLst>
                <a:ext uri="{FF2B5EF4-FFF2-40B4-BE49-F238E27FC236}">
                  <a16:creationId xmlns:a16="http://schemas.microsoft.com/office/drawing/2014/main" id="{244E7CC0-F3B6-C0B0-EE5A-D9529716975D}"/>
                </a:ext>
              </a:extLst>
            </xdr:cNvPr>
            <xdr:cNvGrpSpPr/>
          </xdr:nvGrpSpPr>
          <xdr:grpSpPr>
            <a:xfrm>
              <a:off x="543795" y="6427539"/>
              <a:ext cx="1343247" cy="465190"/>
              <a:chOff x="543795" y="6427539"/>
              <a:chExt cx="1343247" cy="465190"/>
            </a:xfrm>
          </xdr:grpSpPr>
          <xdr:sp macro="" textlink="$AS$19">
            <xdr:nvSpPr>
              <xdr:cNvPr id="2146" name="qCE">
                <a:extLst>
                  <a:ext uri="{FF2B5EF4-FFF2-40B4-BE49-F238E27FC236}">
                    <a16:creationId xmlns:a16="http://schemas.microsoft.com/office/drawing/2014/main" id="{BEF0B3E7-C845-717F-FF33-E9C3176F9C76}"/>
                  </a:ext>
                </a:extLst>
              </xdr:cNvPr>
              <xdr:cNvSpPr txBox="1"/>
            </xdr:nvSpPr>
            <xdr:spPr>
              <a:xfrm rot="18900000">
                <a:off x="613711" y="6480442"/>
                <a:ext cx="987900" cy="139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17E7709-7521-444D-A6FE-99140AB6B03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CE_Ver">
            <xdr:nvSpPr>
              <xdr:cNvPr id="2147" name="q_CE">
                <a:extLst>
                  <a:ext uri="{FF2B5EF4-FFF2-40B4-BE49-F238E27FC236}">
                    <a16:creationId xmlns:a16="http://schemas.microsoft.com/office/drawing/2014/main" id="{9EE7C9BB-00FA-33A4-C8FA-CE4B69A73C4C}"/>
                  </a:ext>
                </a:extLst>
              </xdr:cNvPr>
              <xdr:cNvSpPr txBox="1"/>
            </xdr:nvSpPr>
            <xdr:spPr>
              <a:xfrm rot="18900000">
                <a:off x="543795" y="6427539"/>
                <a:ext cx="991872" cy="140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72EF31D-DC70-4735-A601-AD2058E1F88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9">
            <xdr:nvSpPr>
              <xdr:cNvPr id="2148" name="MzD'">
                <a:extLst>
                  <a:ext uri="{FF2B5EF4-FFF2-40B4-BE49-F238E27FC236}">
                    <a16:creationId xmlns:a16="http://schemas.microsoft.com/office/drawing/2014/main" id="{070EB04B-5332-A405-8137-D4A1E6C75FB6}"/>
                  </a:ext>
                </a:extLst>
              </xdr:cNvPr>
              <xdr:cNvSpPr txBox="1"/>
            </xdr:nvSpPr>
            <xdr:spPr>
              <a:xfrm>
                <a:off x="1262548" y="6523520"/>
                <a:ext cx="88783" cy="141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BE0AD99-8CB1-430B-84A6-DEC8E03D2929}"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D1_Ver">
            <xdr:nvSpPr>
              <xdr:cNvPr id="2149" name="Mz_D'">
                <a:extLst>
                  <a:ext uri="{FF2B5EF4-FFF2-40B4-BE49-F238E27FC236}">
                    <a16:creationId xmlns:a16="http://schemas.microsoft.com/office/drawing/2014/main" id="{3337CEF0-AC1F-4C56-5F92-6156E5F6F4D7}"/>
                  </a:ext>
                </a:extLst>
              </xdr:cNvPr>
              <xdr:cNvSpPr txBox="1"/>
            </xdr:nvSpPr>
            <xdr:spPr>
              <a:xfrm>
                <a:off x="1362512" y="6519810"/>
                <a:ext cx="524417" cy="141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D620F51-EE06-4289-95C7-68F7A1D23E5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9">
            <xdr:nvSpPr>
              <xdr:cNvPr id="2150" name="FhD'">
                <a:extLst>
                  <a:ext uri="{FF2B5EF4-FFF2-40B4-BE49-F238E27FC236}">
                    <a16:creationId xmlns:a16="http://schemas.microsoft.com/office/drawing/2014/main" id="{2BCDD166-CE42-135E-B101-D552A50EA436}"/>
                  </a:ext>
                </a:extLst>
              </xdr:cNvPr>
              <xdr:cNvSpPr txBox="1"/>
            </xdr:nvSpPr>
            <xdr:spPr>
              <a:xfrm>
                <a:off x="1178811" y="6644972"/>
                <a:ext cx="198664" cy="141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8F77ED6-020B-46F6-9092-77354BCC06EF}"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D1_Ver">
            <xdr:nvSpPr>
              <xdr:cNvPr id="2151" name="Fh_D'">
                <a:extLst>
                  <a:ext uri="{FF2B5EF4-FFF2-40B4-BE49-F238E27FC236}">
                    <a16:creationId xmlns:a16="http://schemas.microsoft.com/office/drawing/2014/main" id="{A8F1AC36-7257-5813-110E-6D580D607A2B}"/>
                  </a:ext>
                </a:extLst>
              </xdr:cNvPr>
              <xdr:cNvSpPr txBox="1"/>
            </xdr:nvSpPr>
            <xdr:spPr>
              <a:xfrm>
                <a:off x="1336080" y="6653821"/>
                <a:ext cx="550962" cy="125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93AAA06-8708-45A8-A8F6-6841AF7A9A31}" type="TxLink">
                  <a:rPr lang="en-US" sz="900" b="1" i="0" u="none" strike="noStrike">
                    <a:solidFill>
                      <a:srgbClr val="7030A0"/>
                    </a:solidFill>
                    <a:latin typeface="Calibri"/>
                    <a:ea typeface="Calibri"/>
                    <a:cs typeface="Calibri"/>
                  </a:rPr>
                  <a:pPr algn="l"/>
                  <a:t> </a:t>
                </a:fld>
                <a:endParaRPr lang="es-ES" sz="1400" b="1">
                  <a:solidFill>
                    <a:srgbClr val="0070C0"/>
                  </a:solidFill>
                </a:endParaRPr>
              </a:p>
            </xdr:txBody>
          </xdr:sp>
          <xdr:sp macro="" textlink="$AJ$19">
            <xdr:nvSpPr>
              <xdr:cNvPr id="2152" name="FvD'">
                <a:extLst>
                  <a:ext uri="{FF2B5EF4-FFF2-40B4-BE49-F238E27FC236}">
                    <a16:creationId xmlns:a16="http://schemas.microsoft.com/office/drawing/2014/main" id="{56A67B2B-822A-5020-2177-A6E542532849}"/>
                  </a:ext>
                </a:extLst>
              </xdr:cNvPr>
              <xdr:cNvSpPr txBox="1"/>
            </xdr:nvSpPr>
            <xdr:spPr>
              <a:xfrm>
                <a:off x="1064831" y="6663258"/>
                <a:ext cx="252510" cy="141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6D13458-4316-4768-80CD-0CF3EAD1064C}"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D1_Ver">
            <xdr:nvSpPr>
              <xdr:cNvPr id="2153" name="Fv_D'">
                <a:extLst>
                  <a:ext uri="{FF2B5EF4-FFF2-40B4-BE49-F238E27FC236}">
                    <a16:creationId xmlns:a16="http://schemas.microsoft.com/office/drawing/2014/main" id="{043197BF-81A6-2CFF-E14C-6C7730466A6F}"/>
                  </a:ext>
                </a:extLst>
              </xdr:cNvPr>
              <xdr:cNvSpPr txBox="1"/>
            </xdr:nvSpPr>
            <xdr:spPr>
              <a:xfrm>
                <a:off x="953851" y="6765784"/>
                <a:ext cx="457431" cy="126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9803DC57-380B-4802-AD93-C4A22A184464}"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041" name="Cargas DE">
              <a:extLst>
                <a:ext uri="{FF2B5EF4-FFF2-40B4-BE49-F238E27FC236}">
                  <a16:creationId xmlns:a16="http://schemas.microsoft.com/office/drawing/2014/main" id="{37B4229C-12FD-DC9E-A5DA-070EB6876124}"/>
                </a:ext>
              </a:extLst>
            </xdr:cNvPr>
            <xdr:cNvGrpSpPr/>
          </xdr:nvGrpSpPr>
          <xdr:grpSpPr>
            <a:xfrm rot="5400000">
              <a:off x="638136" y="5486617"/>
              <a:ext cx="456786" cy="1361714"/>
              <a:chOff x="8643550" y="7722216"/>
              <a:chExt cx="456390" cy="1367515"/>
            </a:xfrm>
          </xdr:grpSpPr>
          <xdr:sp macro="" textlink="$AS$18">
            <xdr:nvSpPr>
              <xdr:cNvPr id="2138" name="qDE">
                <a:extLst>
                  <a:ext uri="{FF2B5EF4-FFF2-40B4-BE49-F238E27FC236}">
                    <a16:creationId xmlns:a16="http://schemas.microsoft.com/office/drawing/2014/main" id="{CC307F7B-40E2-0B99-0FAE-47B13E25ECCB}"/>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272930F-4B5D-4047-9045-D052AC8C1374}"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DE_Ver">
            <xdr:nvSpPr>
              <xdr:cNvPr id="2139" name="q_DE">
                <a:extLst>
                  <a:ext uri="{FF2B5EF4-FFF2-40B4-BE49-F238E27FC236}">
                    <a16:creationId xmlns:a16="http://schemas.microsoft.com/office/drawing/2014/main" id="{C37AB869-97E9-2351-0260-6DD6EF5CE4C9}"/>
                  </a:ext>
                </a:extLst>
              </xdr:cNvPr>
              <xdr:cNvSpPr txBox="1"/>
            </xdr:nvSpPr>
            <xdr:spPr>
              <a:xfrm rot="16200000">
                <a:off x="8485767"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482A7FC-9D78-491E-8214-88507272A2F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8">
            <xdr:nvSpPr>
              <xdr:cNvPr id="2140" name="MzD">
                <a:extLst>
                  <a:ext uri="{FF2B5EF4-FFF2-40B4-BE49-F238E27FC236}">
                    <a16:creationId xmlns:a16="http://schemas.microsoft.com/office/drawing/2014/main" id="{8F4563EE-AE35-4335-3189-798CB73A86C2}"/>
                  </a:ext>
                </a:extLst>
              </xdr:cNvPr>
              <xdr:cNvSpPr txBox="1"/>
            </xdr:nvSpPr>
            <xdr:spPr>
              <a:xfrm rot="16200000">
                <a:off x="8985079" y="8245581"/>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FC2FED2-347B-42EF-B387-499D4DABBF15}"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D_Ver">
            <xdr:nvSpPr>
              <xdr:cNvPr id="2141" name="Mz_D">
                <a:extLst>
                  <a:ext uri="{FF2B5EF4-FFF2-40B4-BE49-F238E27FC236}">
                    <a16:creationId xmlns:a16="http://schemas.microsoft.com/office/drawing/2014/main" id="{253E4A23-C0E8-A51A-BC8A-0DE29BA89439}"/>
                  </a:ext>
                </a:extLst>
              </xdr:cNvPr>
              <xdr:cNvSpPr txBox="1"/>
            </xdr:nvSpPr>
            <xdr:spPr>
              <a:xfrm rot="16200000">
                <a:off x="8761580" y="7914932"/>
                <a:ext cx="526583" cy="14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025EF74-B12E-471C-A024-FAF71BEE1499}"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8">
            <xdr:nvSpPr>
              <xdr:cNvPr id="2142" name="FhD">
                <a:extLst>
                  <a:ext uri="{FF2B5EF4-FFF2-40B4-BE49-F238E27FC236}">
                    <a16:creationId xmlns:a16="http://schemas.microsoft.com/office/drawing/2014/main" id="{21DA4E03-95CB-761B-00F8-A7287D65B108}"/>
                  </a:ext>
                </a:extLst>
              </xdr:cNvPr>
              <xdr:cNvSpPr txBox="1"/>
            </xdr:nvSpPr>
            <xdr:spPr>
              <a:xfrm rot="16200000">
                <a:off x="8620934" y="8405546"/>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F514022-6022-490F-A493-648F3AD19E8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D_Ver">
            <xdr:nvSpPr>
              <xdr:cNvPr id="2143" name="Fh_D">
                <a:extLst>
                  <a:ext uri="{FF2B5EF4-FFF2-40B4-BE49-F238E27FC236}">
                    <a16:creationId xmlns:a16="http://schemas.microsoft.com/office/drawing/2014/main" id="{DBE3B725-AE82-533D-E427-1ABA64082E4A}"/>
                  </a:ext>
                </a:extLst>
              </xdr:cNvPr>
              <xdr:cNvSpPr txBox="1"/>
            </xdr:nvSpPr>
            <xdr:spPr>
              <a:xfrm rot="16200000">
                <a:off x="8429410" y="875063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CAFDB647-C610-402C-8C7D-80B6AB031D3B}"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18">
            <xdr:nvSpPr>
              <xdr:cNvPr id="2144" name="FvD">
                <a:extLst>
                  <a:ext uri="{FF2B5EF4-FFF2-40B4-BE49-F238E27FC236}">
                    <a16:creationId xmlns:a16="http://schemas.microsoft.com/office/drawing/2014/main" id="{D5B6264F-3BF9-F359-E3EC-2A8DEAF75F56}"/>
                  </a:ext>
                </a:extLst>
              </xdr:cNvPr>
              <xdr:cNvSpPr txBox="1"/>
            </xdr:nvSpPr>
            <xdr:spPr>
              <a:xfrm rot="16200000">
                <a:off x="8690101" y="8411213"/>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F0186C7-9672-43C1-8B6D-34689A6425E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D_Ver">
            <xdr:nvSpPr>
              <xdr:cNvPr id="2145" name="Fv_D">
                <a:extLst>
                  <a:ext uri="{FF2B5EF4-FFF2-40B4-BE49-F238E27FC236}">
                    <a16:creationId xmlns:a16="http://schemas.microsoft.com/office/drawing/2014/main" id="{2E737DAB-5B0B-D826-EDB5-E85EAFCCCA7C}"/>
                  </a:ext>
                </a:extLst>
              </xdr:cNvPr>
              <xdr:cNvSpPr txBox="1"/>
            </xdr:nvSpPr>
            <xdr:spPr>
              <a:xfrm rot="16200000">
                <a:off x="8588299" y="8705650"/>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9B990EC-8A0F-4BE2-9B07-86A0A7CBF3A8}"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042" name="Cargas EF">
              <a:extLst>
                <a:ext uri="{FF2B5EF4-FFF2-40B4-BE49-F238E27FC236}">
                  <a16:creationId xmlns:a16="http://schemas.microsoft.com/office/drawing/2014/main" id="{FF164A7B-75F1-BEFD-B556-A6F407AD45C1}"/>
                </a:ext>
              </a:extLst>
            </xdr:cNvPr>
            <xdr:cNvGrpSpPr/>
          </xdr:nvGrpSpPr>
          <xdr:grpSpPr>
            <a:xfrm rot="5400000">
              <a:off x="1186435" y="5514636"/>
              <a:ext cx="680076" cy="1288537"/>
              <a:chOff x="8523476" y="7797030"/>
              <a:chExt cx="678412" cy="1292690"/>
            </a:xfrm>
          </xdr:grpSpPr>
          <xdr:sp macro="" textlink="AS20">
            <xdr:nvSpPr>
              <xdr:cNvPr id="2130" name="qEF">
                <a:extLst>
                  <a:ext uri="{FF2B5EF4-FFF2-40B4-BE49-F238E27FC236}">
                    <a16:creationId xmlns:a16="http://schemas.microsoft.com/office/drawing/2014/main" id="{671F303F-2264-18DB-D4AC-8D012C40AA33}"/>
                  </a:ext>
                </a:extLst>
              </xdr:cNvPr>
              <xdr:cNvSpPr txBox="1"/>
            </xdr:nvSpPr>
            <xdr:spPr>
              <a:xfrm rot="16200000">
                <a:off x="8571659"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84EC8A9-64ED-48F3-B8BA-96E24A1ED189}"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EF_Ver">
            <xdr:nvSpPr>
              <xdr:cNvPr id="2131" name="q_EF">
                <a:extLst>
                  <a:ext uri="{FF2B5EF4-FFF2-40B4-BE49-F238E27FC236}">
                    <a16:creationId xmlns:a16="http://schemas.microsoft.com/office/drawing/2014/main" id="{C0471189-B5F8-B80B-72B7-ABE95199F82D}"/>
                  </a:ext>
                </a:extLst>
              </xdr:cNvPr>
              <xdr:cNvSpPr txBox="1"/>
            </xdr:nvSpPr>
            <xdr:spPr>
              <a:xfrm rot="16200000">
                <a:off x="8485766"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3B3AB2D-A701-429B-88F5-7CB7265E4226}"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0">
            <xdr:nvSpPr>
              <xdr:cNvPr id="2132" name="MzE">
                <a:extLst>
                  <a:ext uri="{FF2B5EF4-FFF2-40B4-BE49-F238E27FC236}">
                    <a16:creationId xmlns:a16="http://schemas.microsoft.com/office/drawing/2014/main" id="{54A0EA71-A271-1857-B020-DEC503552CB4}"/>
                  </a:ext>
                </a:extLst>
              </xdr:cNvPr>
              <xdr:cNvSpPr txBox="1"/>
            </xdr:nvSpPr>
            <xdr:spPr>
              <a:xfrm rot="16200000">
                <a:off x="8990619" y="8407155"/>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CB5ADFE-4979-49EC-A420-D9C1B1579872}"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E_Ver">
            <xdr:nvSpPr>
              <xdr:cNvPr id="2133" name="Mz_E">
                <a:extLst>
                  <a:ext uri="{FF2B5EF4-FFF2-40B4-BE49-F238E27FC236}">
                    <a16:creationId xmlns:a16="http://schemas.microsoft.com/office/drawing/2014/main" id="{543FE8E2-81E0-122B-F240-F645663413CA}"/>
                  </a:ext>
                </a:extLst>
              </xdr:cNvPr>
              <xdr:cNvSpPr txBox="1"/>
            </xdr:nvSpPr>
            <xdr:spPr>
              <a:xfrm rot="16200000">
                <a:off x="8867481" y="8192980"/>
                <a:ext cx="528056" cy="140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398B8B6-AD58-43E0-8A66-63B77C24094F}"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0">
            <xdr:nvSpPr>
              <xdr:cNvPr id="2134" name="FhE">
                <a:extLst>
                  <a:ext uri="{FF2B5EF4-FFF2-40B4-BE49-F238E27FC236}">
                    <a16:creationId xmlns:a16="http://schemas.microsoft.com/office/drawing/2014/main" id="{E1F13164-8187-8749-9DCC-33E816892361}"/>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5B7AB7B-91A2-4F2D-8948-7E612C8EF8AA}"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E_Ver">
            <xdr:nvSpPr>
              <xdr:cNvPr id="2135" name="Fh_E">
                <a:extLst>
                  <a:ext uri="{FF2B5EF4-FFF2-40B4-BE49-F238E27FC236}">
                    <a16:creationId xmlns:a16="http://schemas.microsoft.com/office/drawing/2014/main" id="{1880B747-FD1E-6935-A7D0-847DE34F1F88}"/>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DF6221E-1255-488B-9566-533E59F5BC6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0">
            <xdr:nvSpPr>
              <xdr:cNvPr id="2136" name="FvE">
                <a:extLst>
                  <a:ext uri="{FF2B5EF4-FFF2-40B4-BE49-F238E27FC236}">
                    <a16:creationId xmlns:a16="http://schemas.microsoft.com/office/drawing/2014/main" id="{B5FAFD67-BEE9-762C-3526-B1D8712E858B}"/>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3BB5C22-604B-4EE8-BE6A-1C94781EB56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E_Ver">
            <xdr:nvSpPr>
              <xdr:cNvPr id="2137" name="Fv_E">
                <a:extLst>
                  <a:ext uri="{FF2B5EF4-FFF2-40B4-BE49-F238E27FC236}">
                    <a16:creationId xmlns:a16="http://schemas.microsoft.com/office/drawing/2014/main" id="{3792A0A2-D4E1-5779-2544-3F3CAD2DCDA4}"/>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9A2FBC3-8E6B-40D7-AB13-91C6D66B71FB}"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043" name="Cargas FG">
              <a:extLst>
                <a:ext uri="{FF2B5EF4-FFF2-40B4-BE49-F238E27FC236}">
                  <a16:creationId xmlns:a16="http://schemas.microsoft.com/office/drawing/2014/main" id="{AD6B3B17-A532-13E4-F91C-8F6AF171DFA5}"/>
                </a:ext>
              </a:extLst>
            </xdr:cNvPr>
            <xdr:cNvGrpSpPr/>
          </xdr:nvGrpSpPr>
          <xdr:grpSpPr>
            <a:xfrm rot="5400000">
              <a:off x="1921229" y="5449398"/>
              <a:ext cx="584108" cy="1324867"/>
              <a:chOff x="8523476" y="7784296"/>
              <a:chExt cx="582005" cy="1335522"/>
            </a:xfrm>
          </xdr:grpSpPr>
          <xdr:sp macro="" textlink="AS21">
            <xdr:nvSpPr>
              <xdr:cNvPr id="2122" name="qFG">
                <a:extLst>
                  <a:ext uri="{FF2B5EF4-FFF2-40B4-BE49-F238E27FC236}">
                    <a16:creationId xmlns:a16="http://schemas.microsoft.com/office/drawing/2014/main" id="{D3313B6B-A30E-BD5E-C90F-D7A0AC363BA3}"/>
                  </a:ext>
                </a:extLst>
              </xdr:cNvPr>
              <xdr:cNvSpPr txBox="1"/>
            </xdr:nvSpPr>
            <xdr:spPr>
              <a:xfrm rot="16200000">
                <a:off x="8560560" y="8044094"/>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3D33950-25C8-4E6A-892F-7125F4449D5D}"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FG_Ver">
            <xdr:nvSpPr>
              <xdr:cNvPr id="2123" name="q_FG">
                <a:extLst>
                  <a:ext uri="{FF2B5EF4-FFF2-40B4-BE49-F238E27FC236}">
                    <a16:creationId xmlns:a16="http://schemas.microsoft.com/office/drawing/2014/main" id="{0C1B3664-4AE7-ABE0-C6C7-C3E0ACB421E5}"/>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0F095CC-D423-41AC-9256-CE8F74F72DA9}"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1">
            <xdr:nvSpPr>
              <xdr:cNvPr id="2124" name="MzF">
                <a:extLst>
                  <a:ext uri="{FF2B5EF4-FFF2-40B4-BE49-F238E27FC236}">
                    <a16:creationId xmlns:a16="http://schemas.microsoft.com/office/drawing/2014/main" id="{54A0EDC3-D432-0EA1-875C-6B9F92FFE34A}"/>
                  </a:ext>
                </a:extLst>
              </xdr:cNvPr>
              <xdr:cNvSpPr txBox="1"/>
            </xdr:nvSpPr>
            <xdr:spPr>
              <a:xfrm rot="16200000">
                <a:off x="8990620" y="8527624"/>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5C3E4C5-4097-4099-96AA-2698214DA4A7}"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F_Ver">
            <xdr:nvSpPr>
              <xdr:cNvPr id="2125" name="Mz_F">
                <a:extLst>
                  <a:ext uri="{FF2B5EF4-FFF2-40B4-BE49-F238E27FC236}">
                    <a16:creationId xmlns:a16="http://schemas.microsoft.com/office/drawing/2014/main" id="{D766A20A-4AD8-7829-03B9-326DA578FE26}"/>
                  </a:ext>
                </a:extLst>
              </xdr:cNvPr>
              <xdr:cNvSpPr txBox="1"/>
            </xdr:nvSpPr>
            <xdr:spPr>
              <a:xfrm rot="16200000">
                <a:off x="8762951" y="8786375"/>
                <a:ext cx="525423" cy="141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CDC23FC-235C-446A-9396-DB08E2543CC4}"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1">
            <xdr:nvSpPr>
              <xdr:cNvPr id="2126" name="FhF">
                <a:extLst>
                  <a:ext uri="{FF2B5EF4-FFF2-40B4-BE49-F238E27FC236}">
                    <a16:creationId xmlns:a16="http://schemas.microsoft.com/office/drawing/2014/main" id="{DC1C74DE-3B89-9811-DAFB-D99CD9D6F921}"/>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16EAF29-A28B-4027-9C85-FDDB2AA9F8A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F_Ver">
            <xdr:nvSpPr>
              <xdr:cNvPr id="2127" name="Fh_F">
                <a:extLst>
                  <a:ext uri="{FF2B5EF4-FFF2-40B4-BE49-F238E27FC236}">
                    <a16:creationId xmlns:a16="http://schemas.microsoft.com/office/drawing/2014/main" id="{BF498F28-C1EA-D1CD-3B17-989549EBC1D6}"/>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81C56A7F-1A92-4EF2-B3CE-1636918379E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1">
            <xdr:nvSpPr>
              <xdr:cNvPr id="2128" name="FvF">
                <a:extLst>
                  <a:ext uri="{FF2B5EF4-FFF2-40B4-BE49-F238E27FC236}">
                    <a16:creationId xmlns:a16="http://schemas.microsoft.com/office/drawing/2014/main" id="{237B4DE5-287B-B7FB-B8D3-041AEF9CF7A4}"/>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690EA4F-59EA-4F01-9051-1A31D01620BC}"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F_Ver">
            <xdr:nvSpPr>
              <xdr:cNvPr id="2129" name="Fv_F">
                <a:extLst>
                  <a:ext uri="{FF2B5EF4-FFF2-40B4-BE49-F238E27FC236}">
                    <a16:creationId xmlns:a16="http://schemas.microsoft.com/office/drawing/2014/main" id="{A07E7415-8F47-C95E-4AC9-36B129EE2F42}"/>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A2A7E54-76D4-4E9A-91E0-A07ABC0E6F1E}"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044" name="Cargas GH">
              <a:extLst>
                <a:ext uri="{FF2B5EF4-FFF2-40B4-BE49-F238E27FC236}">
                  <a16:creationId xmlns:a16="http://schemas.microsoft.com/office/drawing/2014/main" id="{40519341-E400-B8E6-ABC4-1E8E0F17EB31}"/>
                </a:ext>
              </a:extLst>
            </xdr:cNvPr>
            <xdr:cNvGrpSpPr/>
          </xdr:nvGrpSpPr>
          <xdr:grpSpPr>
            <a:xfrm rot="5400000">
              <a:off x="2562605" y="5535265"/>
              <a:ext cx="713201" cy="1280923"/>
              <a:chOff x="8523476" y="7797030"/>
              <a:chExt cx="712789" cy="1292690"/>
            </a:xfrm>
          </xdr:grpSpPr>
          <xdr:sp macro="" textlink="AS22">
            <xdr:nvSpPr>
              <xdr:cNvPr id="2114" name="qGH">
                <a:extLst>
                  <a:ext uri="{FF2B5EF4-FFF2-40B4-BE49-F238E27FC236}">
                    <a16:creationId xmlns:a16="http://schemas.microsoft.com/office/drawing/2014/main" id="{FCFE156F-B147-58BE-4E8B-84A1F50F99FC}"/>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998592B-116F-4D59-8424-4088644757C5}"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GH_Ver">
            <xdr:nvSpPr>
              <xdr:cNvPr id="2115" name="q_GH">
                <a:extLst>
                  <a:ext uri="{FF2B5EF4-FFF2-40B4-BE49-F238E27FC236}">
                    <a16:creationId xmlns:a16="http://schemas.microsoft.com/office/drawing/2014/main" id="{B576E3CD-B35C-B176-E987-904F01B32B21}"/>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B140FC9-970F-4563-B047-8F0805DFF75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2">
            <xdr:nvSpPr>
              <xdr:cNvPr id="2116" name="MzG">
                <a:extLst>
                  <a:ext uri="{FF2B5EF4-FFF2-40B4-BE49-F238E27FC236}">
                    <a16:creationId xmlns:a16="http://schemas.microsoft.com/office/drawing/2014/main" id="{1287748F-6134-9968-72E1-DC4A04DC5372}"/>
                  </a:ext>
                </a:extLst>
              </xdr:cNvPr>
              <xdr:cNvSpPr txBox="1"/>
            </xdr:nvSpPr>
            <xdr:spPr>
              <a:xfrm rot="16200000">
                <a:off x="9017094" y="8354219"/>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E1B1BE4-A2DB-4B7F-9A13-C4256A717CD0}"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G_Ver">
            <xdr:nvSpPr>
              <xdr:cNvPr id="2117" name="Mz_G">
                <a:extLst>
                  <a:ext uri="{FF2B5EF4-FFF2-40B4-BE49-F238E27FC236}">
                    <a16:creationId xmlns:a16="http://schemas.microsoft.com/office/drawing/2014/main" id="{3C87B8D5-B31E-A17C-D71B-7E64A728DFDA}"/>
                  </a:ext>
                </a:extLst>
              </xdr:cNvPr>
              <xdr:cNvSpPr txBox="1"/>
            </xdr:nvSpPr>
            <xdr:spPr>
              <a:xfrm rot="16200000">
                <a:off x="8902397" y="8106038"/>
                <a:ext cx="526583" cy="14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CDE49E8-B0BC-41C4-AA16-6AAC636B5BA8}"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2">
            <xdr:nvSpPr>
              <xdr:cNvPr id="2118" name="FhG">
                <a:extLst>
                  <a:ext uri="{FF2B5EF4-FFF2-40B4-BE49-F238E27FC236}">
                    <a16:creationId xmlns:a16="http://schemas.microsoft.com/office/drawing/2014/main" id="{58970014-BBE9-1EF6-91D6-AE6129F5451B}"/>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75F86B3-B093-4375-A503-D42375D9AC3B}"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G_Ver">
            <xdr:nvSpPr>
              <xdr:cNvPr id="2119" name="Fh_G">
                <a:extLst>
                  <a:ext uri="{FF2B5EF4-FFF2-40B4-BE49-F238E27FC236}">
                    <a16:creationId xmlns:a16="http://schemas.microsoft.com/office/drawing/2014/main" id="{0E6E7E17-4717-A83E-3C81-DC7507C12FFD}"/>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9E614522-D572-4344-8F86-E8FDADDE17B1}"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2">
            <xdr:nvSpPr>
              <xdr:cNvPr id="2120" name="FvG">
                <a:extLst>
                  <a:ext uri="{FF2B5EF4-FFF2-40B4-BE49-F238E27FC236}">
                    <a16:creationId xmlns:a16="http://schemas.microsoft.com/office/drawing/2014/main" id="{152C4CED-E285-9560-5503-4FFAC55669C6}"/>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7984A85-1008-4D42-A6AF-8E3B26DED4B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G_Ver">
            <xdr:nvSpPr>
              <xdr:cNvPr id="2121" name="Fv_G">
                <a:extLst>
                  <a:ext uri="{FF2B5EF4-FFF2-40B4-BE49-F238E27FC236}">
                    <a16:creationId xmlns:a16="http://schemas.microsoft.com/office/drawing/2014/main" id="{44DA2F93-541A-9F07-8DA2-95DF34EB5B30}"/>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56943052-D66E-4739-AE50-8EC887686D00}"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045" name="Cargas HI">
              <a:extLst>
                <a:ext uri="{FF2B5EF4-FFF2-40B4-BE49-F238E27FC236}">
                  <a16:creationId xmlns:a16="http://schemas.microsoft.com/office/drawing/2014/main" id="{7090BC28-03E5-062C-1B7E-0D0C51D86B92}"/>
                </a:ext>
              </a:extLst>
            </xdr:cNvPr>
            <xdr:cNvGrpSpPr/>
          </xdr:nvGrpSpPr>
          <xdr:grpSpPr>
            <a:xfrm>
              <a:off x="2971279" y="5820489"/>
              <a:ext cx="2227074" cy="1025174"/>
              <a:chOff x="2971279" y="5820489"/>
              <a:chExt cx="2227074" cy="1025174"/>
            </a:xfrm>
          </xdr:grpSpPr>
          <xdr:sp macro="" textlink="AS23">
            <xdr:nvSpPr>
              <xdr:cNvPr id="2100" name="qHI">
                <a:extLst>
                  <a:ext uri="{FF2B5EF4-FFF2-40B4-BE49-F238E27FC236}">
                    <a16:creationId xmlns:a16="http://schemas.microsoft.com/office/drawing/2014/main" id="{B06755AB-0CB0-FF4F-1C4E-031A48E648F0}"/>
                  </a:ext>
                </a:extLst>
              </xdr:cNvPr>
              <xdr:cNvSpPr txBox="1"/>
            </xdr:nvSpPr>
            <xdr:spPr>
              <a:xfrm>
                <a:off x="3599366" y="6118119"/>
                <a:ext cx="656168" cy="141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1296B9A-7550-46E6-AFE9-8CDBE7359FC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HI_Ver">
            <xdr:nvSpPr>
              <xdr:cNvPr id="2101" name="q_HI">
                <a:extLst>
                  <a:ext uri="{FF2B5EF4-FFF2-40B4-BE49-F238E27FC236}">
                    <a16:creationId xmlns:a16="http://schemas.microsoft.com/office/drawing/2014/main" id="{CACA32E7-EED0-F4AD-75F9-BA634AC6A49D}"/>
                  </a:ext>
                </a:extLst>
              </xdr:cNvPr>
              <xdr:cNvSpPr txBox="1"/>
            </xdr:nvSpPr>
            <xdr:spPr>
              <a:xfrm>
                <a:off x="3648542" y="6019885"/>
                <a:ext cx="606989" cy="141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9D1C04D-4986-44DA-9E8C-731A8852CC1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3">
            <xdr:nvSpPr>
              <xdr:cNvPr id="2102" name="MzH">
                <a:extLst>
                  <a:ext uri="{FF2B5EF4-FFF2-40B4-BE49-F238E27FC236}">
                    <a16:creationId xmlns:a16="http://schemas.microsoft.com/office/drawing/2014/main" id="{EE174DCD-9FE6-2919-8A9D-13DEC909213B}"/>
                  </a:ext>
                </a:extLst>
              </xdr:cNvPr>
              <xdr:cNvSpPr txBox="1"/>
            </xdr:nvSpPr>
            <xdr:spPr>
              <a:xfrm>
                <a:off x="3514301" y="6263031"/>
                <a:ext cx="88568" cy="140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4633F79-7B73-49E9-98CA-C7F4BD7B3CB0}"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H_Ver">
            <xdr:nvSpPr>
              <xdr:cNvPr id="2103" name="Mz_H">
                <a:extLst>
                  <a:ext uri="{FF2B5EF4-FFF2-40B4-BE49-F238E27FC236}">
                    <a16:creationId xmlns:a16="http://schemas.microsoft.com/office/drawing/2014/main" id="{C4B94CBB-E544-6BCD-A050-7B55D5BA99B0}"/>
                  </a:ext>
                </a:extLst>
              </xdr:cNvPr>
              <xdr:cNvSpPr txBox="1"/>
            </xdr:nvSpPr>
            <xdr:spPr>
              <a:xfrm rot="16200000">
                <a:off x="3288603" y="6513147"/>
                <a:ext cx="523665" cy="141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A5A0400-2690-40F9-AC2B-336D163901AD}"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3">
            <xdr:nvSpPr>
              <xdr:cNvPr id="2104" name="FhH">
                <a:extLst>
                  <a:ext uri="{FF2B5EF4-FFF2-40B4-BE49-F238E27FC236}">
                    <a16:creationId xmlns:a16="http://schemas.microsoft.com/office/drawing/2014/main" id="{13DB7218-957A-CA1B-0039-8B5689B67A7D}"/>
                  </a:ext>
                </a:extLst>
              </xdr:cNvPr>
              <xdr:cNvSpPr txBox="1"/>
            </xdr:nvSpPr>
            <xdr:spPr>
              <a:xfrm>
                <a:off x="3482178" y="5827472"/>
                <a:ext cx="198182" cy="140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D337A5A-399F-405C-8642-1920CE8F6CAD}"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H_Ver">
            <xdr:nvSpPr>
              <xdr:cNvPr id="2105" name="Fh_H">
                <a:extLst>
                  <a:ext uri="{FF2B5EF4-FFF2-40B4-BE49-F238E27FC236}">
                    <a16:creationId xmlns:a16="http://schemas.microsoft.com/office/drawing/2014/main" id="{4AF0BAC1-4E51-DE15-C27D-CFF02E4B0C5B}"/>
                  </a:ext>
                </a:extLst>
              </xdr:cNvPr>
              <xdr:cNvSpPr txBox="1"/>
            </xdr:nvSpPr>
            <xdr:spPr>
              <a:xfrm>
                <a:off x="2971279" y="5820489"/>
                <a:ext cx="549627" cy="125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E1F3339-69FE-44F7-9719-BEF929044CD0}"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3">
            <xdr:nvSpPr>
              <xdr:cNvPr id="2106" name="FvH">
                <a:extLst>
                  <a:ext uri="{FF2B5EF4-FFF2-40B4-BE49-F238E27FC236}">
                    <a16:creationId xmlns:a16="http://schemas.microsoft.com/office/drawing/2014/main" id="{EA55511B-E4E1-4C5C-30D6-E78BD97152E7}"/>
                  </a:ext>
                </a:extLst>
              </xdr:cNvPr>
              <xdr:cNvSpPr txBox="1"/>
            </xdr:nvSpPr>
            <xdr:spPr>
              <a:xfrm>
                <a:off x="3449657" y="5922043"/>
                <a:ext cx="251899" cy="140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CF197C7-B271-44FD-98FC-7B2D38813E52}"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H_Ver">
            <xdr:nvSpPr>
              <xdr:cNvPr id="2107" name="Fv_H">
                <a:extLst>
                  <a:ext uri="{FF2B5EF4-FFF2-40B4-BE49-F238E27FC236}">
                    <a16:creationId xmlns:a16="http://schemas.microsoft.com/office/drawing/2014/main" id="{1BC644F0-426C-411B-A551-9BA245242ADE}"/>
                  </a:ext>
                </a:extLst>
              </xdr:cNvPr>
              <xdr:cNvSpPr txBox="1"/>
            </xdr:nvSpPr>
            <xdr:spPr>
              <a:xfrm>
                <a:off x="3061194" y="5931532"/>
                <a:ext cx="458395" cy="126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2CA07029-9CB7-4993-AC0A-319DA61F51BE}"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sp macro="" textlink="$AP$24">
            <xdr:nvSpPr>
              <xdr:cNvPr id="2108" name="MzI">
                <a:extLst>
                  <a:ext uri="{FF2B5EF4-FFF2-40B4-BE49-F238E27FC236}">
                    <a16:creationId xmlns:a16="http://schemas.microsoft.com/office/drawing/2014/main" id="{C396B4A6-DC0B-29E7-4E3F-E1D58688A366}"/>
                  </a:ext>
                </a:extLst>
              </xdr:cNvPr>
              <xdr:cNvSpPr txBox="1"/>
            </xdr:nvSpPr>
            <xdr:spPr>
              <a:xfrm>
                <a:off x="4359522" y="6070003"/>
                <a:ext cx="88514" cy="14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9B64E93-F000-4D2A-A055-3467C118FB8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I_Ver">
            <xdr:nvSpPr>
              <xdr:cNvPr id="2109" name="Mz_I">
                <a:extLst>
                  <a:ext uri="{FF2B5EF4-FFF2-40B4-BE49-F238E27FC236}">
                    <a16:creationId xmlns:a16="http://schemas.microsoft.com/office/drawing/2014/main" id="{1E5BF248-DBAE-70EA-4E8F-CB36595C826B}"/>
                  </a:ext>
                </a:extLst>
              </xdr:cNvPr>
              <xdr:cNvSpPr txBox="1"/>
            </xdr:nvSpPr>
            <xdr:spPr>
              <a:xfrm>
                <a:off x="4470012" y="6062778"/>
                <a:ext cx="525405" cy="140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EEF8E79-B28E-40DC-8081-124538E113B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4">
            <xdr:nvSpPr>
              <xdr:cNvPr id="2110" name="FhI">
                <a:extLst>
                  <a:ext uri="{FF2B5EF4-FFF2-40B4-BE49-F238E27FC236}">
                    <a16:creationId xmlns:a16="http://schemas.microsoft.com/office/drawing/2014/main" id="{B5B9DD31-0B6F-3150-5B3B-0E145F30419A}"/>
                  </a:ext>
                </a:extLst>
              </xdr:cNvPr>
              <xdr:cNvSpPr txBox="1"/>
            </xdr:nvSpPr>
            <xdr:spPr>
              <a:xfrm>
                <a:off x="4472891" y="6165042"/>
                <a:ext cx="198060" cy="14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8F0762B-85CB-44DE-9CAC-EA0D43055B60}"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I_Ver">
            <xdr:nvSpPr>
              <xdr:cNvPr id="2111" name="Fh_I">
                <a:extLst>
                  <a:ext uri="{FF2B5EF4-FFF2-40B4-BE49-F238E27FC236}">
                    <a16:creationId xmlns:a16="http://schemas.microsoft.com/office/drawing/2014/main" id="{7D8D094C-0ED3-F6FD-DDCE-BF7E42DD3786}"/>
                  </a:ext>
                </a:extLst>
              </xdr:cNvPr>
              <xdr:cNvSpPr txBox="1"/>
            </xdr:nvSpPr>
            <xdr:spPr>
              <a:xfrm>
                <a:off x="4649066" y="6162831"/>
                <a:ext cx="549287" cy="125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E3D6144C-914B-4DC0-90B4-3A18C83E0124}" type="TxLink">
                  <a:rPr lang="en-US" sz="900" b="1" i="0" u="none" strike="noStrike">
                    <a:solidFill>
                      <a:srgbClr val="7030A0"/>
                    </a:solidFill>
                    <a:latin typeface="Calibri"/>
                    <a:ea typeface="Calibri"/>
                    <a:cs typeface="Calibri"/>
                  </a:rPr>
                  <a:pPr algn="l"/>
                  <a:t> </a:t>
                </a:fld>
                <a:endParaRPr lang="es-ES" sz="1400" b="1">
                  <a:solidFill>
                    <a:srgbClr val="0070C0"/>
                  </a:solidFill>
                </a:endParaRPr>
              </a:p>
            </xdr:txBody>
          </xdr:sp>
          <xdr:sp macro="" textlink="$AJ$24">
            <xdr:nvSpPr>
              <xdr:cNvPr id="2112" name="FvI">
                <a:extLst>
                  <a:ext uri="{FF2B5EF4-FFF2-40B4-BE49-F238E27FC236}">
                    <a16:creationId xmlns:a16="http://schemas.microsoft.com/office/drawing/2014/main" id="{1466D64D-1B35-4B09-103D-A422BFB145F1}"/>
                  </a:ext>
                </a:extLst>
              </xdr:cNvPr>
              <xdr:cNvSpPr txBox="1"/>
            </xdr:nvSpPr>
            <xdr:spPr>
              <a:xfrm>
                <a:off x="4133030" y="5910833"/>
                <a:ext cx="251743" cy="140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1F922A0-684A-4745-938D-A226F1CFF2B7}"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I_Ver">
            <xdr:nvSpPr>
              <xdr:cNvPr id="2113" name="Fv_I">
                <a:extLst>
                  <a:ext uri="{FF2B5EF4-FFF2-40B4-BE49-F238E27FC236}">
                    <a16:creationId xmlns:a16="http://schemas.microsoft.com/office/drawing/2014/main" id="{0F70898D-06A8-8099-5604-224F7D7AF28B}"/>
                  </a:ext>
                </a:extLst>
              </xdr:cNvPr>
              <xdr:cNvSpPr txBox="1"/>
            </xdr:nvSpPr>
            <xdr:spPr>
              <a:xfrm>
                <a:off x="3744808" y="5920333"/>
                <a:ext cx="458111" cy="126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2E14A15-C0AB-4941-AA31-2CBBE3278DD4}"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046" name="Cargas GJ">
              <a:extLst>
                <a:ext uri="{FF2B5EF4-FFF2-40B4-BE49-F238E27FC236}">
                  <a16:creationId xmlns:a16="http://schemas.microsoft.com/office/drawing/2014/main" id="{C2B173F4-E45E-3FD6-3FDB-11F0C0B40E38}"/>
                </a:ext>
              </a:extLst>
            </xdr:cNvPr>
            <xdr:cNvGrpSpPr/>
          </xdr:nvGrpSpPr>
          <xdr:grpSpPr>
            <a:xfrm>
              <a:off x="2480516" y="6275759"/>
              <a:ext cx="1080825" cy="963899"/>
              <a:chOff x="8551199" y="7797030"/>
              <a:chExt cx="1084444" cy="965611"/>
            </a:xfrm>
          </xdr:grpSpPr>
          <xdr:sp macro="" textlink="AS24">
            <xdr:nvSpPr>
              <xdr:cNvPr id="2092" name="qGJ">
                <a:extLst>
                  <a:ext uri="{FF2B5EF4-FFF2-40B4-BE49-F238E27FC236}">
                    <a16:creationId xmlns:a16="http://schemas.microsoft.com/office/drawing/2014/main" id="{086CEA06-AE9E-294B-CD28-97DC246DE5B5}"/>
                  </a:ext>
                </a:extLst>
              </xdr:cNvPr>
              <xdr:cNvSpPr txBox="1"/>
            </xdr:nvSpPr>
            <xdr:spPr>
              <a:xfrm rot="16200000">
                <a:off x="8549799"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276DDCD-13FB-4D82-8B34-3124C5E9D02E}"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GJ_Ver">
            <xdr:nvSpPr>
              <xdr:cNvPr id="2093" name="q_GJ">
                <a:extLst>
                  <a:ext uri="{FF2B5EF4-FFF2-40B4-BE49-F238E27FC236}">
                    <a16:creationId xmlns:a16="http://schemas.microsoft.com/office/drawing/2014/main" id="{3A36C2AD-7F31-6E71-4607-3D3CB2C7E9EE}"/>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769EF9E-955D-48B4-902B-EE596163156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5">
            <xdr:nvSpPr>
              <xdr:cNvPr id="2094" name="MzJ">
                <a:extLst>
                  <a:ext uri="{FF2B5EF4-FFF2-40B4-BE49-F238E27FC236}">
                    <a16:creationId xmlns:a16="http://schemas.microsoft.com/office/drawing/2014/main" id="{0570BBB3-0D58-B4D3-7FE0-065766424CB9}"/>
                  </a:ext>
                </a:extLst>
              </xdr:cNvPr>
              <xdr:cNvSpPr txBox="1"/>
            </xdr:nvSpPr>
            <xdr:spPr>
              <a:xfrm>
                <a:off x="9005676" y="8309722"/>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F70635E-F300-4309-A065-99DCD38DE72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J_Ver">
            <xdr:nvSpPr>
              <xdr:cNvPr id="2095" name="Mz_J">
                <a:extLst>
                  <a:ext uri="{FF2B5EF4-FFF2-40B4-BE49-F238E27FC236}">
                    <a16:creationId xmlns:a16="http://schemas.microsoft.com/office/drawing/2014/main" id="{EE9FBDC8-CF9F-4E5D-42E7-9FF3C2E70E2B}"/>
                  </a:ext>
                </a:extLst>
              </xdr:cNvPr>
              <xdr:cNvSpPr txBox="1"/>
            </xdr:nvSpPr>
            <xdr:spPr>
              <a:xfrm>
                <a:off x="9112300" y="8306153"/>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81E81E1-F11C-4EE7-B2DA-2642928F7B23}"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5">
            <xdr:nvSpPr>
              <xdr:cNvPr id="2096" name="FhJ">
                <a:extLst>
                  <a:ext uri="{FF2B5EF4-FFF2-40B4-BE49-F238E27FC236}">
                    <a16:creationId xmlns:a16="http://schemas.microsoft.com/office/drawing/2014/main" id="{DB8B6B8D-6C63-375E-9371-3D7FDFBA33CF}"/>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C5BBBA0-1ABC-44A2-89DD-F3AFED870D8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J_Ver">
            <xdr:nvSpPr>
              <xdr:cNvPr id="2097" name="Fh_J">
                <a:extLst>
                  <a:ext uri="{FF2B5EF4-FFF2-40B4-BE49-F238E27FC236}">
                    <a16:creationId xmlns:a16="http://schemas.microsoft.com/office/drawing/2014/main" id="{9BE106B7-BFDA-325B-5DA7-4C27563FFD13}"/>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5DAE75C-240C-4F26-9925-9F1B5183ACD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25">
            <xdr:nvSpPr>
              <xdr:cNvPr id="2098" name="FvJ">
                <a:extLst>
                  <a:ext uri="{FF2B5EF4-FFF2-40B4-BE49-F238E27FC236}">
                    <a16:creationId xmlns:a16="http://schemas.microsoft.com/office/drawing/2014/main" id="{5D941E7C-6B53-86D4-E2DC-254058CA1800}"/>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90CB0E0-81B2-4E22-8082-36632EC5699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J_Ver">
            <xdr:nvSpPr>
              <xdr:cNvPr id="2099" name="Fv_J">
                <a:extLst>
                  <a:ext uri="{FF2B5EF4-FFF2-40B4-BE49-F238E27FC236}">
                    <a16:creationId xmlns:a16="http://schemas.microsoft.com/office/drawing/2014/main" id="{4FAA8D14-3CDE-8CD6-5A6E-5804F4342568}"/>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A6BD8AF-EFBD-4A85-AF1B-1A7A02A70876}"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2047" name="Cargas JK">
              <a:extLst>
                <a:ext uri="{FF2B5EF4-FFF2-40B4-BE49-F238E27FC236}">
                  <a16:creationId xmlns:a16="http://schemas.microsoft.com/office/drawing/2014/main" id="{BBB01584-5E07-C125-DACB-503AD012A12C}"/>
                </a:ext>
              </a:extLst>
            </xdr:cNvPr>
            <xdr:cNvGrpSpPr/>
          </xdr:nvGrpSpPr>
          <xdr:grpSpPr>
            <a:xfrm>
              <a:off x="2480415" y="6975218"/>
              <a:ext cx="1010670" cy="1350584"/>
              <a:chOff x="8551199" y="7797030"/>
              <a:chExt cx="1014255" cy="1353377"/>
            </a:xfrm>
          </xdr:grpSpPr>
          <xdr:sp macro="" textlink="AS25">
            <xdr:nvSpPr>
              <xdr:cNvPr id="2084" name="qJK">
                <a:extLst>
                  <a:ext uri="{FF2B5EF4-FFF2-40B4-BE49-F238E27FC236}">
                    <a16:creationId xmlns:a16="http://schemas.microsoft.com/office/drawing/2014/main" id="{F82D7E3B-458E-4EE3-D2ED-3F8768DDB55F}"/>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878A490-C0BD-4EC2-8BAD-321DA1AD869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JK_Ver">
            <xdr:nvSpPr>
              <xdr:cNvPr id="2085" name="q_JK">
                <a:extLst>
                  <a:ext uri="{FF2B5EF4-FFF2-40B4-BE49-F238E27FC236}">
                    <a16:creationId xmlns:a16="http://schemas.microsoft.com/office/drawing/2014/main" id="{2EF35966-C8CF-737C-4CEA-0F9E7E0DCE35}"/>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51202CD-4A48-452C-9387-3854B3FE1054}"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6">
            <xdr:nvSpPr>
              <xdr:cNvPr id="2086" name="MzK">
                <a:extLst>
                  <a:ext uri="{FF2B5EF4-FFF2-40B4-BE49-F238E27FC236}">
                    <a16:creationId xmlns:a16="http://schemas.microsoft.com/office/drawing/2014/main" id="{5ED2A706-D26C-B315-891A-7943604BE8CE}"/>
                  </a:ext>
                </a:extLst>
              </xdr:cNvPr>
              <xdr:cNvSpPr txBox="1"/>
            </xdr:nvSpPr>
            <xdr:spPr>
              <a:xfrm>
                <a:off x="8894333" y="8485079"/>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CAA6A0F-0909-4EA4-857D-5514B29DC2B5}"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K_Ver">
            <xdr:nvSpPr>
              <xdr:cNvPr id="2087" name="Mz_K">
                <a:extLst>
                  <a:ext uri="{FF2B5EF4-FFF2-40B4-BE49-F238E27FC236}">
                    <a16:creationId xmlns:a16="http://schemas.microsoft.com/office/drawing/2014/main" id="{08A9203D-E261-6C07-0E6B-8D56A69C6C01}"/>
                  </a:ext>
                </a:extLst>
              </xdr:cNvPr>
              <xdr:cNvSpPr txBox="1"/>
            </xdr:nvSpPr>
            <xdr:spPr>
              <a:xfrm rot="16200000">
                <a:off x="8667084" y="8817831"/>
                <a:ext cx="523045" cy="142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34900774-0551-4F62-A129-A94D05E482FA}" type="TxLink">
                  <a:rPr lang="en-US" sz="900" b="1" i="0" u="none" strike="noStrike">
                    <a:solidFill>
                      <a:srgbClr val="00B050"/>
                    </a:solidFill>
                    <a:latin typeface="Calibri"/>
                    <a:ea typeface="Calibri"/>
                    <a:cs typeface="Calibri"/>
                  </a:rPr>
                  <a:pPr algn="r"/>
                  <a:t> </a:t>
                </a:fld>
                <a:endParaRPr lang="es-ES" sz="1400" b="1">
                  <a:solidFill>
                    <a:srgbClr val="0070C0"/>
                  </a:solidFill>
                </a:endParaRPr>
              </a:p>
            </xdr:txBody>
          </xdr:sp>
          <xdr:sp macro="" textlink="AM26">
            <xdr:nvSpPr>
              <xdr:cNvPr id="2088" name="FhK">
                <a:extLst>
                  <a:ext uri="{FF2B5EF4-FFF2-40B4-BE49-F238E27FC236}">
                    <a16:creationId xmlns:a16="http://schemas.microsoft.com/office/drawing/2014/main" id="{7FC46605-5F69-5277-677E-D3617967EB7D}"/>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B76B718-3AE2-47BB-8E7F-089133AB52F9}"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K_Ver">
            <xdr:nvSpPr>
              <xdr:cNvPr id="2089" name="Fh_K">
                <a:extLst>
                  <a:ext uri="{FF2B5EF4-FFF2-40B4-BE49-F238E27FC236}">
                    <a16:creationId xmlns:a16="http://schemas.microsoft.com/office/drawing/2014/main" id="{1D3F5684-8A90-B510-8577-BF7071379FCB}"/>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DE8E969-1B3B-46D0-9F88-F631E62A3BB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26">
            <xdr:nvSpPr>
              <xdr:cNvPr id="2090" name="FvK">
                <a:extLst>
                  <a:ext uri="{FF2B5EF4-FFF2-40B4-BE49-F238E27FC236}">
                    <a16:creationId xmlns:a16="http://schemas.microsoft.com/office/drawing/2014/main" id="{76CEDC2A-B5C0-6158-23D4-D8CD7CA127D1}"/>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B8FC98F-F0D8-4FD6-BE10-87D1017FDCE4}"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K_Ver">
            <xdr:nvSpPr>
              <xdr:cNvPr id="2091" name="Fv_K">
                <a:extLst>
                  <a:ext uri="{FF2B5EF4-FFF2-40B4-BE49-F238E27FC236}">
                    <a16:creationId xmlns:a16="http://schemas.microsoft.com/office/drawing/2014/main" id="{8AFC0380-6E48-01C3-D9C4-3E67FF93D417}"/>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852F8CE-1E78-42E9-BF17-8D453FD96FEC}"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2048" name="Cargas KL">
              <a:extLst>
                <a:ext uri="{FF2B5EF4-FFF2-40B4-BE49-F238E27FC236}">
                  <a16:creationId xmlns:a16="http://schemas.microsoft.com/office/drawing/2014/main" id="{F370BF14-7AA6-2CC5-D48B-2D05910D0591}"/>
                </a:ext>
              </a:extLst>
            </xdr:cNvPr>
            <xdr:cNvGrpSpPr/>
          </xdr:nvGrpSpPr>
          <xdr:grpSpPr>
            <a:xfrm rot="5400000">
              <a:off x="3103620" y="7220409"/>
              <a:ext cx="240938" cy="657254"/>
              <a:chOff x="8720523" y="7797030"/>
              <a:chExt cx="240717" cy="660478"/>
            </a:xfrm>
          </xdr:grpSpPr>
          <xdr:sp macro="" textlink="AS26">
            <xdr:nvSpPr>
              <xdr:cNvPr id="2082" name="qKL">
                <a:extLst>
                  <a:ext uri="{FF2B5EF4-FFF2-40B4-BE49-F238E27FC236}">
                    <a16:creationId xmlns:a16="http://schemas.microsoft.com/office/drawing/2014/main" id="{49ADDF54-5D59-848D-0C6F-55472519DC81}"/>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A70D39E-4F9C-4039-ADE9-405E2EA52A86}"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KL_Ver">
            <xdr:nvSpPr>
              <xdr:cNvPr id="2083" name="q_KL">
                <a:extLst>
                  <a:ext uri="{FF2B5EF4-FFF2-40B4-BE49-F238E27FC236}">
                    <a16:creationId xmlns:a16="http://schemas.microsoft.com/office/drawing/2014/main" id="{8C8F08FD-9216-75D1-D3F4-AB6BCD6B546B}"/>
                  </a:ext>
                </a:extLst>
              </xdr:cNvPr>
              <xdr:cNvSpPr txBox="1"/>
            </xdr:nvSpPr>
            <xdr:spPr>
              <a:xfrm rot="16200000">
                <a:off x="8485766"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381E1F8-4458-4533-9979-5C9433271833}"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grpSp>
        <xdr:grpSp>
          <xdr:nvGrpSpPr>
            <xdr:cNvPr id="2049" name="Cargas LM">
              <a:extLst>
                <a:ext uri="{FF2B5EF4-FFF2-40B4-BE49-F238E27FC236}">
                  <a16:creationId xmlns:a16="http://schemas.microsoft.com/office/drawing/2014/main" id="{A1DC035B-5BEF-BBB1-73AE-739D7CE36180}"/>
                </a:ext>
              </a:extLst>
            </xdr:cNvPr>
            <xdr:cNvGrpSpPr/>
          </xdr:nvGrpSpPr>
          <xdr:grpSpPr>
            <a:xfrm rot="5400000">
              <a:off x="3312430" y="6858539"/>
              <a:ext cx="561300" cy="1308498"/>
              <a:chOff x="8523476" y="7797030"/>
              <a:chExt cx="559680" cy="1316601"/>
            </a:xfrm>
          </xdr:grpSpPr>
          <xdr:sp macro="" textlink="AS27">
            <xdr:nvSpPr>
              <xdr:cNvPr id="2074" name="qLM">
                <a:extLst>
                  <a:ext uri="{FF2B5EF4-FFF2-40B4-BE49-F238E27FC236}">
                    <a16:creationId xmlns:a16="http://schemas.microsoft.com/office/drawing/2014/main" id="{BC3C5AD5-F494-D703-35A4-411B6052B4C0}"/>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F380F7D-7253-4583-9828-5048E5274F6B}"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LM_Ver">
            <xdr:nvSpPr>
              <xdr:cNvPr id="2075" name="q_LM">
                <a:extLst>
                  <a:ext uri="{FF2B5EF4-FFF2-40B4-BE49-F238E27FC236}">
                    <a16:creationId xmlns:a16="http://schemas.microsoft.com/office/drawing/2014/main" id="{F36F4D19-DAD3-B279-6DFB-DEF2A995CC82}"/>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31D4001-1F36-4A5A-BBAD-F95534749EC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7">
            <xdr:nvSpPr>
              <xdr:cNvPr id="2076" name="MzL">
                <a:extLst>
                  <a:ext uri="{FF2B5EF4-FFF2-40B4-BE49-F238E27FC236}">
                    <a16:creationId xmlns:a16="http://schemas.microsoft.com/office/drawing/2014/main" id="{FE2997ED-C94D-7BB8-52F7-ABD0196117F5}"/>
                  </a:ext>
                </a:extLst>
              </xdr:cNvPr>
              <xdr:cNvSpPr txBox="1"/>
            </xdr:nvSpPr>
            <xdr:spPr>
              <a:xfrm>
                <a:off x="8970544" y="8530405"/>
                <a:ext cx="88537" cy="141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26A32F5-D1C0-40BD-9137-6979847C7537}"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L_Ver">
            <xdr:nvSpPr>
              <xdr:cNvPr id="2077" name="Mz_L">
                <a:extLst>
                  <a:ext uri="{FF2B5EF4-FFF2-40B4-BE49-F238E27FC236}">
                    <a16:creationId xmlns:a16="http://schemas.microsoft.com/office/drawing/2014/main" id="{2A5756B7-5B5C-F57F-8CB6-B0122A435E86}"/>
                  </a:ext>
                </a:extLst>
              </xdr:cNvPr>
              <xdr:cNvSpPr txBox="1"/>
            </xdr:nvSpPr>
            <xdr:spPr>
              <a:xfrm rot="16200000">
                <a:off x="8749513" y="8779988"/>
                <a:ext cx="525969" cy="141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E8D1245-6858-4F22-A39E-9FF9DC956F3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7">
            <xdr:nvSpPr>
              <xdr:cNvPr id="2078" name="FhL">
                <a:extLst>
                  <a:ext uri="{FF2B5EF4-FFF2-40B4-BE49-F238E27FC236}">
                    <a16:creationId xmlns:a16="http://schemas.microsoft.com/office/drawing/2014/main" id="{6EE5AD12-D4ED-8D5D-BB59-39E8D0D57C46}"/>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56C9F00-BEFD-4ADC-88E5-B3B076AEDD71}"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L_Ver">
            <xdr:nvSpPr>
              <xdr:cNvPr id="2079" name="Fh_L">
                <a:extLst>
                  <a:ext uri="{FF2B5EF4-FFF2-40B4-BE49-F238E27FC236}">
                    <a16:creationId xmlns:a16="http://schemas.microsoft.com/office/drawing/2014/main" id="{34599294-6DCB-9711-4965-E4CD39A654EF}"/>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A58FB8D9-FEAF-4F4E-9463-4E44D93C575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7">
            <xdr:nvSpPr>
              <xdr:cNvPr id="2080" name="FvL">
                <a:extLst>
                  <a:ext uri="{FF2B5EF4-FFF2-40B4-BE49-F238E27FC236}">
                    <a16:creationId xmlns:a16="http://schemas.microsoft.com/office/drawing/2014/main" id="{91754CC6-18D6-C6BE-F039-9BCCCC9FD756}"/>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1F43AB7-C44D-4CA0-B4A4-F64161874985}"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L_Ver">
            <xdr:nvSpPr>
              <xdr:cNvPr id="2081" name="Fv_L">
                <a:extLst>
                  <a:ext uri="{FF2B5EF4-FFF2-40B4-BE49-F238E27FC236}">
                    <a16:creationId xmlns:a16="http://schemas.microsoft.com/office/drawing/2014/main" id="{2DC893F5-9C3E-9D55-B2F5-F3488CC5C4F6}"/>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5C76FBD-1F79-4AA9-8DE6-A6FB1E03D44C}"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050" name="Cargas MN">
              <a:extLst>
                <a:ext uri="{FF2B5EF4-FFF2-40B4-BE49-F238E27FC236}">
                  <a16:creationId xmlns:a16="http://schemas.microsoft.com/office/drawing/2014/main" id="{40324F82-C1F8-A8D1-F4AA-BB3961A90825}"/>
                </a:ext>
              </a:extLst>
            </xdr:cNvPr>
            <xdr:cNvGrpSpPr/>
          </xdr:nvGrpSpPr>
          <xdr:grpSpPr>
            <a:xfrm>
              <a:off x="3658777" y="7222793"/>
              <a:ext cx="2082964" cy="565595"/>
              <a:chOff x="3658777" y="7222793"/>
              <a:chExt cx="2082964" cy="565595"/>
            </a:xfrm>
          </xdr:grpSpPr>
          <xdr:sp macro="" textlink="AS28">
            <xdr:nvSpPr>
              <xdr:cNvPr id="2060" name="qMN">
                <a:extLst>
                  <a:ext uri="{FF2B5EF4-FFF2-40B4-BE49-F238E27FC236}">
                    <a16:creationId xmlns:a16="http://schemas.microsoft.com/office/drawing/2014/main" id="{93FF2FCF-7ECA-9DC5-5C45-95EBD906154F}"/>
                  </a:ext>
                </a:extLst>
              </xdr:cNvPr>
              <xdr:cNvSpPr txBox="1"/>
            </xdr:nvSpPr>
            <xdr:spPr>
              <a:xfrm>
                <a:off x="4285527" y="7530394"/>
                <a:ext cx="654770" cy="141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87CEEE-3714-471B-A5D7-29D7F9E3DA9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MN_Ver">
            <xdr:nvSpPr>
              <xdr:cNvPr id="2061" name="q_MN">
                <a:extLst>
                  <a:ext uri="{FF2B5EF4-FFF2-40B4-BE49-F238E27FC236}">
                    <a16:creationId xmlns:a16="http://schemas.microsoft.com/office/drawing/2014/main" id="{B9AD39B8-6317-564A-6120-D75637C7B361}"/>
                  </a:ext>
                </a:extLst>
              </xdr:cNvPr>
              <xdr:cNvSpPr txBox="1"/>
            </xdr:nvSpPr>
            <xdr:spPr>
              <a:xfrm>
                <a:off x="4334598" y="7432117"/>
                <a:ext cx="605696" cy="141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C75CE3A-B64D-4FE1-B7D0-5F32E6590A6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8">
            <xdr:nvSpPr>
              <xdr:cNvPr id="2062" name="MzM">
                <a:extLst>
                  <a:ext uri="{FF2B5EF4-FFF2-40B4-BE49-F238E27FC236}">
                    <a16:creationId xmlns:a16="http://schemas.microsoft.com/office/drawing/2014/main" id="{79DDBBE3-EB27-A89D-7D09-79B069C0E500}"/>
                  </a:ext>
                </a:extLst>
              </xdr:cNvPr>
              <xdr:cNvSpPr txBox="1"/>
            </xdr:nvSpPr>
            <xdr:spPr>
              <a:xfrm>
                <a:off x="4324462" y="7647400"/>
                <a:ext cx="88380" cy="140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02C45D4-FC32-47D0-8A0A-58B7C2C8E44F}"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M_Ver">
            <xdr:nvSpPr>
              <xdr:cNvPr id="2063" name="Mz_M">
                <a:extLst>
                  <a:ext uri="{FF2B5EF4-FFF2-40B4-BE49-F238E27FC236}">
                    <a16:creationId xmlns:a16="http://schemas.microsoft.com/office/drawing/2014/main" id="{C5DED380-93B1-FBFC-43AD-DBFAF901FD0A}"/>
                  </a:ext>
                </a:extLst>
              </xdr:cNvPr>
              <xdr:cNvSpPr txBox="1"/>
            </xdr:nvSpPr>
            <xdr:spPr>
              <a:xfrm>
                <a:off x="4356696" y="7639439"/>
                <a:ext cx="522002" cy="141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2973E1B-B189-4C8F-894F-BD10E7918C4C}"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8">
            <xdr:nvSpPr>
              <xdr:cNvPr id="2064" name="FhM">
                <a:extLst>
                  <a:ext uri="{FF2B5EF4-FFF2-40B4-BE49-F238E27FC236}">
                    <a16:creationId xmlns:a16="http://schemas.microsoft.com/office/drawing/2014/main" id="{99FA7C05-21B5-4E85-D3E3-2E9E6EBC65A3}"/>
                  </a:ext>
                </a:extLst>
              </xdr:cNvPr>
              <xdr:cNvSpPr txBox="1"/>
            </xdr:nvSpPr>
            <xdr:spPr>
              <a:xfrm>
                <a:off x="4168588" y="7239619"/>
                <a:ext cx="197760" cy="140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3055E9E-D0B3-49FA-A34C-C91A13EF0734}"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M_Ver">
            <xdr:nvSpPr>
              <xdr:cNvPr id="2065" name="Fh_M">
                <a:extLst>
                  <a:ext uri="{FF2B5EF4-FFF2-40B4-BE49-F238E27FC236}">
                    <a16:creationId xmlns:a16="http://schemas.microsoft.com/office/drawing/2014/main" id="{CB5025FB-7BAA-0DF7-AA87-FF924A5AA74C}"/>
                  </a:ext>
                </a:extLst>
              </xdr:cNvPr>
              <xdr:cNvSpPr txBox="1"/>
            </xdr:nvSpPr>
            <xdr:spPr>
              <a:xfrm>
                <a:off x="3658777" y="7232633"/>
                <a:ext cx="548456" cy="125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6BF2EFCD-9E60-48A2-9450-4ECA37518971}"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8">
            <xdr:nvSpPr>
              <xdr:cNvPr id="2066" name="FvM">
                <a:extLst>
                  <a:ext uri="{FF2B5EF4-FFF2-40B4-BE49-F238E27FC236}">
                    <a16:creationId xmlns:a16="http://schemas.microsoft.com/office/drawing/2014/main" id="{1AA7A68F-CCC5-6FC7-18C9-7651D3D39D89}"/>
                  </a:ext>
                </a:extLst>
              </xdr:cNvPr>
              <xdr:cNvSpPr txBox="1"/>
            </xdr:nvSpPr>
            <xdr:spPr>
              <a:xfrm>
                <a:off x="4136136" y="7334231"/>
                <a:ext cx="251362" cy="140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EC0D37E-AB83-45A5-820D-A39EE0CD5FD8}"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M_Ver">
            <xdr:nvSpPr>
              <xdr:cNvPr id="2067" name="Fv_M">
                <a:extLst>
                  <a:ext uri="{FF2B5EF4-FFF2-40B4-BE49-F238E27FC236}">
                    <a16:creationId xmlns:a16="http://schemas.microsoft.com/office/drawing/2014/main" id="{23054A6A-5DB8-0061-1169-AE5E31417086}"/>
                  </a:ext>
                </a:extLst>
              </xdr:cNvPr>
              <xdr:cNvSpPr txBox="1"/>
            </xdr:nvSpPr>
            <xdr:spPr>
              <a:xfrm>
                <a:off x="3748501" y="7343725"/>
                <a:ext cx="457419" cy="126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E8FF13EB-0A24-46FF-AF13-73586002FD51}"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sp macro="" textlink="$AP$29">
            <xdr:nvSpPr>
              <xdr:cNvPr id="2068" name="MzN">
                <a:extLst>
                  <a:ext uri="{FF2B5EF4-FFF2-40B4-BE49-F238E27FC236}">
                    <a16:creationId xmlns:a16="http://schemas.microsoft.com/office/drawing/2014/main" id="{2BFD58EC-44D5-C19F-A828-D9F2EF9C5339}"/>
                  </a:ext>
                </a:extLst>
              </xdr:cNvPr>
              <xdr:cNvSpPr txBox="1"/>
            </xdr:nvSpPr>
            <xdr:spPr>
              <a:xfrm>
                <a:off x="5105960" y="7597303"/>
                <a:ext cx="88447" cy="14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32610BC-A3A3-4CCA-9D76-BED97BF3FA54}"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N_Ver">
            <xdr:nvSpPr>
              <xdr:cNvPr id="2069" name="Mz_N">
                <a:extLst>
                  <a:ext uri="{FF2B5EF4-FFF2-40B4-BE49-F238E27FC236}">
                    <a16:creationId xmlns:a16="http://schemas.microsoft.com/office/drawing/2014/main" id="{580A628A-A84A-8A56-680D-4FAA9B4FB7B5}"/>
                  </a:ext>
                </a:extLst>
              </xdr:cNvPr>
              <xdr:cNvSpPr txBox="1"/>
            </xdr:nvSpPr>
            <xdr:spPr>
              <a:xfrm>
                <a:off x="5216547" y="7590811"/>
                <a:ext cx="525194" cy="140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319484A-F446-4ACF-B725-7800B1314F65}"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9">
            <xdr:nvSpPr>
              <xdr:cNvPr id="2070" name="FhN">
                <a:extLst>
                  <a:ext uri="{FF2B5EF4-FFF2-40B4-BE49-F238E27FC236}">
                    <a16:creationId xmlns:a16="http://schemas.microsoft.com/office/drawing/2014/main" id="{C0BED51D-A8B5-65AA-38A1-6A32718112D3}"/>
                  </a:ext>
                </a:extLst>
              </xdr:cNvPr>
              <xdr:cNvSpPr txBox="1"/>
            </xdr:nvSpPr>
            <xdr:spPr>
              <a:xfrm>
                <a:off x="4853008" y="7229768"/>
                <a:ext cx="197912" cy="140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73DBAFD-0A46-4335-A7C3-3A49CC69437E}"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N_Ver">
            <xdr:nvSpPr>
              <xdr:cNvPr id="2071" name="Fh_N">
                <a:extLst>
                  <a:ext uri="{FF2B5EF4-FFF2-40B4-BE49-F238E27FC236}">
                    <a16:creationId xmlns:a16="http://schemas.microsoft.com/office/drawing/2014/main" id="{6E653C04-CBB1-78DD-A1AF-645306392F65}"/>
                  </a:ext>
                </a:extLst>
              </xdr:cNvPr>
              <xdr:cNvSpPr txBox="1"/>
            </xdr:nvSpPr>
            <xdr:spPr>
              <a:xfrm>
                <a:off x="4342808" y="7222793"/>
                <a:ext cx="548875" cy="125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D3B0745-CFEA-4692-97DD-2E559DE0327D}"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9">
            <xdr:nvSpPr>
              <xdr:cNvPr id="2072" name="FvN">
                <a:extLst>
                  <a:ext uri="{FF2B5EF4-FFF2-40B4-BE49-F238E27FC236}">
                    <a16:creationId xmlns:a16="http://schemas.microsoft.com/office/drawing/2014/main" id="{FFCAF172-7FA8-8CAC-809F-5F49971F9186}"/>
                  </a:ext>
                </a:extLst>
              </xdr:cNvPr>
              <xdr:cNvSpPr txBox="1"/>
            </xdr:nvSpPr>
            <xdr:spPr>
              <a:xfrm>
                <a:off x="4820531" y="7324234"/>
                <a:ext cx="251554" cy="140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4B6E298-37C4-4CA9-AFB5-5F49318645AB}"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N_Ver">
            <xdr:nvSpPr>
              <xdr:cNvPr id="2073" name="Fv_N">
                <a:extLst>
                  <a:ext uri="{FF2B5EF4-FFF2-40B4-BE49-F238E27FC236}">
                    <a16:creationId xmlns:a16="http://schemas.microsoft.com/office/drawing/2014/main" id="{5E9A178C-ED92-8483-EC22-6DAE23B211B3}"/>
                  </a:ext>
                </a:extLst>
              </xdr:cNvPr>
              <xdr:cNvSpPr txBox="1"/>
            </xdr:nvSpPr>
            <xdr:spPr>
              <a:xfrm>
                <a:off x="4432600" y="7333713"/>
                <a:ext cx="457768" cy="125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FC53ABC-44E8-49BC-9E81-8A9CB3D86355}"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051" name="Cargas MO">
              <a:extLst>
                <a:ext uri="{FF2B5EF4-FFF2-40B4-BE49-F238E27FC236}">
                  <a16:creationId xmlns:a16="http://schemas.microsoft.com/office/drawing/2014/main" id="{7B7C8FAE-36CF-01DE-F06C-DDC3BDB59400}"/>
                </a:ext>
              </a:extLst>
            </xdr:cNvPr>
            <xdr:cNvGrpSpPr/>
          </xdr:nvGrpSpPr>
          <xdr:grpSpPr>
            <a:xfrm>
              <a:off x="3862905" y="7689469"/>
              <a:ext cx="1080867" cy="961617"/>
              <a:chOff x="8551199" y="7797030"/>
              <a:chExt cx="1084444" cy="965611"/>
            </a:xfrm>
          </xdr:grpSpPr>
          <xdr:sp macro="" textlink="AS29">
            <xdr:nvSpPr>
              <xdr:cNvPr id="2052" name="qMO">
                <a:extLst>
                  <a:ext uri="{FF2B5EF4-FFF2-40B4-BE49-F238E27FC236}">
                    <a16:creationId xmlns:a16="http://schemas.microsoft.com/office/drawing/2014/main" id="{B44DBF66-69FF-6F46-01EA-7CB2A176FC0C}"/>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E2EBB96-4CB5-4D6D-A76A-11658466F42F}"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MO_Ver">
            <xdr:nvSpPr>
              <xdr:cNvPr id="2053" name="q_MO">
                <a:extLst>
                  <a:ext uri="{FF2B5EF4-FFF2-40B4-BE49-F238E27FC236}">
                    <a16:creationId xmlns:a16="http://schemas.microsoft.com/office/drawing/2014/main" id="{87B32685-0295-8018-23D6-7F35AA1AB7D7}"/>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7377C93-E7B7-4C52-908D-C4093FACD51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30">
            <xdr:nvSpPr>
              <xdr:cNvPr id="2054" name="MzO">
                <a:extLst>
                  <a:ext uri="{FF2B5EF4-FFF2-40B4-BE49-F238E27FC236}">
                    <a16:creationId xmlns:a16="http://schemas.microsoft.com/office/drawing/2014/main" id="{91FFE301-FB7A-F9A7-6B00-2052F7051AF3}"/>
                  </a:ext>
                </a:extLst>
              </xdr:cNvPr>
              <xdr:cNvSpPr txBox="1"/>
            </xdr:nvSpPr>
            <xdr:spPr>
              <a:xfrm>
                <a:off x="9005676" y="8447719"/>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5D49496-A385-4982-A938-88D3BBF4D491}"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O_Ver">
            <xdr:nvSpPr>
              <xdr:cNvPr id="2055" name="Mz_O">
                <a:extLst>
                  <a:ext uri="{FF2B5EF4-FFF2-40B4-BE49-F238E27FC236}">
                    <a16:creationId xmlns:a16="http://schemas.microsoft.com/office/drawing/2014/main" id="{B3F3BA01-1204-9603-BA0D-0F036C034BB6}"/>
                  </a:ext>
                </a:extLst>
              </xdr:cNvPr>
              <xdr:cNvSpPr txBox="1"/>
            </xdr:nvSpPr>
            <xdr:spPr>
              <a:xfrm>
                <a:off x="9112300" y="8444149"/>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C5E0CC2-CD71-42DA-B001-2609ED9D7E2E}"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30">
            <xdr:nvSpPr>
              <xdr:cNvPr id="2056" name="FhO">
                <a:extLst>
                  <a:ext uri="{FF2B5EF4-FFF2-40B4-BE49-F238E27FC236}">
                    <a16:creationId xmlns:a16="http://schemas.microsoft.com/office/drawing/2014/main" id="{04A2AA91-73B4-7436-F5D8-D8573DDD4F10}"/>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FA1BF3-E53D-4173-8D2D-F7C6D86AD4B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O_Ver">
            <xdr:nvSpPr>
              <xdr:cNvPr id="2057" name="Fh_O">
                <a:extLst>
                  <a:ext uri="{FF2B5EF4-FFF2-40B4-BE49-F238E27FC236}">
                    <a16:creationId xmlns:a16="http://schemas.microsoft.com/office/drawing/2014/main" id="{E33B23C5-2EF1-D23A-BDCA-567D4F9DC960}"/>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08DAA69-A8B3-4482-BAB7-7FD432377AB9}"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30">
            <xdr:nvSpPr>
              <xdr:cNvPr id="2058" name="FvO">
                <a:extLst>
                  <a:ext uri="{FF2B5EF4-FFF2-40B4-BE49-F238E27FC236}">
                    <a16:creationId xmlns:a16="http://schemas.microsoft.com/office/drawing/2014/main" id="{91DE21D0-C38A-AB62-C482-5D1971A3F332}"/>
                  </a:ext>
                </a:extLst>
              </xdr:cNvPr>
              <xdr:cNvSpPr txBox="1"/>
            </xdr:nvSpPr>
            <xdr:spPr>
              <a:xfrm>
                <a:off x="8828170" y="8526374"/>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9ADC053-6E5B-46EF-9238-E3DD7CAA810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O_Ver">
            <xdr:nvSpPr>
              <xdr:cNvPr id="2059" name="Fv_O">
                <a:extLst>
                  <a:ext uri="{FF2B5EF4-FFF2-40B4-BE49-F238E27FC236}">
                    <a16:creationId xmlns:a16="http://schemas.microsoft.com/office/drawing/2014/main" id="{B46D4B36-95B3-549D-1D28-D83D8EF3AA3E}"/>
                  </a:ext>
                </a:extLst>
              </xdr:cNvPr>
              <xdr:cNvSpPr txBox="1"/>
            </xdr:nvSpPr>
            <xdr:spPr>
              <a:xfrm>
                <a:off x="9004063" y="8538370"/>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80D4BED-91F2-43AC-A28B-DC9EC1DC2884}"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grpSp>
        <xdr:nvGrpSpPr>
          <xdr:cNvPr id="2022" name="Angulo Alfa">
            <a:extLst>
              <a:ext uri="{FF2B5EF4-FFF2-40B4-BE49-F238E27FC236}">
                <a16:creationId xmlns:a16="http://schemas.microsoft.com/office/drawing/2014/main" id="{C1BFDC79-859F-56E8-4046-0076F55BF4C1}"/>
              </a:ext>
            </a:extLst>
          </xdr:cNvPr>
          <xdr:cNvGrpSpPr/>
        </xdr:nvGrpSpPr>
        <xdr:grpSpPr>
          <a:xfrm>
            <a:off x="860678" y="6741781"/>
            <a:ext cx="451560" cy="265974"/>
            <a:chOff x="862489" y="6727450"/>
            <a:chExt cx="450250" cy="264977"/>
          </a:xfrm>
        </xdr:grpSpPr>
        <xdr:sp macro="" textlink="$Y$30">
          <xdr:nvSpPr>
            <xdr:cNvPr id="2035" name="Angulo">
              <a:extLst>
                <a:ext uri="{FF2B5EF4-FFF2-40B4-BE49-F238E27FC236}">
                  <a16:creationId xmlns:a16="http://schemas.microsoft.com/office/drawing/2014/main" id="{078DB169-4DDD-AFB2-85D7-ABB53C9E3972}"/>
                </a:ext>
              </a:extLst>
            </xdr:cNvPr>
            <xdr:cNvSpPr txBox="1"/>
          </xdr:nvSpPr>
          <xdr:spPr>
            <a:xfrm>
              <a:off x="862489" y="6727450"/>
              <a:ext cx="450250" cy="26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210AAF03-5701-40A2-A5B8-6B8238FFACD3}" type="TxLink">
                <a:rPr lang="en-US" sz="2000" b="1" i="0" u="none" strike="noStrike">
                  <a:solidFill>
                    <a:srgbClr val="FF0000"/>
                  </a:solidFill>
                  <a:latin typeface="Calibri"/>
                  <a:ea typeface="Calibri"/>
                  <a:cs typeface="Calibri"/>
                </a:rPr>
                <a:pPr algn="l"/>
                <a:t> </a:t>
              </a:fld>
              <a:endParaRPr lang="es-ES" sz="1400" b="1">
                <a:solidFill>
                  <a:srgbClr val="0070C0"/>
                </a:solidFill>
              </a:endParaRPr>
            </a:p>
          </xdr:txBody>
        </xdr:sp>
        <xdr:sp macro="" textlink="$Z$30">
          <xdr:nvSpPr>
            <xdr:cNvPr id="2036" name="alfa">
              <a:extLst>
                <a:ext uri="{FF2B5EF4-FFF2-40B4-BE49-F238E27FC236}">
                  <a16:creationId xmlns:a16="http://schemas.microsoft.com/office/drawing/2014/main" id="{2A933C58-66F1-95EC-FDC8-E1E3A1138ABD}"/>
                </a:ext>
              </a:extLst>
            </xdr:cNvPr>
            <xdr:cNvSpPr txBox="1"/>
          </xdr:nvSpPr>
          <xdr:spPr>
            <a:xfrm>
              <a:off x="1036287" y="6749862"/>
              <a:ext cx="267133" cy="134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C9BDEA95-A4A8-4FFB-903D-9EB8563E233E}" type="TxLink">
                <a:rPr lang="el-GR" sz="12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023" name="ARTICULACIONES">
            <a:extLst>
              <a:ext uri="{FF2B5EF4-FFF2-40B4-BE49-F238E27FC236}">
                <a16:creationId xmlns:a16="http://schemas.microsoft.com/office/drawing/2014/main" id="{0FF278A2-D320-D249-C7AA-32F3A9D12AEA}"/>
              </a:ext>
            </a:extLst>
          </xdr:cNvPr>
          <xdr:cNvGrpSpPr/>
        </xdr:nvGrpSpPr>
        <xdr:grpSpPr>
          <a:xfrm>
            <a:off x="753821" y="6170130"/>
            <a:ext cx="3569463" cy="1568163"/>
            <a:chOff x="749415" y="6163234"/>
            <a:chExt cx="3563526" cy="1586696"/>
          </a:xfrm>
        </xdr:grpSpPr>
        <xdr:sp macro="" textlink="$AG$16">
          <xdr:nvSpPr>
            <xdr:cNvPr id="2024" name="Art B">
              <a:extLst>
                <a:ext uri="{FF2B5EF4-FFF2-40B4-BE49-F238E27FC236}">
                  <a16:creationId xmlns:a16="http://schemas.microsoft.com/office/drawing/2014/main" id="{77712425-4FBB-0EFE-5138-637516C7925D}"/>
                </a:ext>
              </a:extLst>
            </xdr:cNvPr>
            <xdr:cNvSpPr txBox="1"/>
          </xdr:nvSpPr>
          <xdr:spPr>
            <a:xfrm>
              <a:off x="753495" y="7563966"/>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5261C836-5578-410E-97DF-33A7480B7FE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17">
          <xdr:nvSpPr>
            <xdr:cNvPr id="2025" name="Art C">
              <a:extLst>
                <a:ext uri="{FF2B5EF4-FFF2-40B4-BE49-F238E27FC236}">
                  <a16:creationId xmlns:a16="http://schemas.microsoft.com/office/drawing/2014/main" id="{5A940864-66CC-0850-4B51-6BD7D89F07B0}"/>
                </a:ext>
              </a:extLst>
            </xdr:cNvPr>
            <xdr:cNvSpPr txBox="1"/>
          </xdr:nvSpPr>
          <xdr:spPr>
            <a:xfrm>
              <a:off x="749415" y="6884181"/>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F1D0E98-0684-4855-AF8C-4CB59ED771C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18">
          <xdr:nvSpPr>
            <xdr:cNvPr id="2026" name="Art D">
              <a:extLst>
                <a:ext uri="{FF2B5EF4-FFF2-40B4-BE49-F238E27FC236}">
                  <a16:creationId xmlns:a16="http://schemas.microsoft.com/office/drawing/2014/main" id="{5DCC1645-A8A2-73A3-F65F-4DFA444B41A5}"/>
                </a:ext>
              </a:extLst>
            </xdr:cNvPr>
            <xdr:cNvSpPr txBox="1"/>
          </xdr:nvSpPr>
          <xdr:spPr>
            <a:xfrm>
              <a:off x="755281" y="6169577"/>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A1FB3DC2-34AD-4057-9440-10810AEC74AE}"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0">
          <xdr:nvSpPr>
            <xdr:cNvPr id="2027" name="Art E">
              <a:extLst>
                <a:ext uri="{FF2B5EF4-FFF2-40B4-BE49-F238E27FC236}">
                  <a16:creationId xmlns:a16="http://schemas.microsoft.com/office/drawing/2014/main" id="{EBBF7007-FDB4-6C18-5D36-1D3646AD302E}"/>
                </a:ext>
              </a:extLst>
            </xdr:cNvPr>
            <xdr:cNvSpPr txBox="1"/>
          </xdr:nvSpPr>
          <xdr:spPr>
            <a:xfrm>
              <a:off x="1465341" y="616323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C08764A-A674-48BC-B14C-7D1E34BECA60}"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1">
          <xdr:nvSpPr>
            <xdr:cNvPr id="2028" name="Art F">
              <a:extLst>
                <a:ext uri="{FF2B5EF4-FFF2-40B4-BE49-F238E27FC236}">
                  <a16:creationId xmlns:a16="http://schemas.microsoft.com/office/drawing/2014/main" id="{BE71AC3A-B476-89C4-56D6-8B59E0F2BA0C}"/>
                </a:ext>
              </a:extLst>
            </xdr:cNvPr>
            <xdr:cNvSpPr txBox="1"/>
          </xdr:nvSpPr>
          <xdr:spPr>
            <a:xfrm>
              <a:off x="2122486" y="616616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57B6657-2CC1-441C-B588-3ED29E92F58C}"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2">
          <xdr:nvSpPr>
            <xdr:cNvPr id="2029" name="Art G">
              <a:extLst>
                <a:ext uri="{FF2B5EF4-FFF2-40B4-BE49-F238E27FC236}">
                  <a16:creationId xmlns:a16="http://schemas.microsoft.com/office/drawing/2014/main" id="{896CAC81-EC9A-1F97-59E6-A38B4DC267A2}"/>
                </a:ext>
              </a:extLst>
            </xdr:cNvPr>
            <xdr:cNvSpPr txBox="1"/>
          </xdr:nvSpPr>
          <xdr:spPr>
            <a:xfrm>
              <a:off x="2844754" y="6169248"/>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1CD3132-A964-42F1-B6A6-FAF91695822E}"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3">
          <xdr:nvSpPr>
            <xdr:cNvPr id="2030" name="Art H">
              <a:extLst>
                <a:ext uri="{FF2B5EF4-FFF2-40B4-BE49-F238E27FC236}">
                  <a16:creationId xmlns:a16="http://schemas.microsoft.com/office/drawing/2014/main" id="{E1F25F2D-14DA-735D-34F9-5C6CFF6DBDD7}"/>
                </a:ext>
              </a:extLst>
            </xdr:cNvPr>
            <xdr:cNvSpPr txBox="1"/>
          </xdr:nvSpPr>
          <xdr:spPr>
            <a:xfrm>
              <a:off x="3534467" y="616858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E167C35-7AE0-4A7A-BE56-FFDF78EA021C}"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5">
          <xdr:nvSpPr>
            <xdr:cNvPr id="2031" name="Art J">
              <a:extLst>
                <a:ext uri="{FF2B5EF4-FFF2-40B4-BE49-F238E27FC236}">
                  <a16:creationId xmlns:a16="http://schemas.microsoft.com/office/drawing/2014/main" id="{69F0DBAF-410C-D817-E030-6367E502622B}"/>
                </a:ext>
              </a:extLst>
            </xdr:cNvPr>
            <xdr:cNvSpPr txBox="1"/>
          </xdr:nvSpPr>
          <xdr:spPr>
            <a:xfrm>
              <a:off x="2844268" y="690713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734AA95-2095-4FAA-A3D0-C73B1DB4252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6">
          <xdr:nvSpPr>
            <xdr:cNvPr id="2032" name="Art K">
              <a:extLst>
                <a:ext uri="{FF2B5EF4-FFF2-40B4-BE49-F238E27FC236}">
                  <a16:creationId xmlns:a16="http://schemas.microsoft.com/office/drawing/2014/main" id="{CE5377F5-CD58-4FE4-4E44-DE515A85D3EC}"/>
                </a:ext>
              </a:extLst>
            </xdr:cNvPr>
            <xdr:cNvSpPr txBox="1"/>
          </xdr:nvSpPr>
          <xdr:spPr>
            <a:xfrm>
              <a:off x="2854199" y="758463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70C1C4B-2892-4F2C-AA26-510BD5923892}"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7">
          <xdr:nvSpPr>
            <xdr:cNvPr id="2033" name="Art L">
              <a:extLst>
                <a:ext uri="{FF2B5EF4-FFF2-40B4-BE49-F238E27FC236}">
                  <a16:creationId xmlns:a16="http://schemas.microsoft.com/office/drawing/2014/main" id="{292C80F9-D1E4-1EEA-0E01-4FB960ECA700}"/>
                </a:ext>
              </a:extLst>
            </xdr:cNvPr>
            <xdr:cNvSpPr txBox="1"/>
          </xdr:nvSpPr>
          <xdr:spPr>
            <a:xfrm>
              <a:off x="3511345" y="7590488"/>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D560F498-F0C5-4A06-97E6-C437BBB5B32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8">
          <xdr:nvSpPr>
            <xdr:cNvPr id="2034" name="Art M">
              <a:extLst>
                <a:ext uri="{FF2B5EF4-FFF2-40B4-BE49-F238E27FC236}">
                  <a16:creationId xmlns:a16="http://schemas.microsoft.com/office/drawing/2014/main" id="{E3DBB9FD-4142-D1D2-5A20-956174AEA4EA}"/>
                </a:ext>
              </a:extLst>
            </xdr:cNvPr>
            <xdr:cNvSpPr txBox="1"/>
          </xdr:nvSpPr>
          <xdr:spPr>
            <a:xfrm>
              <a:off x="4229550" y="759227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D3C7B47-106A-441D-A9AE-7CF103E31916}"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clientData/>
  </xdr:twoCellAnchor>
  <xdr:twoCellAnchor>
    <xdr:from>
      <xdr:col>1</xdr:col>
      <xdr:colOff>113732</xdr:colOff>
      <xdr:row>87</xdr:row>
      <xdr:rowOff>259055</xdr:rowOff>
    </xdr:from>
    <xdr:to>
      <xdr:col>19</xdr:col>
      <xdr:colOff>173901</xdr:colOff>
      <xdr:row>87</xdr:row>
      <xdr:rowOff>3456542</xdr:rowOff>
    </xdr:to>
    <xdr:grpSp>
      <xdr:nvGrpSpPr>
        <xdr:cNvPr id="2490" name="TODO Flectores">
          <a:extLst>
            <a:ext uri="{FF2B5EF4-FFF2-40B4-BE49-F238E27FC236}">
              <a16:creationId xmlns:a16="http://schemas.microsoft.com/office/drawing/2014/main" id="{BAFB49E1-2F51-4B86-8560-CF1F32726F26}"/>
            </a:ext>
          </a:extLst>
        </xdr:cNvPr>
        <xdr:cNvGrpSpPr/>
      </xdr:nvGrpSpPr>
      <xdr:grpSpPr>
        <a:xfrm>
          <a:off x="232265" y="33791288"/>
          <a:ext cx="6050336" cy="3197487"/>
          <a:chOff x="96785" y="5591092"/>
          <a:chExt cx="6031161" cy="3254018"/>
        </a:xfrm>
      </xdr:grpSpPr>
      <xdr:grpSp>
        <xdr:nvGrpSpPr>
          <xdr:cNvPr id="2491" name="APOYOS">
            <a:extLst>
              <a:ext uri="{FF2B5EF4-FFF2-40B4-BE49-F238E27FC236}">
                <a16:creationId xmlns:a16="http://schemas.microsoft.com/office/drawing/2014/main" id="{7D72E4BF-04BA-5803-683A-0D231D8D312E}"/>
              </a:ext>
            </a:extLst>
          </xdr:cNvPr>
          <xdr:cNvGrpSpPr/>
        </xdr:nvGrpSpPr>
        <xdr:grpSpPr>
          <a:xfrm>
            <a:off x="347090" y="5779996"/>
            <a:ext cx="5780856" cy="3065114"/>
            <a:chOff x="349338" y="4548554"/>
            <a:chExt cx="5769648" cy="3075598"/>
          </a:xfrm>
        </xdr:grpSpPr>
        <xdr:grpSp>
          <xdr:nvGrpSpPr>
            <xdr:cNvPr id="2767" name="NUDO A">
              <a:extLst>
                <a:ext uri="{FF2B5EF4-FFF2-40B4-BE49-F238E27FC236}">
                  <a16:creationId xmlns:a16="http://schemas.microsoft.com/office/drawing/2014/main" id="{9BFC5E06-6366-C6CA-688A-DB2AE9711CFF}"/>
                </a:ext>
              </a:extLst>
            </xdr:cNvPr>
            <xdr:cNvGrpSpPr/>
          </xdr:nvGrpSpPr>
          <xdr:grpSpPr>
            <a:xfrm>
              <a:off x="568572" y="7016147"/>
              <a:ext cx="1562246" cy="595023"/>
              <a:chOff x="568155" y="7013335"/>
              <a:chExt cx="1564224" cy="593169"/>
            </a:xfrm>
          </xdr:grpSpPr>
          <xdr:grpSp>
            <xdr:nvGrpSpPr>
              <xdr:cNvPr id="2950" name="R A">
                <a:extLst>
                  <a:ext uri="{FF2B5EF4-FFF2-40B4-BE49-F238E27FC236}">
                    <a16:creationId xmlns:a16="http://schemas.microsoft.com/office/drawing/2014/main" id="{133A8680-63CF-B4B6-5F2E-7DD4F5A87324}"/>
                  </a:ext>
                </a:extLst>
              </xdr:cNvPr>
              <xdr:cNvGrpSpPr/>
            </xdr:nvGrpSpPr>
            <xdr:grpSpPr>
              <a:xfrm>
                <a:off x="722760" y="7089678"/>
                <a:ext cx="1409619" cy="516826"/>
                <a:chOff x="722590" y="7077320"/>
                <a:chExt cx="1408598" cy="515408"/>
              </a:xfrm>
            </xdr:grpSpPr>
            <xdr:sp macro="" textlink="RFv_A_Ver">
              <xdr:nvSpPr>
                <xdr:cNvPr id="2959" name="RvA">
                  <a:extLst>
                    <a:ext uri="{FF2B5EF4-FFF2-40B4-BE49-F238E27FC236}">
                      <a16:creationId xmlns:a16="http://schemas.microsoft.com/office/drawing/2014/main" id="{0B7FB20E-EC45-93B2-F3A2-4DDB8E0B2688}"/>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E8B313C-E1BA-4718-894F-AB4F756A8571}"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A_Ver">
              <xdr:nvSpPr>
                <xdr:cNvPr id="2960" name="RhA">
                  <a:extLst>
                    <a:ext uri="{FF2B5EF4-FFF2-40B4-BE49-F238E27FC236}">
                      <a16:creationId xmlns:a16="http://schemas.microsoft.com/office/drawing/2014/main" id="{D22880FE-C182-E092-108C-20654F77015E}"/>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E3F3689-0B76-460C-BFE1-2F300B3EC73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A_Ver">
              <xdr:nvSpPr>
                <xdr:cNvPr id="2961" name="RM_A">
                  <a:extLst>
                    <a:ext uri="{FF2B5EF4-FFF2-40B4-BE49-F238E27FC236}">
                      <a16:creationId xmlns:a16="http://schemas.microsoft.com/office/drawing/2014/main" id="{C0F57D7C-4565-D0E9-EFBD-B6177DD48E76}"/>
                    </a:ext>
                  </a:extLst>
                </xdr:cNvPr>
                <xdr:cNvSpPr txBox="1"/>
              </xdr:nvSpPr>
              <xdr:spPr>
                <a:xfrm>
                  <a:off x="737776" y="7290331"/>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DD19867-7E7E-432C-9708-481E1639696B}"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951" name="Apoyo A">
                <a:extLst>
                  <a:ext uri="{FF2B5EF4-FFF2-40B4-BE49-F238E27FC236}">
                    <a16:creationId xmlns:a16="http://schemas.microsoft.com/office/drawing/2014/main" id="{B76C91E8-AFE0-303D-8F54-BA87F20F246F}"/>
                  </a:ext>
                </a:extLst>
              </xdr:cNvPr>
              <xdr:cNvGrpSpPr/>
            </xdr:nvGrpSpPr>
            <xdr:grpSpPr>
              <a:xfrm>
                <a:off x="568155" y="7013335"/>
                <a:ext cx="471080" cy="441264"/>
                <a:chOff x="10283801" y="8286200"/>
                <a:chExt cx="470180" cy="441889"/>
              </a:xfrm>
            </xdr:grpSpPr>
            <xdr:grpSp>
              <xdr:nvGrpSpPr>
                <xdr:cNvPr id="2952" name="Apoyo Móvil A">
                  <a:extLst>
                    <a:ext uri="{FF2B5EF4-FFF2-40B4-BE49-F238E27FC236}">
                      <a16:creationId xmlns:a16="http://schemas.microsoft.com/office/drawing/2014/main" id="{66B11EF9-0883-B70C-672C-523D54D586B6}"/>
                    </a:ext>
                  </a:extLst>
                </xdr:cNvPr>
                <xdr:cNvGrpSpPr/>
              </xdr:nvGrpSpPr>
              <xdr:grpSpPr>
                <a:xfrm>
                  <a:off x="10284164" y="8440721"/>
                  <a:ext cx="469817" cy="287368"/>
                  <a:chOff x="10284164" y="8440721"/>
                  <a:chExt cx="469817" cy="287368"/>
                </a:xfrm>
              </xdr:grpSpPr>
              <xdr:sp macro="" textlink="$AF$15">
                <xdr:nvSpPr>
                  <xdr:cNvPr id="2957" name="Suelo A">
                    <a:extLst>
                      <a:ext uri="{FF2B5EF4-FFF2-40B4-BE49-F238E27FC236}">
                        <a16:creationId xmlns:a16="http://schemas.microsoft.com/office/drawing/2014/main" id="{C1EF9414-618B-716F-FE9B-611D6081F9EE}"/>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8459142-F2CC-44E0-9A8B-4344B1323B2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5">
                <xdr:nvSpPr>
                  <xdr:cNvPr id="2958" name="Ruedas A">
                    <a:extLst>
                      <a:ext uri="{FF2B5EF4-FFF2-40B4-BE49-F238E27FC236}">
                        <a16:creationId xmlns:a16="http://schemas.microsoft.com/office/drawing/2014/main" id="{7A0B4D32-BBFF-94D1-F559-9CFDAAB31C99}"/>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83326684-44B3-4F23-A21C-E295C3934E4C}"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953" name="Apoyo FIjo A">
                  <a:extLst>
                    <a:ext uri="{FF2B5EF4-FFF2-40B4-BE49-F238E27FC236}">
                      <a16:creationId xmlns:a16="http://schemas.microsoft.com/office/drawing/2014/main" id="{15243F85-E316-72DE-3701-0ED1D38FC32C}"/>
                    </a:ext>
                  </a:extLst>
                </xdr:cNvPr>
                <xdr:cNvGrpSpPr/>
              </xdr:nvGrpSpPr>
              <xdr:grpSpPr>
                <a:xfrm>
                  <a:off x="10283857" y="8311526"/>
                  <a:ext cx="469817" cy="355491"/>
                  <a:chOff x="10283423" y="8314710"/>
                  <a:chExt cx="469817" cy="355491"/>
                </a:xfrm>
              </xdr:grpSpPr>
              <xdr:sp macro="" textlink="$AD$15">
                <xdr:nvSpPr>
                  <xdr:cNvPr id="2955" name="Suelo A">
                    <a:extLst>
                      <a:ext uri="{FF2B5EF4-FFF2-40B4-BE49-F238E27FC236}">
                        <a16:creationId xmlns:a16="http://schemas.microsoft.com/office/drawing/2014/main" id="{10551661-EC35-34F3-13A4-46163CFF054D}"/>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DCBF4EB-7F5B-4E92-8186-F991F436F90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5">
                <xdr:nvSpPr>
                  <xdr:cNvPr id="2956" name="Triángulo A">
                    <a:extLst>
                      <a:ext uri="{FF2B5EF4-FFF2-40B4-BE49-F238E27FC236}">
                        <a16:creationId xmlns:a16="http://schemas.microsoft.com/office/drawing/2014/main" id="{8D410044-9D61-DC0E-C6CB-2CBBA7B42A01}"/>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139FEE-B908-4500-8039-70BB201F70DC}"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5">
              <xdr:nvSpPr>
                <xdr:cNvPr id="2954" name="Empotramiento A">
                  <a:extLst>
                    <a:ext uri="{FF2B5EF4-FFF2-40B4-BE49-F238E27FC236}">
                      <a16:creationId xmlns:a16="http://schemas.microsoft.com/office/drawing/2014/main" id="{08664AB1-59A4-16B8-77CE-D1BDE6A34FD9}"/>
                    </a:ext>
                  </a:extLst>
                </xdr:cNvPr>
                <xdr:cNvSpPr txBox="1"/>
              </xdr:nvSpPr>
              <xdr:spPr>
                <a:xfrm rot="10800000">
                  <a:off x="10283801" y="828620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F137D06-4B0A-45D1-ABFC-6933B36904D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68" name="NUDO B">
              <a:extLst>
                <a:ext uri="{FF2B5EF4-FFF2-40B4-BE49-F238E27FC236}">
                  <a16:creationId xmlns:a16="http://schemas.microsoft.com/office/drawing/2014/main" id="{D118283D-E935-B968-1843-72C65FEF030B}"/>
                </a:ext>
              </a:extLst>
            </xdr:cNvPr>
            <xdr:cNvGrpSpPr/>
          </xdr:nvGrpSpPr>
          <xdr:grpSpPr>
            <a:xfrm>
              <a:off x="567921" y="6323276"/>
              <a:ext cx="1534903" cy="622354"/>
              <a:chOff x="567504" y="6322937"/>
              <a:chExt cx="1536881" cy="619881"/>
            </a:xfrm>
          </xdr:grpSpPr>
          <xdr:grpSp>
            <xdr:nvGrpSpPr>
              <xdr:cNvPr id="2938" name="R B">
                <a:extLst>
                  <a:ext uri="{FF2B5EF4-FFF2-40B4-BE49-F238E27FC236}">
                    <a16:creationId xmlns:a16="http://schemas.microsoft.com/office/drawing/2014/main" id="{2028B39F-316C-87C8-629F-E66ED625B8D2}"/>
                  </a:ext>
                </a:extLst>
              </xdr:cNvPr>
              <xdr:cNvGrpSpPr/>
            </xdr:nvGrpSpPr>
            <xdr:grpSpPr>
              <a:xfrm>
                <a:off x="694766" y="6425284"/>
                <a:ext cx="1409619" cy="517534"/>
                <a:chOff x="722590" y="7077320"/>
                <a:chExt cx="1408598" cy="515408"/>
              </a:xfrm>
            </xdr:grpSpPr>
            <xdr:sp macro="" textlink="RFv_B_Ver">
              <xdr:nvSpPr>
                <xdr:cNvPr id="2947" name="RvB">
                  <a:extLst>
                    <a:ext uri="{FF2B5EF4-FFF2-40B4-BE49-F238E27FC236}">
                      <a16:creationId xmlns:a16="http://schemas.microsoft.com/office/drawing/2014/main" id="{C7777932-B261-CA7E-D7CA-86228B5DA33D}"/>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3DDF417-A6B9-4E31-A537-E8F30956D47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B_Ver">
              <xdr:nvSpPr>
                <xdr:cNvPr id="2948" name="RhB">
                  <a:extLst>
                    <a:ext uri="{FF2B5EF4-FFF2-40B4-BE49-F238E27FC236}">
                      <a16:creationId xmlns:a16="http://schemas.microsoft.com/office/drawing/2014/main" id="{3696DE57-B579-F5AE-51CD-54BA0BC3CED9}"/>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B3AC227-ECCD-4403-A07B-569E1307DD74}"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B_Ver">
              <xdr:nvSpPr>
                <xdr:cNvPr id="2949" name="RM_B">
                  <a:extLst>
                    <a:ext uri="{FF2B5EF4-FFF2-40B4-BE49-F238E27FC236}">
                      <a16:creationId xmlns:a16="http://schemas.microsoft.com/office/drawing/2014/main" id="{21358F06-A7DE-C5EF-678C-85C15A569319}"/>
                    </a:ext>
                  </a:extLst>
                </xdr:cNvPr>
                <xdr:cNvSpPr txBox="1"/>
              </xdr:nvSpPr>
              <xdr:spPr>
                <a:xfrm>
                  <a:off x="737776" y="728493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6F6C99A-FE88-439E-8422-64D1FA71E31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939" name="Apoyo B">
                <a:extLst>
                  <a:ext uri="{FF2B5EF4-FFF2-40B4-BE49-F238E27FC236}">
                    <a16:creationId xmlns:a16="http://schemas.microsoft.com/office/drawing/2014/main" id="{703E69BF-85D3-B030-26F2-B5F51ACACBF0}"/>
                  </a:ext>
                </a:extLst>
              </xdr:cNvPr>
              <xdr:cNvGrpSpPr/>
            </xdr:nvGrpSpPr>
            <xdr:grpSpPr>
              <a:xfrm>
                <a:off x="567504" y="6322937"/>
                <a:ext cx="471080" cy="441265"/>
                <a:chOff x="1241967" y="9263559"/>
                <a:chExt cx="471890" cy="446231"/>
              </a:xfrm>
            </xdr:grpSpPr>
            <xdr:grpSp>
              <xdr:nvGrpSpPr>
                <xdr:cNvPr id="2940" name="Apoyo Móvil">
                  <a:extLst>
                    <a:ext uri="{FF2B5EF4-FFF2-40B4-BE49-F238E27FC236}">
                      <a16:creationId xmlns:a16="http://schemas.microsoft.com/office/drawing/2014/main" id="{FE649AD7-5D30-5CF5-CE0D-2CF43563C0CF}"/>
                    </a:ext>
                  </a:extLst>
                </xdr:cNvPr>
                <xdr:cNvGrpSpPr/>
              </xdr:nvGrpSpPr>
              <xdr:grpSpPr>
                <a:xfrm>
                  <a:off x="1242331" y="9419598"/>
                  <a:ext cx="471526" cy="290192"/>
                  <a:chOff x="10284164" y="8440721"/>
                  <a:chExt cx="469817" cy="287368"/>
                </a:xfrm>
              </xdr:grpSpPr>
              <xdr:sp macro="" textlink="$AF$16">
                <xdr:nvSpPr>
                  <xdr:cNvPr id="2945" name="Suelo B">
                    <a:extLst>
                      <a:ext uri="{FF2B5EF4-FFF2-40B4-BE49-F238E27FC236}">
                        <a16:creationId xmlns:a16="http://schemas.microsoft.com/office/drawing/2014/main" id="{F6CFE608-DCB5-194B-8F17-E92AD9F0EABA}"/>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128F775E-CA9E-47CC-AA86-9A63ABCFE5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6">
                <xdr:nvSpPr>
                  <xdr:cNvPr id="2946" name="Ruedas B">
                    <a:extLst>
                      <a:ext uri="{FF2B5EF4-FFF2-40B4-BE49-F238E27FC236}">
                        <a16:creationId xmlns:a16="http://schemas.microsoft.com/office/drawing/2014/main" id="{FA859273-EA46-8410-460C-2F6C0D1CBAB3}"/>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65BF773-AFA3-4DFA-827F-04230B71B3E8}"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941" name="Apoyo FIjo">
                  <a:extLst>
                    <a:ext uri="{FF2B5EF4-FFF2-40B4-BE49-F238E27FC236}">
                      <a16:creationId xmlns:a16="http://schemas.microsoft.com/office/drawing/2014/main" id="{BD41AFD4-5575-4EB3-D278-80EBB572E034}"/>
                    </a:ext>
                  </a:extLst>
                </xdr:cNvPr>
                <xdr:cNvGrpSpPr/>
              </xdr:nvGrpSpPr>
              <xdr:grpSpPr>
                <a:xfrm>
                  <a:off x="1242023" y="9289134"/>
                  <a:ext cx="471526" cy="358984"/>
                  <a:chOff x="10283423" y="8314710"/>
                  <a:chExt cx="469817" cy="355491"/>
                </a:xfrm>
              </xdr:grpSpPr>
              <xdr:sp macro="" textlink="$AD$16">
                <xdr:nvSpPr>
                  <xdr:cNvPr id="2943" name="Suelo B">
                    <a:extLst>
                      <a:ext uri="{FF2B5EF4-FFF2-40B4-BE49-F238E27FC236}">
                        <a16:creationId xmlns:a16="http://schemas.microsoft.com/office/drawing/2014/main" id="{E6598790-5C9E-FC8C-97D9-16A399CAB425}"/>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1CA56A5-2D88-48DC-950F-84C4BF7FDC6F}"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6">
                <xdr:nvSpPr>
                  <xdr:cNvPr id="2944" name="Triángulo B">
                    <a:extLst>
                      <a:ext uri="{FF2B5EF4-FFF2-40B4-BE49-F238E27FC236}">
                        <a16:creationId xmlns:a16="http://schemas.microsoft.com/office/drawing/2014/main" id="{1831CB99-CDC1-5DEB-8E38-5BC8AB2DCB0E}"/>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32292E-0DBF-4E4A-94E6-2554949C8E14}"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6">
              <xdr:nvSpPr>
                <xdr:cNvPr id="2942" name="Empotramiento B">
                  <a:extLst>
                    <a:ext uri="{FF2B5EF4-FFF2-40B4-BE49-F238E27FC236}">
                      <a16:creationId xmlns:a16="http://schemas.microsoft.com/office/drawing/2014/main" id="{2E2CCC20-D734-39EF-8DE4-E9B578C758AC}"/>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38C2A7CC-074D-42AD-82C9-FF3CCB4530D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69" name="NUDO C">
              <a:extLst>
                <a:ext uri="{FF2B5EF4-FFF2-40B4-BE49-F238E27FC236}">
                  <a16:creationId xmlns:a16="http://schemas.microsoft.com/office/drawing/2014/main" id="{7D961C10-47BD-C862-7788-3F017440DD55}"/>
                </a:ext>
              </a:extLst>
            </xdr:cNvPr>
            <xdr:cNvGrpSpPr/>
          </xdr:nvGrpSpPr>
          <xdr:grpSpPr>
            <a:xfrm>
              <a:off x="562836" y="5631200"/>
              <a:ext cx="1560866" cy="614856"/>
              <a:chOff x="562419" y="5632714"/>
              <a:chExt cx="1562844" cy="613003"/>
            </a:xfrm>
          </xdr:grpSpPr>
          <xdr:grpSp>
            <xdr:nvGrpSpPr>
              <xdr:cNvPr id="2926" name="R C">
                <a:extLst>
                  <a:ext uri="{FF2B5EF4-FFF2-40B4-BE49-F238E27FC236}">
                    <a16:creationId xmlns:a16="http://schemas.microsoft.com/office/drawing/2014/main" id="{8E35E7EB-F140-F5A5-536F-7C1C758417D9}"/>
                  </a:ext>
                </a:extLst>
              </xdr:cNvPr>
              <xdr:cNvGrpSpPr/>
            </xdr:nvGrpSpPr>
            <xdr:grpSpPr>
              <a:xfrm>
                <a:off x="715644" y="5728182"/>
                <a:ext cx="1409619" cy="517535"/>
                <a:chOff x="722590" y="7077320"/>
                <a:chExt cx="1408598" cy="515408"/>
              </a:xfrm>
            </xdr:grpSpPr>
            <xdr:sp macro="" textlink="RFv_C_Ver">
              <xdr:nvSpPr>
                <xdr:cNvPr id="2935" name="RvC">
                  <a:extLst>
                    <a:ext uri="{FF2B5EF4-FFF2-40B4-BE49-F238E27FC236}">
                      <a16:creationId xmlns:a16="http://schemas.microsoft.com/office/drawing/2014/main" id="{E1ED07E6-797D-05A6-0FB9-2C8C62636106}"/>
                    </a:ext>
                  </a:extLst>
                </xdr:cNvPr>
                <xdr:cNvSpPr txBox="1"/>
              </xdr:nvSpPr>
              <xdr:spPr>
                <a:xfrm>
                  <a:off x="722590" y="7423329"/>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F71FD0-933F-49A6-AA7D-F7729A44B52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C_Ver">
              <xdr:nvSpPr>
                <xdr:cNvPr id="2936" name="RhC">
                  <a:extLst>
                    <a:ext uri="{FF2B5EF4-FFF2-40B4-BE49-F238E27FC236}">
                      <a16:creationId xmlns:a16="http://schemas.microsoft.com/office/drawing/2014/main" id="{F62EC1BC-2B44-661F-ECB1-7A93E976031F}"/>
                    </a:ext>
                  </a:extLst>
                </xdr:cNvPr>
                <xdr:cNvSpPr txBox="1"/>
              </xdr:nvSpPr>
              <xdr:spPr>
                <a:xfrm>
                  <a:off x="1158196" y="7077320"/>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8380F4F-E1C9-4DA7-8FFB-E33A324E8135}"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C_Ver">
              <xdr:nvSpPr>
                <xdr:cNvPr id="2937" name="RM_C">
                  <a:extLst>
                    <a:ext uri="{FF2B5EF4-FFF2-40B4-BE49-F238E27FC236}">
                      <a16:creationId xmlns:a16="http://schemas.microsoft.com/office/drawing/2014/main" id="{8EDBF726-8453-410A-4CFB-4AF41B9ECFDE}"/>
                    </a:ext>
                  </a:extLst>
                </xdr:cNvPr>
                <xdr:cNvSpPr txBox="1"/>
              </xdr:nvSpPr>
              <xdr:spPr>
                <a:xfrm>
                  <a:off x="737776" y="728493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2E395C6-D6B4-433C-BAF4-5739DD22426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927" name="Apoyo C">
                <a:extLst>
                  <a:ext uri="{FF2B5EF4-FFF2-40B4-BE49-F238E27FC236}">
                    <a16:creationId xmlns:a16="http://schemas.microsoft.com/office/drawing/2014/main" id="{FC624FBA-D235-B9F1-49BF-DE20F5211BE1}"/>
                  </a:ext>
                </a:extLst>
              </xdr:cNvPr>
              <xdr:cNvGrpSpPr/>
            </xdr:nvGrpSpPr>
            <xdr:grpSpPr>
              <a:xfrm>
                <a:off x="562419" y="5632714"/>
                <a:ext cx="471080" cy="442190"/>
                <a:chOff x="1241967" y="9263559"/>
                <a:chExt cx="471890" cy="446231"/>
              </a:xfrm>
            </xdr:grpSpPr>
            <xdr:grpSp>
              <xdr:nvGrpSpPr>
                <xdr:cNvPr id="2928" name="Apoyo Móvil">
                  <a:extLst>
                    <a:ext uri="{FF2B5EF4-FFF2-40B4-BE49-F238E27FC236}">
                      <a16:creationId xmlns:a16="http://schemas.microsoft.com/office/drawing/2014/main" id="{FF706A04-FAF9-EBF7-1333-F154152C8100}"/>
                    </a:ext>
                  </a:extLst>
                </xdr:cNvPr>
                <xdr:cNvGrpSpPr/>
              </xdr:nvGrpSpPr>
              <xdr:grpSpPr>
                <a:xfrm>
                  <a:off x="1242331" y="9419598"/>
                  <a:ext cx="471526" cy="290192"/>
                  <a:chOff x="10284164" y="8440721"/>
                  <a:chExt cx="469817" cy="287368"/>
                </a:xfrm>
              </xdr:grpSpPr>
              <xdr:sp macro="" textlink="$AF$17">
                <xdr:nvSpPr>
                  <xdr:cNvPr id="2933" name="Suelo C">
                    <a:extLst>
                      <a:ext uri="{FF2B5EF4-FFF2-40B4-BE49-F238E27FC236}">
                        <a16:creationId xmlns:a16="http://schemas.microsoft.com/office/drawing/2014/main" id="{CAA0B174-7FD8-D19A-9515-0A4061CE356D}"/>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5789EEC-6AD6-4E03-8554-4FBEA6B96AB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7">
                <xdr:nvSpPr>
                  <xdr:cNvPr id="2934" name="Ruedas C">
                    <a:extLst>
                      <a:ext uri="{FF2B5EF4-FFF2-40B4-BE49-F238E27FC236}">
                        <a16:creationId xmlns:a16="http://schemas.microsoft.com/office/drawing/2014/main" id="{AA1FAA91-C168-B3B6-5532-3910CE581B6E}"/>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37A7308-AD41-4B34-B189-6FC78A7BF3B1}"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929" name="Apoyo FIjo">
                  <a:extLst>
                    <a:ext uri="{FF2B5EF4-FFF2-40B4-BE49-F238E27FC236}">
                      <a16:creationId xmlns:a16="http://schemas.microsoft.com/office/drawing/2014/main" id="{E7EB5E2F-DB8E-89B0-4DC5-C4FAED40B0C7}"/>
                    </a:ext>
                  </a:extLst>
                </xdr:cNvPr>
                <xdr:cNvGrpSpPr/>
              </xdr:nvGrpSpPr>
              <xdr:grpSpPr>
                <a:xfrm>
                  <a:off x="1242023" y="9289134"/>
                  <a:ext cx="471526" cy="358984"/>
                  <a:chOff x="10283423" y="8314710"/>
                  <a:chExt cx="469817" cy="355491"/>
                </a:xfrm>
              </xdr:grpSpPr>
              <xdr:sp macro="" textlink="$AD$17">
                <xdr:nvSpPr>
                  <xdr:cNvPr id="2931" name="Suelo C">
                    <a:extLst>
                      <a:ext uri="{FF2B5EF4-FFF2-40B4-BE49-F238E27FC236}">
                        <a16:creationId xmlns:a16="http://schemas.microsoft.com/office/drawing/2014/main" id="{6DE62B30-016F-D7EA-69C6-2D8B57CC24FD}"/>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DA315E5-8B79-402E-A0D0-8D846BA40ACF}"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7">
                <xdr:nvSpPr>
                  <xdr:cNvPr id="2932" name="Triángulo C">
                    <a:extLst>
                      <a:ext uri="{FF2B5EF4-FFF2-40B4-BE49-F238E27FC236}">
                        <a16:creationId xmlns:a16="http://schemas.microsoft.com/office/drawing/2014/main" id="{2EF16E9C-AF8D-6B38-B8E6-39EEA9AB64AA}"/>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166C4A-4822-4595-A321-258DA649474A}"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7">
              <xdr:nvSpPr>
                <xdr:cNvPr id="2930" name="Empotramiento C">
                  <a:extLst>
                    <a:ext uri="{FF2B5EF4-FFF2-40B4-BE49-F238E27FC236}">
                      <a16:creationId xmlns:a16="http://schemas.microsoft.com/office/drawing/2014/main" id="{A89CF07B-33C6-6E4F-0D28-5E2C6DD9F2E2}"/>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F8FA6FA-6121-421B-BB98-9D90A493017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70" name="NUDO D">
              <a:extLst>
                <a:ext uri="{FF2B5EF4-FFF2-40B4-BE49-F238E27FC236}">
                  <a16:creationId xmlns:a16="http://schemas.microsoft.com/office/drawing/2014/main" id="{9DD2AA89-9D10-A029-46A7-41A80941048E}"/>
                </a:ext>
              </a:extLst>
            </xdr:cNvPr>
            <xdr:cNvGrpSpPr/>
          </xdr:nvGrpSpPr>
          <xdr:grpSpPr>
            <a:xfrm>
              <a:off x="495577" y="4801718"/>
              <a:ext cx="1185036" cy="844438"/>
              <a:chOff x="1342988" y="4927946"/>
              <a:chExt cx="1183550" cy="848036"/>
            </a:xfrm>
          </xdr:grpSpPr>
          <xdr:grpSp>
            <xdr:nvGrpSpPr>
              <xdr:cNvPr id="2914" name="R D">
                <a:extLst>
                  <a:ext uri="{FF2B5EF4-FFF2-40B4-BE49-F238E27FC236}">
                    <a16:creationId xmlns:a16="http://schemas.microsoft.com/office/drawing/2014/main" id="{F905CF8A-05D8-6B46-79B1-804898541764}"/>
                  </a:ext>
                </a:extLst>
              </xdr:cNvPr>
              <xdr:cNvGrpSpPr/>
            </xdr:nvGrpSpPr>
            <xdr:grpSpPr>
              <a:xfrm>
                <a:off x="1342988" y="5324690"/>
                <a:ext cx="1183550" cy="451292"/>
                <a:chOff x="938654" y="6970859"/>
                <a:chExt cx="1184152" cy="446414"/>
              </a:xfrm>
            </xdr:grpSpPr>
            <xdr:sp macro="" textlink="RFv_D_Ver">
              <xdr:nvSpPr>
                <xdr:cNvPr id="2923" name="RvD">
                  <a:extLst>
                    <a:ext uri="{FF2B5EF4-FFF2-40B4-BE49-F238E27FC236}">
                      <a16:creationId xmlns:a16="http://schemas.microsoft.com/office/drawing/2014/main" id="{778F80EC-0FD9-FA53-3E45-1A250A9A45B3}"/>
                    </a:ext>
                  </a:extLst>
                </xdr:cNvPr>
                <xdr:cNvSpPr txBox="1"/>
              </xdr:nvSpPr>
              <xdr:spPr>
                <a:xfrm>
                  <a:off x="1148915" y="7097905"/>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6D1F760-711D-47CD-9C56-ECE3193C509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D_Ver">
              <xdr:nvSpPr>
                <xdr:cNvPr id="2924" name="RhD">
                  <a:extLst>
                    <a:ext uri="{FF2B5EF4-FFF2-40B4-BE49-F238E27FC236}">
                      <a16:creationId xmlns:a16="http://schemas.microsoft.com/office/drawing/2014/main" id="{6A2E94D6-7DF4-D16F-4A35-A3DB3DF24409}"/>
                    </a:ext>
                  </a:extLst>
                </xdr:cNvPr>
                <xdr:cNvSpPr txBox="1"/>
              </xdr:nvSpPr>
              <xdr:spPr>
                <a:xfrm>
                  <a:off x="1137957" y="7245532"/>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2292BA6-3922-4ECC-84D9-56F41F8EF4B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D_Ver">
              <xdr:nvSpPr>
                <xdr:cNvPr id="2925" name="RM_D">
                  <a:extLst>
                    <a:ext uri="{FF2B5EF4-FFF2-40B4-BE49-F238E27FC236}">
                      <a16:creationId xmlns:a16="http://schemas.microsoft.com/office/drawing/2014/main" id="{9C7790EB-325D-D596-7575-C2775196289D}"/>
                    </a:ext>
                  </a:extLst>
                </xdr:cNvPr>
                <xdr:cNvSpPr txBox="1"/>
              </xdr:nvSpPr>
              <xdr:spPr>
                <a:xfrm>
                  <a:off x="938654" y="6970859"/>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DADECE1C-6191-41C0-8371-D1D7D404B16D}"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2915" name="Apoyo D">
                <a:extLst>
                  <a:ext uri="{FF2B5EF4-FFF2-40B4-BE49-F238E27FC236}">
                    <a16:creationId xmlns:a16="http://schemas.microsoft.com/office/drawing/2014/main" id="{5A5A3BD7-643E-46B6-BD30-F3BD142C5FE4}"/>
                  </a:ext>
                </a:extLst>
              </xdr:cNvPr>
              <xdr:cNvGrpSpPr/>
            </xdr:nvGrpSpPr>
            <xdr:grpSpPr>
              <a:xfrm>
                <a:off x="1392906" y="4927946"/>
                <a:ext cx="473544" cy="585768"/>
                <a:chOff x="1242023" y="9122731"/>
                <a:chExt cx="471834" cy="587059"/>
              </a:xfrm>
            </xdr:grpSpPr>
            <xdr:grpSp>
              <xdr:nvGrpSpPr>
                <xdr:cNvPr id="2916" name="Apoyo Móvil">
                  <a:extLst>
                    <a:ext uri="{FF2B5EF4-FFF2-40B4-BE49-F238E27FC236}">
                      <a16:creationId xmlns:a16="http://schemas.microsoft.com/office/drawing/2014/main" id="{7442E9D0-97A5-A682-4D29-8180E4A995D5}"/>
                    </a:ext>
                  </a:extLst>
                </xdr:cNvPr>
                <xdr:cNvGrpSpPr/>
              </xdr:nvGrpSpPr>
              <xdr:grpSpPr>
                <a:xfrm>
                  <a:off x="1242331" y="9419598"/>
                  <a:ext cx="471526" cy="290192"/>
                  <a:chOff x="10284164" y="8440721"/>
                  <a:chExt cx="469817" cy="287368"/>
                </a:xfrm>
              </xdr:grpSpPr>
              <xdr:sp macro="" textlink="$AF$18">
                <xdr:nvSpPr>
                  <xdr:cNvPr id="2921" name="Suelo D">
                    <a:extLst>
                      <a:ext uri="{FF2B5EF4-FFF2-40B4-BE49-F238E27FC236}">
                        <a16:creationId xmlns:a16="http://schemas.microsoft.com/office/drawing/2014/main" id="{8B5A2D33-B293-08A3-CBF9-9CBDB272306A}"/>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DB8F04AC-A3F2-41BD-9B96-EF5E10AC6BD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18">
                <xdr:nvSpPr>
                  <xdr:cNvPr id="2922" name="Ruedas D">
                    <a:extLst>
                      <a:ext uri="{FF2B5EF4-FFF2-40B4-BE49-F238E27FC236}">
                        <a16:creationId xmlns:a16="http://schemas.microsoft.com/office/drawing/2014/main" id="{94EDB9C9-1F64-8FE8-9ABF-0002D557A878}"/>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3ADEF0E-3955-41E6-A552-49C0FAA2B407}"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917" name="Apoyo FIjo">
                  <a:extLst>
                    <a:ext uri="{FF2B5EF4-FFF2-40B4-BE49-F238E27FC236}">
                      <a16:creationId xmlns:a16="http://schemas.microsoft.com/office/drawing/2014/main" id="{511B1FFF-DB9F-3AB5-9F9A-FC3BA3AD3F3B}"/>
                    </a:ext>
                  </a:extLst>
                </xdr:cNvPr>
                <xdr:cNvGrpSpPr/>
              </xdr:nvGrpSpPr>
              <xdr:grpSpPr>
                <a:xfrm>
                  <a:off x="1242023" y="9289134"/>
                  <a:ext cx="471526" cy="358984"/>
                  <a:chOff x="10283423" y="8314710"/>
                  <a:chExt cx="469817" cy="355491"/>
                </a:xfrm>
              </xdr:grpSpPr>
              <xdr:sp macro="" textlink="$AD$18">
                <xdr:nvSpPr>
                  <xdr:cNvPr id="2919" name="Suelo D">
                    <a:extLst>
                      <a:ext uri="{FF2B5EF4-FFF2-40B4-BE49-F238E27FC236}">
                        <a16:creationId xmlns:a16="http://schemas.microsoft.com/office/drawing/2014/main" id="{FCFCAB49-9624-FE95-7790-11DC4C6F6570}"/>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D0ED632-27A3-4CCA-9C01-131328E810D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18">
                <xdr:nvSpPr>
                  <xdr:cNvPr id="2920" name="Triángulo D">
                    <a:extLst>
                      <a:ext uri="{FF2B5EF4-FFF2-40B4-BE49-F238E27FC236}">
                        <a16:creationId xmlns:a16="http://schemas.microsoft.com/office/drawing/2014/main" id="{58C0DC45-0792-343D-58A8-CB802C5748B0}"/>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9846CA-42FB-488F-A596-E1A7EC03323B}"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18">
              <xdr:nvSpPr>
                <xdr:cNvPr id="2918" name="Empotramiento D">
                  <a:extLst>
                    <a:ext uri="{FF2B5EF4-FFF2-40B4-BE49-F238E27FC236}">
                      <a16:creationId xmlns:a16="http://schemas.microsoft.com/office/drawing/2014/main" id="{0838D951-CE09-DDA8-1F8D-A8D089502785}"/>
                    </a:ext>
                  </a:extLst>
                </xdr:cNvPr>
                <xdr:cNvSpPr txBox="1"/>
              </xdr:nvSpPr>
              <xdr:spPr>
                <a:xfrm rot="16200000">
                  <a:off x="1215784" y="9224492"/>
                  <a:ext cx="475919" cy="272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0A61E1F-9A90-4A8E-90FF-C017F9A5C601}"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71" name="NUDO E">
              <a:extLst>
                <a:ext uri="{FF2B5EF4-FFF2-40B4-BE49-F238E27FC236}">
                  <a16:creationId xmlns:a16="http://schemas.microsoft.com/office/drawing/2014/main" id="{8FA9C2D0-153F-C252-D808-5D4C41557D70}"/>
                </a:ext>
              </a:extLst>
            </xdr:cNvPr>
            <xdr:cNvGrpSpPr/>
          </xdr:nvGrpSpPr>
          <xdr:grpSpPr>
            <a:xfrm>
              <a:off x="349338" y="4818212"/>
              <a:ext cx="2147197" cy="679796"/>
              <a:chOff x="348943" y="4822201"/>
              <a:chExt cx="2150273" cy="677858"/>
            </a:xfrm>
          </xdr:grpSpPr>
          <xdr:grpSp>
            <xdr:nvGrpSpPr>
              <xdr:cNvPr id="2902" name="R E">
                <a:extLst>
                  <a:ext uri="{FF2B5EF4-FFF2-40B4-BE49-F238E27FC236}">
                    <a16:creationId xmlns:a16="http://schemas.microsoft.com/office/drawing/2014/main" id="{CD4CAFE3-9821-B0FA-F97A-678EEEEF6029}"/>
                  </a:ext>
                </a:extLst>
              </xdr:cNvPr>
              <xdr:cNvGrpSpPr/>
            </xdr:nvGrpSpPr>
            <xdr:grpSpPr>
              <a:xfrm>
                <a:off x="348943" y="4934553"/>
                <a:ext cx="2150273" cy="565506"/>
                <a:chOff x="96612" y="6730081"/>
                <a:chExt cx="2147875" cy="563264"/>
              </a:xfrm>
            </xdr:grpSpPr>
            <xdr:sp macro="" textlink="RFv_E_Ver">
              <xdr:nvSpPr>
                <xdr:cNvPr id="2911" name="RvE">
                  <a:extLst>
                    <a:ext uri="{FF2B5EF4-FFF2-40B4-BE49-F238E27FC236}">
                      <a16:creationId xmlns:a16="http://schemas.microsoft.com/office/drawing/2014/main" id="{3F880FFD-FB59-48D3-04D4-5F4F828C84D8}"/>
                    </a:ext>
                  </a:extLst>
                </xdr:cNvPr>
                <xdr:cNvSpPr txBox="1"/>
              </xdr:nvSpPr>
              <xdr:spPr>
                <a:xfrm>
                  <a:off x="1223061" y="7110962"/>
                  <a:ext cx="1021426" cy="182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053569D-A283-49CD-A88B-FDADED0A90C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E_Ver">
              <xdr:nvSpPr>
                <xdr:cNvPr id="2912" name="RhE">
                  <a:extLst>
                    <a:ext uri="{FF2B5EF4-FFF2-40B4-BE49-F238E27FC236}">
                      <a16:creationId xmlns:a16="http://schemas.microsoft.com/office/drawing/2014/main" id="{6DA50552-3698-12F6-1624-2510F64C8FA7}"/>
                    </a:ext>
                  </a:extLst>
                </xdr:cNvPr>
                <xdr:cNvSpPr txBox="1"/>
              </xdr:nvSpPr>
              <xdr:spPr>
                <a:xfrm>
                  <a:off x="1268165" y="6958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502FA5E-8A8B-4963-9F63-70084A491D7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E_Ver">
              <xdr:nvSpPr>
                <xdr:cNvPr id="2913" name="RM_E">
                  <a:extLst>
                    <a:ext uri="{FF2B5EF4-FFF2-40B4-BE49-F238E27FC236}">
                      <a16:creationId xmlns:a16="http://schemas.microsoft.com/office/drawing/2014/main" id="{10DC289A-7327-FE91-7967-147658B40D5D}"/>
                    </a:ext>
                  </a:extLst>
                </xdr:cNvPr>
                <xdr:cNvSpPr txBox="1"/>
              </xdr:nvSpPr>
              <xdr:spPr>
                <a:xfrm>
                  <a:off x="96612" y="6730081"/>
                  <a:ext cx="97032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62916376-6E15-4EF2-9CCA-C87AD5EA7072}"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2903" name="Apoyo E">
                <a:extLst>
                  <a:ext uri="{FF2B5EF4-FFF2-40B4-BE49-F238E27FC236}">
                    <a16:creationId xmlns:a16="http://schemas.microsoft.com/office/drawing/2014/main" id="{17B1DDA3-41F3-A688-F40C-FA28241CFD83}"/>
                  </a:ext>
                </a:extLst>
              </xdr:cNvPr>
              <xdr:cNvGrpSpPr/>
            </xdr:nvGrpSpPr>
            <xdr:grpSpPr>
              <a:xfrm>
                <a:off x="1241921" y="4822201"/>
                <a:ext cx="474310" cy="541771"/>
                <a:chOff x="1242023" y="9163066"/>
                <a:chExt cx="471834" cy="546724"/>
              </a:xfrm>
            </xdr:grpSpPr>
            <xdr:grpSp>
              <xdr:nvGrpSpPr>
                <xdr:cNvPr id="2904" name="Apoyo Móvil">
                  <a:extLst>
                    <a:ext uri="{FF2B5EF4-FFF2-40B4-BE49-F238E27FC236}">
                      <a16:creationId xmlns:a16="http://schemas.microsoft.com/office/drawing/2014/main" id="{0D8A26AC-D0F2-1022-2329-51F2A12BA6C4}"/>
                    </a:ext>
                  </a:extLst>
                </xdr:cNvPr>
                <xdr:cNvGrpSpPr/>
              </xdr:nvGrpSpPr>
              <xdr:grpSpPr>
                <a:xfrm>
                  <a:off x="1242331" y="9419598"/>
                  <a:ext cx="471526" cy="290192"/>
                  <a:chOff x="10284164" y="8440721"/>
                  <a:chExt cx="469817" cy="287368"/>
                </a:xfrm>
              </xdr:grpSpPr>
              <xdr:sp macro="" textlink="$AF$20">
                <xdr:nvSpPr>
                  <xdr:cNvPr id="2909" name="Suelo E">
                    <a:extLst>
                      <a:ext uri="{FF2B5EF4-FFF2-40B4-BE49-F238E27FC236}">
                        <a16:creationId xmlns:a16="http://schemas.microsoft.com/office/drawing/2014/main" id="{4ABFBE43-7BD2-E2A4-4B9A-EDE1FB2047FA}"/>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5BDD28A-7B1F-40F7-B98D-0927F239D3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0">
                <xdr:nvSpPr>
                  <xdr:cNvPr id="2910" name="Ruedas E">
                    <a:extLst>
                      <a:ext uri="{FF2B5EF4-FFF2-40B4-BE49-F238E27FC236}">
                        <a16:creationId xmlns:a16="http://schemas.microsoft.com/office/drawing/2014/main" id="{D620430A-EE66-EB3D-35B7-98ABA617F89F}"/>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882A2E9C-7DB3-4EAF-8E0E-C15A23B5E6D3}"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905" name="Apoyo FIjo">
                  <a:extLst>
                    <a:ext uri="{FF2B5EF4-FFF2-40B4-BE49-F238E27FC236}">
                      <a16:creationId xmlns:a16="http://schemas.microsoft.com/office/drawing/2014/main" id="{401A00B9-56E4-EA9E-AA39-CD279C75983D}"/>
                    </a:ext>
                  </a:extLst>
                </xdr:cNvPr>
                <xdr:cNvGrpSpPr/>
              </xdr:nvGrpSpPr>
              <xdr:grpSpPr>
                <a:xfrm>
                  <a:off x="1242023" y="9289134"/>
                  <a:ext cx="471526" cy="358984"/>
                  <a:chOff x="10283423" y="8314710"/>
                  <a:chExt cx="469817" cy="355491"/>
                </a:xfrm>
              </xdr:grpSpPr>
              <xdr:sp macro="" textlink="$AD$20">
                <xdr:nvSpPr>
                  <xdr:cNvPr id="2907" name="Suelo E">
                    <a:extLst>
                      <a:ext uri="{FF2B5EF4-FFF2-40B4-BE49-F238E27FC236}">
                        <a16:creationId xmlns:a16="http://schemas.microsoft.com/office/drawing/2014/main" id="{BFAAD316-474A-6A16-6DDB-649AF41B459A}"/>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6F0A6A2-C565-40A8-AB00-4C88D80615AC}"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0">
                <xdr:nvSpPr>
                  <xdr:cNvPr id="2908" name="Triángulo E">
                    <a:extLst>
                      <a:ext uri="{FF2B5EF4-FFF2-40B4-BE49-F238E27FC236}">
                        <a16:creationId xmlns:a16="http://schemas.microsoft.com/office/drawing/2014/main" id="{4AFF5427-1CC1-4E50-B4A9-F64E5EEF564D}"/>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FFE167-D198-4A3D-8369-D738AA06208A}"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0">
              <xdr:nvSpPr>
                <xdr:cNvPr id="2906" name="Empotramiento E">
                  <a:extLst>
                    <a:ext uri="{FF2B5EF4-FFF2-40B4-BE49-F238E27FC236}">
                      <a16:creationId xmlns:a16="http://schemas.microsoft.com/office/drawing/2014/main" id="{B25C1E13-7B7A-E174-2486-42B59D04DA8B}"/>
                    </a:ext>
                  </a:extLst>
                </xdr:cNvPr>
                <xdr:cNvSpPr txBox="1"/>
              </xdr:nvSpPr>
              <xdr:spPr>
                <a:xfrm rot="16200000">
                  <a:off x="1239770" y="9264827"/>
                  <a:ext cx="475919" cy="272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D0F400B5-D164-4DE9-88AD-4DB8DA8E6B9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72" name="NUDO F">
              <a:extLst>
                <a:ext uri="{FF2B5EF4-FFF2-40B4-BE49-F238E27FC236}">
                  <a16:creationId xmlns:a16="http://schemas.microsoft.com/office/drawing/2014/main" id="{2529A661-318E-0E94-AB34-597AA1E2FF08}"/>
                </a:ext>
              </a:extLst>
            </xdr:cNvPr>
            <xdr:cNvGrpSpPr/>
          </xdr:nvGrpSpPr>
          <xdr:grpSpPr>
            <a:xfrm>
              <a:off x="1064190" y="4808102"/>
              <a:ext cx="1348915" cy="706918"/>
              <a:chOff x="-316791" y="4674058"/>
              <a:chExt cx="1350892" cy="704352"/>
            </a:xfrm>
          </xdr:grpSpPr>
          <xdr:grpSp>
            <xdr:nvGrpSpPr>
              <xdr:cNvPr id="2890" name="R F">
                <a:extLst>
                  <a:ext uri="{FF2B5EF4-FFF2-40B4-BE49-F238E27FC236}">
                    <a16:creationId xmlns:a16="http://schemas.microsoft.com/office/drawing/2014/main" id="{5A2BDA39-E1DE-CEB5-1889-84453D714B8C}"/>
                  </a:ext>
                </a:extLst>
              </xdr:cNvPr>
              <xdr:cNvGrpSpPr/>
            </xdr:nvGrpSpPr>
            <xdr:grpSpPr>
              <a:xfrm>
                <a:off x="-316791" y="4842435"/>
                <a:ext cx="1168444" cy="535975"/>
                <a:chOff x="-720606" y="6485809"/>
                <a:chExt cx="1167141" cy="533850"/>
              </a:xfrm>
            </xdr:grpSpPr>
            <xdr:sp macro="" textlink="RFv_F_Ver">
              <xdr:nvSpPr>
                <xdr:cNvPr id="2899" name="RvF">
                  <a:extLst>
                    <a:ext uri="{FF2B5EF4-FFF2-40B4-BE49-F238E27FC236}">
                      <a16:creationId xmlns:a16="http://schemas.microsoft.com/office/drawing/2014/main" id="{37EAE632-1C3B-1C6E-2E15-A5E3A8D05691}"/>
                    </a:ext>
                  </a:extLst>
                </xdr:cNvPr>
                <xdr:cNvSpPr txBox="1"/>
              </xdr:nvSpPr>
              <xdr:spPr>
                <a:xfrm>
                  <a:off x="-527356" y="6850260"/>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C4F70B8-881F-4C70-8EF5-FF8F7FD575F4}"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F_Ver">
              <xdr:nvSpPr>
                <xdr:cNvPr id="2900" name="RhF">
                  <a:extLst>
                    <a:ext uri="{FF2B5EF4-FFF2-40B4-BE49-F238E27FC236}">
                      <a16:creationId xmlns:a16="http://schemas.microsoft.com/office/drawing/2014/main" id="{52409A1A-8563-1B7B-5502-8C7D3BBA684C}"/>
                    </a:ext>
                  </a:extLst>
                </xdr:cNvPr>
                <xdr:cNvSpPr txBox="1"/>
              </xdr:nvSpPr>
              <xdr:spPr>
                <a:xfrm>
                  <a:off x="-720606" y="6660427"/>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BE3F4DDD-5135-4F11-9C6A-B6AAB649208A}"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F_Ver">
              <xdr:nvSpPr>
                <xdr:cNvPr id="2901" name="RM_F">
                  <a:extLst>
                    <a:ext uri="{FF2B5EF4-FFF2-40B4-BE49-F238E27FC236}">
                      <a16:creationId xmlns:a16="http://schemas.microsoft.com/office/drawing/2014/main" id="{59FBFA36-82D5-4BEF-F0E4-80A6C2F3F362}"/>
                    </a:ext>
                  </a:extLst>
                </xdr:cNvPr>
                <xdr:cNvSpPr txBox="1"/>
              </xdr:nvSpPr>
              <xdr:spPr>
                <a:xfrm>
                  <a:off x="-705367" y="6485809"/>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5197EC8-A3D4-4548-A081-59F1136EFBC9}"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2891" name="Apoyo F">
                <a:extLst>
                  <a:ext uri="{FF2B5EF4-FFF2-40B4-BE49-F238E27FC236}">
                    <a16:creationId xmlns:a16="http://schemas.microsoft.com/office/drawing/2014/main" id="{7BBDDCBE-FDAA-896A-9E74-61EBEB5B45CE}"/>
                  </a:ext>
                </a:extLst>
              </xdr:cNvPr>
              <xdr:cNvGrpSpPr/>
            </xdr:nvGrpSpPr>
            <xdr:grpSpPr>
              <a:xfrm>
                <a:off x="562475" y="4674058"/>
                <a:ext cx="471626" cy="568158"/>
                <a:chOff x="562305" y="4670996"/>
                <a:chExt cx="470576" cy="565923"/>
              </a:xfrm>
            </xdr:grpSpPr>
            <xdr:grpSp>
              <xdr:nvGrpSpPr>
                <xdr:cNvPr id="2892" name="Apoyo Movil F">
                  <a:extLst>
                    <a:ext uri="{FF2B5EF4-FFF2-40B4-BE49-F238E27FC236}">
                      <a16:creationId xmlns:a16="http://schemas.microsoft.com/office/drawing/2014/main" id="{11704418-A4AC-2A6E-0130-E968FD84390C}"/>
                    </a:ext>
                  </a:extLst>
                </xdr:cNvPr>
                <xdr:cNvGrpSpPr/>
              </xdr:nvGrpSpPr>
              <xdr:grpSpPr>
                <a:xfrm>
                  <a:off x="562612" y="4951098"/>
                  <a:ext cx="470269" cy="285821"/>
                  <a:chOff x="562612" y="4951098"/>
                  <a:chExt cx="470269" cy="285821"/>
                </a:xfrm>
              </xdr:grpSpPr>
              <xdr:sp macro="" textlink="$AF$21">
                <xdr:nvSpPr>
                  <xdr:cNvPr id="2897" name="Suelo F">
                    <a:extLst>
                      <a:ext uri="{FF2B5EF4-FFF2-40B4-BE49-F238E27FC236}">
                        <a16:creationId xmlns:a16="http://schemas.microsoft.com/office/drawing/2014/main" id="{78F679B5-2746-FA32-11AD-6A00B77B52FB}"/>
                      </a:ext>
                    </a:extLst>
                  </xdr:cNvPr>
                  <xdr:cNvSpPr txBox="1"/>
                </xdr:nvSpPr>
                <xdr:spPr>
                  <a:xfrm rot="10800000">
                    <a:off x="562612" y="4966124"/>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7B9F4E3-EF39-4556-850E-E850623C5AD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1">
                <xdr:nvSpPr>
                  <xdr:cNvPr id="2898" name="Ruedas F">
                    <a:extLst>
                      <a:ext uri="{FF2B5EF4-FFF2-40B4-BE49-F238E27FC236}">
                        <a16:creationId xmlns:a16="http://schemas.microsoft.com/office/drawing/2014/main" id="{B81E2F5D-D3B5-A92B-7E46-D995FBF495FD}"/>
                      </a:ext>
                    </a:extLst>
                  </xdr:cNvPr>
                  <xdr:cNvSpPr txBox="1"/>
                </xdr:nvSpPr>
                <xdr:spPr>
                  <a:xfrm>
                    <a:off x="562612" y="4951098"/>
                    <a:ext cx="470269" cy="271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815F02A-466D-4C94-963C-6BD4C8230FC8}"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893" name="Apoyo Fijo F">
                  <a:extLst>
                    <a:ext uri="{FF2B5EF4-FFF2-40B4-BE49-F238E27FC236}">
                      <a16:creationId xmlns:a16="http://schemas.microsoft.com/office/drawing/2014/main" id="{6D6D29AE-C8FF-B77E-5757-65977D93CF54}"/>
                    </a:ext>
                  </a:extLst>
                </xdr:cNvPr>
                <xdr:cNvGrpSpPr/>
              </xdr:nvGrpSpPr>
              <xdr:grpSpPr>
                <a:xfrm>
                  <a:off x="562305" y="4822599"/>
                  <a:ext cx="470269" cy="353577"/>
                  <a:chOff x="562305" y="4822599"/>
                  <a:chExt cx="470269" cy="353577"/>
                </a:xfrm>
              </xdr:grpSpPr>
              <xdr:sp macro="" textlink="$AD$21">
                <xdr:nvSpPr>
                  <xdr:cNvPr id="2895" name="Suelo F">
                    <a:extLst>
                      <a:ext uri="{FF2B5EF4-FFF2-40B4-BE49-F238E27FC236}">
                        <a16:creationId xmlns:a16="http://schemas.microsoft.com/office/drawing/2014/main" id="{AF9F943B-7517-F644-95BF-8036F580C2C3}"/>
                      </a:ext>
                    </a:extLst>
                  </xdr:cNvPr>
                  <xdr:cNvSpPr txBox="1"/>
                </xdr:nvSpPr>
                <xdr:spPr>
                  <a:xfrm rot="10800000">
                    <a:off x="562305" y="4905381"/>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3BC129F-6DFF-40CB-B401-408B2253637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1">
                <xdr:nvSpPr>
                  <xdr:cNvPr id="2896" name="Triángulo F">
                    <a:extLst>
                      <a:ext uri="{FF2B5EF4-FFF2-40B4-BE49-F238E27FC236}">
                        <a16:creationId xmlns:a16="http://schemas.microsoft.com/office/drawing/2014/main" id="{9E4FFB70-8948-4E88-550E-2B36229BF68D}"/>
                      </a:ext>
                    </a:extLst>
                  </xdr:cNvPr>
                  <xdr:cNvSpPr txBox="1"/>
                </xdr:nvSpPr>
                <xdr:spPr>
                  <a:xfrm>
                    <a:off x="655755" y="4822599"/>
                    <a:ext cx="286909" cy="271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EF0C8C-D5B4-4DE7-A435-23315FDFD4E9}"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1">
              <xdr:nvSpPr>
                <xdr:cNvPr id="2894" name="Empotramiento F">
                  <a:extLst>
                    <a:ext uri="{FF2B5EF4-FFF2-40B4-BE49-F238E27FC236}">
                      <a16:creationId xmlns:a16="http://schemas.microsoft.com/office/drawing/2014/main" id="{B41D0DDD-9EA7-4A7F-F68B-718C2C3D1330}"/>
                    </a:ext>
                  </a:extLst>
                </xdr:cNvPr>
                <xdr:cNvSpPr txBox="1"/>
              </xdr:nvSpPr>
              <xdr:spPr>
                <a:xfrm rot="16200000">
                  <a:off x="544343" y="4770733"/>
                  <a:ext cx="470269" cy="270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3D38A89-1AE2-48E0-A48D-3C610B68CE7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73" name="NUDO G">
              <a:extLst>
                <a:ext uri="{FF2B5EF4-FFF2-40B4-BE49-F238E27FC236}">
                  <a16:creationId xmlns:a16="http://schemas.microsoft.com/office/drawing/2014/main" id="{6EF5B0D0-7FFB-A200-4F83-C95E80D10834}"/>
                </a:ext>
              </a:extLst>
            </xdr:cNvPr>
            <xdr:cNvGrpSpPr/>
          </xdr:nvGrpSpPr>
          <xdr:grpSpPr>
            <a:xfrm>
              <a:off x="1954304" y="4548554"/>
              <a:ext cx="1187472" cy="606559"/>
              <a:chOff x="1955865" y="4553630"/>
              <a:chExt cx="1188753" cy="604910"/>
            </a:xfrm>
          </xdr:grpSpPr>
          <xdr:grpSp>
            <xdr:nvGrpSpPr>
              <xdr:cNvPr id="2878" name="R G">
                <a:extLst>
                  <a:ext uri="{FF2B5EF4-FFF2-40B4-BE49-F238E27FC236}">
                    <a16:creationId xmlns:a16="http://schemas.microsoft.com/office/drawing/2014/main" id="{18A93AD2-4D41-17A0-F0C7-AB8876ECB6B6}"/>
                  </a:ext>
                </a:extLst>
              </xdr:cNvPr>
              <xdr:cNvGrpSpPr/>
            </xdr:nvGrpSpPr>
            <xdr:grpSpPr>
              <a:xfrm>
                <a:off x="1955865" y="4553630"/>
                <a:ext cx="995532" cy="347846"/>
                <a:chOff x="-361245" y="6127876"/>
                <a:chExt cx="994422" cy="346472"/>
              </a:xfrm>
            </xdr:grpSpPr>
            <xdr:sp macro="" textlink="RFv_G_Ver">
              <xdr:nvSpPr>
                <xdr:cNvPr id="2887" name="RvG">
                  <a:extLst>
                    <a:ext uri="{FF2B5EF4-FFF2-40B4-BE49-F238E27FC236}">
                      <a16:creationId xmlns:a16="http://schemas.microsoft.com/office/drawing/2014/main" id="{1A800E4D-EC41-D8BB-8DF5-646CD7E888F9}"/>
                    </a:ext>
                  </a:extLst>
                </xdr:cNvPr>
                <xdr:cNvSpPr txBox="1"/>
              </xdr:nvSpPr>
              <xdr:spPr>
                <a:xfrm>
                  <a:off x="-340714" y="612787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A22F03B0-E060-4148-A393-BAB67E80BA48}"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G_Ver">
              <xdr:nvSpPr>
                <xdr:cNvPr id="2888" name="RhG">
                  <a:extLst>
                    <a:ext uri="{FF2B5EF4-FFF2-40B4-BE49-F238E27FC236}">
                      <a16:creationId xmlns:a16="http://schemas.microsoft.com/office/drawing/2014/main" id="{DB15F07E-35B8-AB0D-4B25-ED4E43D4F6F5}"/>
                    </a:ext>
                  </a:extLst>
                </xdr:cNvPr>
                <xdr:cNvSpPr txBox="1"/>
              </xdr:nvSpPr>
              <xdr:spPr>
                <a:xfrm>
                  <a:off x="-341487" y="6240836"/>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50C5A9CF-F1FA-434C-982C-21DA449AA42F}"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G_Ver">
              <xdr:nvSpPr>
                <xdr:cNvPr id="2889" name="RM_G">
                  <a:extLst>
                    <a:ext uri="{FF2B5EF4-FFF2-40B4-BE49-F238E27FC236}">
                      <a16:creationId xmlns:a16="http://schemas.microsoft.com/office/drawing/2014/main" id="{F7991B2A-6A41-181E-DBDD-B543362B9876}"/>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212AAEC9-A654-4DDE-B587-F6ED2DD38D29}"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2879" name="Apoyo G">
                <a:extLst>
                  <a:ext uri="{FF2B5EF4-FFF2-40B4-BE49-F238E27FC236}">
                    <a16:creationId xmlns:a16="http://schemas.microsoft.com/office/drawing/2014/main" id="{3205ED08-1D94-2F5D-B1C5-A41B484DEA3B}"/>
                  </a:ext>
                </a:extLst>
              </xdr:cNvPr>
              <xdr:cNvGrpSpPr/>
            </xdr:nvGrpSpPr>
            <xdr:grpSpPr>
              <a:xfrm rot="10800000">
                <a:off x="2653917" y="4682168"/>
                <a:ext cx="490701" cy="476372"/>
                <a:chOff x="4712203" y="12978955"/>
                <a:chExt cx="490714" cy="481561"/>
              </a:xfrm>
            </xdr:grpSpPr>
            <xdr:grpSp>
              <xdr:nvGrpSpPr>
                <xdr:cNvPr id="2880" name="Apoyo Móvil">
                  <a:extLst>
                    <a:ext uri="{FF2B5EF4-FFF2-40B4-BE49-F238E27FC236}">
                      <a16:creationId xmlns:a16="http://schemas.microsoft.com/office/drawing/2014/main" id="{16944F11-2505-D937-7114-A7432DC5B855}"/>
                    </a:ext>
                  </a:extLst>
                </xdr:cNvPr>
                <xdr:cNvGrpSpPr/>
              </xdr:nvGrpSpPr>
              <xdr:grpSpPr>
                <a:xfrm>
                  <a:off x="4727383" y="13169289"/>
                  <a:ext cx="475534" cy="291227"/>
                  <a:chOff x="10290702" y="8453513"/>
                  <a:chExt cx="469817" cy="287372"/>
                </a:xfrm>
              </xdr:grpSpPr>
              <xdr:sp macro="" textlink="$AE$22">
                <xdr:nvSpPr>
                  <xdr:cNvPr id="2885" name="Ruedas G">
                    <a:extLst>
                      <a:ext uri="{FF2B5EF4-FFF2-40B4-BE49-F238E27FC236}">
                        <a16:creationId xmlns:a16="http://schemas.microsoft.com/office/drawing/2014/main" id="{17104ED7-976F-00A5-36C8-2610B485DCAB}"/>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FD29B93-2B99-4045-A3AC-CAC5BA3FE256}"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2">
                <xdr:nvSpPr>
                  <xdr:cNvPr id="2886" name="Suelo G">
                    <a:extLst>
                      <a:ext uri="{FF2B5EF4-FFF2-40B4-BE49-F238E27FC236}">
                        <a16:creationId xmlns:a16="http://schemas.microsoft.com/office/drawing/2014/main" id="{714D3157-FE1A-AE3C-EE75-86B9E31DB964}"/>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8BAD46D-E3F6-4BC0-8025-9CBF20652A91}"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881" name="Apoyo FIjo">
                  <a:extLst>
                    <a:ext uri="{FF2B5EF4-FFF2-40B4-BE49-F238E27FC236}">
                      <a16:creationId xmlns:a16="http://schemas.microsoft.com/office/drawing/2014/main" id="{BBC35EFD-4A2C-782B-B4AC-365E481B1166}"/>
                    </a:ext>
                  </a:extLst>
                </xdr:cNvPr>
                <xdr:cNvGrpSpPr/>
              </xdr:nvGrpSpPr>
              <xdr:grpSpPr>
                <a:xfrm>
                  <a:off x="4726743" y="13031926"/>
                  <a:ext cx="475534" cy="354860"/>
                  <a:chOff x="10289636" y="8321106"/>
                  <a:chExt cx="469817" cy="350161"/>
                </a:xfrm>
              </xdr:grpSpPr>
              <xdr:sp macro="" textlink="$AC$22">
                <xdr:nvSpPr>
                  <xdr:cNvPr id="2883" name="Triángulo G">
                    <a:extLst>
                      <a:ext uri="{FF2B5EF4-FFF2-40B4-BE49-F238E27FC236}">
                        <a16:creationId xmlns:a16="http://schemas.microsoft.com/office/drawing/2014/main" id="{E96EC6D4-1073-E69F-4C1C-F0A94D5F6FF7}"/>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AFC722-D6D2-4D24-8EA3-C7E72DC9B5DD}"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2">
                <xdr:nvSpPr>
                  <xdr:cNvPr id="2884" name="Suelo G">
                    <a:extLst>
                      <a:ext uri="{FF2B5EF4-FFF2-40B4-BE49-F238E27FC236}">
                        <a16:creationId xmlns:a16="http://schemas.microsoft.com/office/drawing/2014/main" id="{37A36186-D8C7-7810-B854-2D28BE619EAF}"/>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6DF9A95-4E89-4D61-935A-7082F22646A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2">
              <xdr:nvSpPr>
                <xdr:cNvPr id="2882" name="Empotramiento G">
                  <a:extLst>
                    <a:ext uri="{FF2B5EF4-FFF2-40B4-BE49-F238E27FC236}">
                      <a16:creationId xmlns:a16="http://schemas.microsoft.com/office/drawing/2014/main" id="{24BCE935-5505-3D18-B144-B52B8F3EF67C}"/>
                    </a:ext>
                  </a:extLst>
                </xdr:cNvPr>
                <xdr:cNvSpPr txBox="1"/>
              </xdr:nvSpPr>
              <xdr:spPr>
                <a:xfrm rot="10800000">
                  <a:off x="4712203" y="12978955"/>
                  <a:ext cx="471015"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7C12813-F9E5-4F6A-AE48-92FBA8616C66}"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74" name="NUDO H">
              <a:extLst>
                <a:ext uri="{FF2B5EF4-FFF2-40B4-BE49-F238E27FC236}">
                  <a16:creationId xmlns:a16="http://schemas.microsoft.com/office/drawing/2014/main" id="{69414FAF-7C37-22B9-2739-7C1508DF7BD6}"/>
                </a:ext>
              </a:extLst>
            </xdr:cNvPr>
            <xdr:cNvGrpSpPr/>
          </xdr:nvGrpSpPr>
          <xdr:grpSpPr>
            <a:xfrm>
              <a:off x="3347841" y="4819104"/>
              <a:ext cx="1386641" cy="692654"/>
              <a:chOff x="3351378" y="4823090"/>
              <a:chExt cx="1388619" cy="690800"/>
            </a:xfrm>
          </xdr:grpSpPr>
          <xdr:grpSp>
            <xdr:nvGrpSpPr>
              <xdr:cNvPr id="2866" name="R H">
                <a:extLst>
                  <a:ext uri="{FF2B5EF4-FFF2-40B4-BE49-F238E27FC236}">
                    <a16:creationId xmlns:a16="http://schemas.microsoft.com/office/drawing/2014/main" id="{06530184-A8D3-7C01-28D3-1D0273B9F421}"/>
                  </a:ext>
                </a:extLst>
              </xdr:cNvPr>
              <xdr:cNvGrpSpPr/>
            </xdr:nvGrpSpPr>
            <xdr:grpSpPr>
              <a:xfrm>
                <a:off x="3538909" y="4957474"/>
                <a:ext cx="1201088" cy="556416"/>
                <a:chOff x="1067815" y="6991833"/>
                <a:chExt cx="1199744" cy="554212"/>
              </a:xfrm>
            </xdr:grpSpPr>
            <xdr:sp macro="" textlink="RFv_H_Ver">
              <xdr:nvSpPr>
                <xdr:cNvPr id="2875" name="RvH">
                  <a:extLst>
                    <a:ext uri="{FF2B5EF4-FFF2-40B4-BE49-F238E27FC236}">
                      <a16:creationId xmlns:a16="http://schemas.microsoft.com/office/drawing/2014/main" id="{884BFE1E-16FE-C1B5-14C8-392FCF3D93D7}"/>
                    </a:ext>
                  </a:extLst>
                </xdr:cNvPr>
                <xdr:cNvSpPr txBox="1"/>
              </xdr:nvSpPr>
              <xdr:spPr>
                <a:xfrm>
                  <a:off x="1067815" y="737664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35C6EA3-6491-482D-A6F0-29E54BA69E81}"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H_Ver">
              <xdr:nvSpPr>
                <xdr:cNvPr id="2876" name="RhH">
                  <a:extLst>
                    <a:ext uri="{FF2B5EF4-FFF2-40B4-BE49-F238E27FC236}">
                      <a16:creationId xmlns:a16="http://schemas.microsoft.com/office/drawing/2014/main" id="{EB1AFBFC-18A9-7B01-7784-E1BCDAF8A070}"/>
                    </a:ext>
                  </a:extLst>
                </xdr:cNvPr>
                <xdr:cNvSpPr txBox="1"/>
              </xdr:nvSpPr>
              <xdr:spPr>
                <a:xfrm>
                  <a:off x="1294567" y="7189682"/>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203C94E-10F8-4669-8654-FC833F291F73}"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H_Ver">
              <xdr:nvSpPr>
                <xdr:cNvPr id="2877" name="RM_H">
                  <a:extLst>
                    <a:ext uri="{FF2B5EF4-FFF2-40B4-BE49-F238E27FC236}">
                      <a16:creationId xmlns:a16="http://schemas.microsoft.com/office/drawing/2014/main" id="{CF8A2BE0-9395-9832-1A64-8134712FB104}"/>
                    </a:ext>
                  </a:extLst>
                </xdr:cNvPr>
                <xdr:cNvSpPr txBox="1"/>
              </xdr:nvSpPr>
              <xdr:spPr>
                <a:xfrm>
                  <a:off x="1277699" y="6991833"/>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ADF250C-B2FE-410B-8BDC-46FBD3A959D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867" name="Apoyo H">
                <a:extLst>
                  <a:ext uri="{FF2B5EF4-FFF2-40B4-BE49-F238E27FC236}">
                    <a16:creationId xmlns:a16="http://schemas.microsoft.com/office/drawing/2014/main" id="{E8B11C70-6C5D-9FE2-355D-DFD3DD20A40E}"/>
                  </a:ext>
                </a:extLst>
              </xdr:cNvPr>
              <xdr:cNvGrpSpPr/>
            </xdr:nvGrpSpPr>
            <xdr:grpSpPr>
              <a:xfrm>
                <a:off x="3351378" y="4823090"/>
                <a:ext cx="474401" cy="568299"/>
                <a:chOff x="3351378" y="4823090"/>
                <a:chExt cx="474401" cy="568299"/>
              </a:xfrm>
            </xdr:grpSpPr>
            <xdr:grpSp>
              <xdr:nvGrpSpPr>
                <xdr:cNvPr id="2868" name="Apoyo Móvil">
                  <a:extLst>
                    <a:ext uri="{FF2B5EF4-FFF2-40B4-BE49-F238E27FC236}">
                      <a16:creationId xmlns:a16="http://schemas.microsoft.com/office/drawing/2014/main" id="{434CD79E-3A9C-29B8-1368-C7F83744F865}"/>
                    </a:ext>
                  </a:extLst>
                </xdr:cNvPr>
                <xdr:cNvGrpSpPr/>
              </xdr:nvGrpSpPr>
              <xdr:grpSpPr>
                <a:xfrm>
                  <a:off x="3352008" y="5103289"/>
                  <a:ext cx="473771" cy="288100"/>
                  <a:chOff x="9236846" y="8226342"/>
                  <a:chExt cx="469817" cy="287382"/>
                </a:xfrm>
              </xdr:grpSpPr>
              <xdr:sp macro="" textlink="$AE$23">
                <xdr:nvSpPr>
                  <xdr:cNvPr id="2873" name="Ruedas H">
                    <a:extLst>
                      <a:ext uri="{FF2B5EF4-FFF2-40B4-BE49-F238E27FC236}">
                        <a16:creationId xmlns:a16="http://schemas.microsoft.com/office/drawing/2014/main" id="{52977B3D-C590-D773-B4EE-B9FB627A39F5}"/>
                      </a:ext>
                    </a:extLst>
                  </xdr:cNvPr>
                  <xdr:cNvSpPr txBox="1"/>
                </xdr:nvSpPr>
                <xdr:spPr>
                  <a:xfrm>
                    <a:off x="9236846" y="8226342"/>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47BD5C1-84C3-4C16-9260-01038DAF0581}"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3">
                <xdr:nvSpPr>
                  <xdr:cNvPr id="2874" name="Suelo H">
                    <a:extLst>
                      <a:ext uri="{FF2B5EF4-FFF2-40B4-BE49-F238E27FC236}">
                        <a16:creationId xmlns:a16="http://schemas.microsoft.com/office/drawing/2014/main" id="{4C873A8C-FF1B-902B-3E0D-13E87C5AFCEB}"/>
                      </a:ext>
                    </a:extLst>
                  </xdr:cNvPr>
                  <xdr:cNvSpPr txBox="1"/>
                </xdr:nvSpPr>
                <xdr:spPr>
                  <a:xfrm rot="10800000">
                    <a:off x="9236846" y="8241463"/>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A2B3BDC-EAB9-45C0-AB14-7825158325F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869" name="Apoyo FIjo">
                  <a:extLst>
                    <a:ext uri="{FF2B5EF4-FFF2-40B4-BE49-F238E27FC236}">
                      <a16:creationId xmlns:a16="http://schemas.microsoft.com/office/drawing/2014/main" id="{25DE9132-FCC1-37BF-0FDB-A18811D00887}"/>
                    </a:ext>
                  </a:extLst>
                </xdr:cNvPr>
                <xdr:cNvGrpSpPr/>
              </xdr:nvGrpSpPr>
              <xdr:grpSpPr>
                <a:xfrm>
                  <a:off x="3351378" y="4970300"/>
                  <a:ext cx="473771" cy="351026"/>
                  <a:chOff x="9235780" y="8096854"/>
                  <a:chExt cx="469817" cy="350150"/>
                </a:xfrm>
              </xdr:grpSpPr>
              <xdr:sp macro="" textlink="$AC$23">
                <xdr:nvSpPr>
                  <xdr:cNvPr id="2871" name="Triángulo H">
                    <a:extLst>
                      <a:ext uri="{FF2B5EF4-FFF2-40B4-BE49-F238E27FC236}">
                        <a16:creationId xmlns:a16="http://schemas.microsoft.com/office/drawing/2014/main" id="{3DE3D3AF-A025-4BF3-8E43-95C6E1B9A480}"/>
                      </a:ext>
                    </a:extLst>
                  </xdr:cNvPr>
                  <xdr:cNvSpPr txBox="1"/>
                </xdr:nvSpPr>
                <xdr:spPr>
                  <a:xfrm>
                    <a:off x="9328097" y="8096854"/>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16E707-8B26-40AB-9B44-5DF3896E1FCC}"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3">
                <xdr:nvSpPr>
                  <xdr:cNvPr id="2872" name="Suelo H">
                    <a:extLst>
                      <a:ext uri="{FF2B5EF4-FFF2-40B4-BE49-F238E27FC236}">
                        <a16:creationId xmlns:a16="http://schemas.microsoft.com/office/drawing/2014/main" id="{1FA44FFF-9E6A-7FE4-A26A-795414F5DEC8}"/>
                      </a:ext>
                    </a:extLst>
                  </xdr:cNvPr>
                  <xdr:cNvSpPr txBox="1"/>
                </xdr:nvSpPr>
                <xdr:spPr>
                  <a:xfrm rot="10800000">
                    <a:off x="9235780" y="8174743"/>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E01BC87-B6CB-4D30-A836-D322B53FBD4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3">
              <xdr:nvSpPr>
                <xdr:cNvPr id="2870" name="Empotramiento H">
                  <a:extLst>
                    <a:ext uri="{FF2B5EF4-FFF2-40B4-BE49-F238E27FC236}">
                      <a16:creationId xmlns:a16="http://schemas.microsoft.com/office/drawing/2014/main" id="{B4953351-8A58-2766-1182-DE6030D5A523}"/>
                    </a:ext>
                  </a:extLst>
                </xdr:cNvPr>
                <xdr:cNvSpPr txBox="1"/>
              </xdr:nvSpPr>
              <xdr:spPr>
                <a:xfrm rot="5400000">
                  <a:off x="3379693" y="4921320"/>
                  <a:ext cx="471003" cy="274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D72D5A2-C8D2-4F6F-B143-91532EFD7B7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75" name="NUDO I">
              <a:extLst>
                <a:ext uri="{FF2B5EF4-FFF2-40B4-BE49-F238E27FC236}">
                  <a16:creationId xmlns:a16="http://schemas.microsoft.com/office/drawing/2014/main" id="{F6871B12-83F4-6124-5F3F-F2CF6AA1EA75}"/>
                </a:ext>
              </a:extLst>
            </xdr:cNvPr>
            <xdr:cNvGrpSpPr/>
          </xdr:nvGrpSpPr>
          <xdr:grpSpPr>
            <a:xfrm>
              <a:off x="4047167" y="4803316"/>
              <a:ext cx="1371590" cy="667488"/>
              <a:chOff x="4051492" y="4807918"/>
              <a:chExt cx="1373923" cy="665018"/>
            </a:xfrm>
          </xdr:grpSpPr>
          <xdr:grpSp>
            <xdr:nvGrpSpPr>
              <xdr:cNvPr id="2854" name="R I">
                <a:extLst>
                  <a:ext uri="{FF2B5EF4-FFF2-40B4-BE49-F238E27FC236}">
                    <a16:creationId xmlns:a16="http://schemas.microsoft.com/office/drawing/2014/main" id="{92E8CA83-2774-E528-FF50-77B014DE2429}"/>
                  </a:ext>
                </a:extLst>
              </xdr:cNvPr>
              <xdr:cNvGrpSpPr/>
            </xdr:nvGrpSpPr>
            <xdr:grpSpPr>
              <a:xfrm>
                <a:off x="4224327" y="4916520"/>
                <a:ext cx="1201088" cy="556416"/>
                <a:chOff x="3351378" y="4823090"/>
                <a:chExt cx="1201088" cy="556416"/>
              </a:xfrm>
            </xdr:grpSpPr>
            <xdr:sp macro="" textlink="RFv_I_Ver">
              <xdr:nvSpPr>
                <xdr:cNvPr id="2863" name="RvI">
                  <a:extLst>
                    <a:ext uri="{FF2B5EF4-FFF2-40B4-BE49-F238E27FC236}">
                      <a16:creationId xmlns:a16="http://schemas.microsoft.com/office/drawing/2014/main" id="{C04C13D9-4F25-0FE3-E9BB-D4E66C67171F}"/>
                    </a:ext>
                  </a:extLst>
                </xdr:cNvPr>
                <xdr:cNvSpPr txBox="1"/>
              </xdr:nvSpPr>
              <xdr:spPr>
                <a:xfrm>
                  <a:off x="3351378" y="5209433"/>
                  <a:ext cx="974982" cy="170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B8BE28D-6878-4137-9735-37ECF7F51BB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I_Ver">
              <xdr:nvSpPr>
                <xdr:cNvPr id="2864" name="RhI">
                  <a:extLst>
                    <a:ext uri="{FF2B5EF4-FFF2-40B4-BE49-F238E27FC236}">
                      <a16:creationId xmlns:a16="http://schemas.microsoft.com/office/drawing/2014/main" id="{BDD70EF7-6418-A17C-3D97-EA25D0106DC4}"/>
                    </a:ext>
                  </a:extLst>
                </xdr:cNvPr>
                <xdr:cNvSpPr txBox="1"/>
              </xdr:nvSpPr>
              <xdr:spPr>
                <a:xfrm>
                  <a:off x="3578384" y="5021726"/>
                  <a:ext cx="974082" cy="17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9577CFE-4BDB-4D84-956C-B92598FEE1AB}"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I_Ver">
              <xdr:nvSpPr>
                <xdr:cNvPr id="2865" name="RM_I">
                  <a:extLst>
                    <a:ext uri="{FF2B5EF4-FFF2-40B4-BE49-F238E27FC236}">
                      <a16:creationId xmlns:a16="http://schemas.microsoft.com/office/drawing/2014/main" id="{4129CB06-12E4-65ED-1A9F-F60C8E328B5A}"/>
                    </a:ext>
                  </a:extLst>
                </xdr:cNvPr>
                <xdr:cNvSpPr txBox="1"/>
              </xdr:nvSpPr>
              <xdr:spPr>
                <a:xfrm>
                  <a:off x="3561497" y="4823090"/>
                  <a:ext cx="971410" cy="17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7C55C455-A123-4AC6-AFA6-51B0C6C5DA38}"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855" name="Apoyo I">
                <a:extLst>
                  <a:ext uri="{FF2B5EF4-FFF2-40B4-BE49-F238E27FC236}">
                    <a16:creationId xmlns:a16="http://schemas.microsoft.com/office/drawing/2014/main" id="{6269690A-A421-85F7-AE4D-2304B0138F70}"/>
                  </a:ext>
                </a:extLst>
              </xdr:cNvPr>
              <xdr:cNvGrpSpPr/>
            </xdr:nvGrpSpPr>
            <xdr:grpSpPr>
              <a:xfrm>
                <a:off x="4051492" y="4807918"/>
                <a:ext cx="474409" cy="574092"/>
                <a:chOff x="4726743" y="12880171"/>
                <a:chExt cx="476174" cy="580345"/>
              </a:xfrm>
            </xdr:grpSpPr>
            <xdr:grpSp>
              <xdr:nvGrpSpPr>
                <xdr:cNvPr id="2856" name="Apoyo Móvil">
                  <a:extLst>
                    <a:ext uri="{FF2B5EF4-FFF2-40B4-BE49-F238E27FC236}">
                      <a16:creationId xmlns:a16="http://schemas.microsoft.com/office/drawing/2014/main" id="{46D13AB0-5C8D-823A-3A51-7E4DFDB54C99}"/>
                    </a:ext>
                  </a:extLst>
                </xdr:cNvPr>
                <xdr:cNvGrpSpPr/>
              </xdr:nvGrpSpPr>
              <xdr:grpSpPr>
                <a:xfrm>
                  <a:off x="4727383" y="13169289"/>
                  <a:ext cx="475534" cy="291227"/>
                  <a:chOff x="10290702" y="8453513"/>
                  <a:chExt cx="469817" cy="287372"/>
                </a:xfrm>
              </xdr:grpSpPr>
              <xdr:sp macro="" textlink="$AE$24">
                <xdr:nvSpPr>
                  <xdr:cNvPr id="2861" name="Ruedas I">
                    <a:extLst>
                      <a:ext uri="{FF2B5EF4-FFF2-40B4-BE49-F238E27FC236}">
                        <a16:creationId xmlns:a16="http://schemas.microsoft.com/office/drawing/2014/main" id="{243156FE-B44B-99EA-E6B0-98013BF297B8}"/>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F3687D0-AFEC-499F-B342-DE371DAE5EAF}"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4">
                <xdr:nvSpPr>
                  <xdr:cNvPr id="2862" name="Suelo I">
                    <a:extLst>
                      <a:ext uri="{FF2B5EF4-FFF2-40B4-BE49-F238E27FC236}">
                        <a16:creationId xmlns:a16="http://schemas.microsoft.com/office/drawing/2014/main" id="{9E4DF700-2643-D90F-E9F3-AAB20CBDCDCF}"/>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0BFA142-EBD0-419C-A6F8-BF8343ACBFFA}"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857" name="Apoyo FIjo">
                  <a:extLst>
                    <a:ext uri="{FF2B5EF4-FFF2-40B4-BE49-F238E27FC236}">
                      <a16:creationId xmlns:a16="http://schemas.microsoft.com/office/drawing/2014/main" id="{A7E1FF8C-5796-5EDA-566A-BD7425EC75E6}"/>
                    </a:ext>
                  </a:extLst>
                </xdr:cNvPr>
                <xdr:cNvGrpSpPr/>
              </xdr:nvGrpSpPr>
              <xdr:grpSpPr>
                <a:xfrm>
                  <a:off x="4726743" y="13031926"/>
                  <a:ext cx="475534" cy="354860"/>
                  <a:chOff x="10289636" y="8321106"/>
                  <a:chExt cx="469817" cy="350161"/>
                </a:xfrm>
              </xdr:grpSpPr>
              <xdr:sp macro="" textlink="$AC$24">
                <xdr:nvSpPr>
                  <xdr:cNvPr id="2859" name="Triángulo I">
                    <a:extLst>
                      <a:ext uri="{FF2B5EF4-FFF2-40B4-BE49-F238E27FC236}">
                        <a16:creationId xmlns:a16="http://schemas.microsoft.com/office/drawing/2014/main" id="{019C47C5-1BDC-3665-47E1-005B7CFC1C0E}"/>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36EAED6-7575-4F4B-88CC-14968C314DF6}"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4">
                <xdr:nvSpPr>
                  <xdr:cNvPr id="2860" name="Suelo I">
                    <a:extLst>
                      <a:ext uri="{FF2B5EF4-FFF2-40B4-BE49-F238E27FC236}">
                        <a16:creationId xmlns:a16="http://schemas.microsoft.com/office/drawing/2014/main" id="{CB2E01B9-9933-E7CD-9D4E-2F588F03D31D}"/>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5E3B90D-E44F-4106-BA66-600DBD043D5E}"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4">
              <xdr:nvSpPr>
                <xdr:cNvPr id="2858" name="Empotramiento I">
                  <a:extLst>
                    <a:ext uri="{FF2B5EF4-FFF2-40B4-BE49-F238E27FC236}">
                      <a16:creationId xmlns:a16="http://schemas.microsoft.com/office/drawing/2014/main" id="{5EE33FDE-DA5C-56FC-A430-C9FF3BF06212}"/>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32B7DEA5-5930-4551-BE32-4A6517693B64}"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76" name="NUDO J">
              <a:extLst>
                <a:ext uri="{FF2B5EF4-FFF2-40B4-BE49-F238E27FC236}">
                  <a16:creationId xmlns:a16="http://schemas.microsoft.com/office/drawing/2014/main" id="{1E30CFAA-269A-F7CD-DAF4-67408551C9B1}"/>
                </a:ext>
              </a:extLst>
            </xdr:cNvPr>
            <xdr:cNvGrpSpPr/>
          </xdr:nvGrpSpPr>
          <xdr:grpSpPr>
            <a:xfrm>
              <a:off x="2649423" y="5086337"/>
              <a:ext cx="1159290" cy="763017"/>
              <a:chOff x="1645564" y="4568464"/>
              <a:chExt cx="1156605" cy="764523"/>
            </a:xfrm>
          </xdr:grpSpPr>
          <xdr:grpSp>
            <xdr:nvGrpSpPr>
              <xdr:cNvPr id="2842" name="R J">
                <a:extLst>
                  <a:ext uri="{FF2B5EF4-FFF2-40B4-BE49-F238E27FC236}">
                    <a16:creationId xmlns:a16="http://schemas.microsoft.com/office/drawing/2014/main" id="{8166DC68-5EA3-6FEF-EA4E-4A0F22BCFF9E}"/>
                  </a:ext>
                </a:extLst>
              </xdr:cNvPr>
              <xdr:cNvGrpSpPr/>
            </xdr:nvGrpSpPr>
            <xdr:grpSpPr>
              <a:xfrm>
                <a:off x="1809784" y="4568464"/>
                <a:ext cx="992385" cy="504169"/>
                <a:chOff x="500583" y="5976198"/>
                <a:chExt cx="994423" cy="497297"/>
              </a:xfrm>
            </xdr:grpSpPr>
            <xdr:sp macro="" textlink="RFv_J_Ver">
              <xdr:nvSpPr>
                <xdr:cNvPr id="2851" name="RvJ">
                  <a:extLst>
                    <a:ext uri="{FF2B5EF4-FFF2-40B4-BE49-F238E27FC236}">
                      <a16:creationId xmlns:a16="http://schemas.microsoft.com/office/drawing/2014/main" id="{3245052F-E0BF-DFEF-5D0D-F902C3815733}"/>
                    </a:ext>
                  </a:extLst>
                </xdr:cNvPr>
                <xdr:cNvSpPr txBox="1"/>
              </xdr:nvSpPr>
              <xdr:spPr>
                <a:xfrm>
                  <a:off x="521115" y="6142773"/>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5CF6B5A-A589-4543-AECD-026ED2AE84D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J_Ver">
              <xdr:nvSpPr>
                <xdr:cNvPr id="2852" name="RhJ">
                  <a:extLst>
                    <a:ext uri="{FF2B5EF4-FFF2-40B4-BE49-F238E27FC236}">
                      <a16:creationId xmlns:a16="http://schemas.microsoft.com/office/drawing/2014/main" id="{A2242A80-3B70-D9D1-9623-ACA37913E048}"/>
                    </a:ext>
                  </a:extLst>
                </xdr:cNvPr>
                <xdr:cNvSpPr txBox="1"/>
              </xdr:nvSpPr>
              <xdr:spPr>
                <a:xfrm>
                  <a:off x="520342" y="597619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9D7BB1C-5538-45FC-B25A-212F923B841E}"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J_Ver">
              <xdr:nvSpPr>
                <xdr:cNvPr id="2853" name="RM_J">
                  <a:extLst>
                    <a:ext uri="{FF2B5EF4-FFF2-40B4-BE49-F238E27FC236}">
                      <a16:creationId xmlns:a16="http://schemas.microsoft.com/office/drawing/2014/main" id="{A28F67CE-DEB7-0E02-F099-775CCB4ED03D}"/>
                    </a:ext>
                  </a:extLst>
                </xdr:cNvPr>
                <xdr:cNvSpPr txBox="1"/>
              </xdr:nvSpPr>
              <xdr:spPr>
                <a:xfrm>
                  <a:off x="500583" y="6301754"/>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9164DE3-A0D8-454B-8691-F80BBAF5E7A9}"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843" name="Apoyo J">
                <a:extLst>
                  <a:ext uri="{FF2B5EF4-FFF2-40B4-BE49-F238E27FC236}">
                    <a16:creationId xmlns:a16="http://schemas.microsoft.com/office/drawing/2014/main" id="{5551FCC9-2285-8CD7-CD77-4D198CF8D483}"/>
                  </a:ext>
                </a:extLst>
              </xdr:cNvPr>
              <xdr:cNvGrpSpPr/>
            </xdr:nvGrpSpPr>
            <xdr:grpSpPr>
              <a:xfrm rot="10800000">
                <a:off x="1645564" y="4851947"/>
                <a:ext cx="489141" cy="481040"/>
                <a:chOff x="4712203" y="12978955"/>
                <a:chExt cx="490714" cy="481561"/>
              </a:xfrm>
            </xdr:grpSpPr>
            <xdr:grpSp>
              <xdr:nvGrpSpPr>
                <xdr:cNvPr id="2844" name="Apoyo Móvil">
                  <a:extLst>
                    <a:ext uri="{FF2B5EF4-FFF2-40B4-BE49-F238E27FC236}">
                      <a16:creationId xmlns:a16="http://schemas.microsoft.com/office/drawing/2014/main" id="{8D878A1F-208D-49E2-6E01-992B031ADD96}"/>
                    </a:ext>
                  </a:extLst>
                </xdr:cNvPr>
                <xdr:cNvGrpSpPr/>
              </xdr:nvGrpSpPr>
              <xdr:grpSpPr>
                <a:xfrm>
                  <a:off x="4727383" y="13169289"/>
                  <a:ext cx="475534" cy="291227"/>
                  <a:chOff x="10290702" y="8453513"/>
                  <a:chExt cx="469817" cy="287372"/>
                </a:xfrm>
              </xdr:grpSpPr>
              <xdr:sp macro="" textlink="$AE$25">
                <xdr:nvSpPr>
                  <xdr:cNvPr id="2849" name="Ruedas J">
                    <a:extLst>
                      <a:ext uri="{FF2B5EF4-FFF2-40B4-BE49-F238E27FC236}">
                        <a16:creationId xmlns:a16="http://schemas.microsoft.com/office/drawing/2014/main" id="{60CC63CC-0413-5403-C779-585BAC5D8668}"/>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240CFB4-2586-4B29-B058-9089243689F5}"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5">
                <xdr:nvSpPr>
                  <xdr:cNvPr id="2850" name="Suelo J">
                    <a:extLst>
                      <a:ext uri="{FF2B5EF4-FFF2-40B4-BE49-F238E27FC236}">
                        <a16:creationId xmlns:a16="http://schemas.microsoft.com/office/drawing/2014/main" id="{FDEC28E2-4ABC-7FFE-7016-B210E7E8D77B}"/>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4BC4E1B-D96C-46B5-B0F7-2E4F89D387FB}"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845" name="Apoyo FIjo">
                  <a:extLst>
                    <a:ext uri="{FF2B5EF4-FFF2-40B4-BE49-F238E27FC236}">
                      <a16:creationId xmlns:a16="http://schemas.microsoft.com/office/drawing/2014/main" id="{351C8A2D-F5F4-03C7-05BF-CD5036C4C128}"/>
                    </a:ext>
                  </a:extLst>
                </xdr:cNvPr>
                <xdr:cNvGrpSpPr/>
              </xdr:nvGrpSpPr>
              <xdr:grpSpPr>
                <a:xfrm>
                  <a:off x="4726743" y="13031926"/>
                  <a:ext cx="475534" cy="354860"/>
                  <a:chOff x="10289636" y="8321106"/>
                  <a:chExt cx="469817" cy="350161"/>
                </a:xfrm>
              </xdr:grpSpPr>
              <xdr:sp macro="" textlink="$AC$25">
                <xdr:nvSpPr>
                  <xdr:cNvPr id="2847" name="Triángulo J">
                    <a:extLst>
                      <a:ext uri="{FF2B5EF4-FFF2-40B4-BE49-F238E27FC236}">
                        <a16:creationId xmlns:a16="http://schemas.microsoft.com/office/drawing/2014/main" id="{79E3C7A7-683D-4DD9-7DB2-042181607BBD}"/>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CA26B1F-9BE3-4933-A0FC-1D9B95E6C8D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5">
                <xdr:nvSpPr>
                  <xdr:cNvPr id="2848" name="Suelo J">
                    <a:extLst>
                      <a:ext uri="{FF2B5EF4-FFF2-40B4-BE49-F238E27FC236}">
                        <a16:creationId xmlns:a16="http://schemas.microsoft.com/office/drawing/2014/main" id="{08B76B71-1A78-02B6-F35C-955DAEBA668E}"/>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80DD02C-8EE3-4BE8-B495-BB258F1C1355}"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5">
              <xdr:nvSpPr>
                <xdr:cNvPr id="2846" name="Empotramiento J">
                  <a:extLst>
                    <a:ext uri="{FF2B5EF4-FFF2-40B4-BE49-F238E27FC236}">
                      <a16:creationId xmlns:a16="http://schemas.microsoft.com/office/drawing/2014/main" id="{8F208EF0-2AA9-0175-A680-55E8D71076DD}"/>
                    </a:ext>
                  </a:extLst>
                </xdr:cNvPr>
                <xdr:cNvSpPr txBox="1"/>
              </xdr:nvSpPr>
              <xdr:spPr>
                <a:xfrm rot="10800000">
                  <a:off x="4712203" y="12978955"/>
                  <a:ext cx="471015"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1D8474A-184F-4180-9512-247A823B299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77" name="NUDO K">
              <a:extLst>
                <a:ext uri="{FF2B5EF4-FFF2-40B4-BE49-F238E27FC236}">
                  <a16:creationId xmlns:a16="http://schemas.microsoft.com/office/drawing/2014/main" id="{537896C4-83AA-25A0-A704-2DBA82CCB06E}"/>
                </a:ext>
              </a:extLst>
            </xdr:cNvPr>
            <xdr:cNvGrpSpPr/>
          </xdr:nvGrpSpPr>
          <xdr:grpSpPr>
            <a:xfrm>
              <a:off x="1663386" y="6338426"/>
              <a:ext cx="1455112" cy="679456"/>
              <a:chOff x="1664650" y="6337467"/>
              <a:chExt cx="1456690" cy="677603"/>
            </a:xfrm>
          </xdr:grpSpPr>
          <xdr:grpSp>
            <xdr:nvGrpSpPr>
              <xdr:cNvPr id="2830" name="R K">
                <a:extLst>
                  <a:ext uri="{FF2B5EF4-FFF2-40B4-BE49-F238E27FC236}">
                    <a16:creationId xmlns:a16="http://schemas.microsoft.com/office/drawing/2014/main" id="{FBD3D716-5E63-2C93-49AA-8DDB8C5BAFD0}"/>
                  </a:ext>
                </a:extLst>
              </xdr:cNvPr>
              <xdr:cNvGrpSpPr/>
            </xdr:nvGrpSpPr>
            <xdr:grpSpPr>
              <a:xfrm>
                <a:off x="1664650" y="6537483"/>
                <a:ext cx="1279157" cy="477587"/>
                <a:chOff x="-632890" y="5834419"/>
                <a:chExt cx="1277729" cy="475696"/>
              </a:xfrm>
            </xdr:grpSpPr>
            <xdr:sp macro="" textlink="RFv_K_Ver">
              <xdr:nvSpPr>
                <xdr:cNvPr id="2839" name="RvK">
                  <a:extLst>
                    <a:ext uri="{FF2B5EF4-FFF2-40B4-BE49-F238E27FC236}">
                      <a16:creationId xmlns:a16="http://schemas.microsoft.com/office/drawing/2014/main" id="{2D471493-6614-2AE5-FC71-70EDD2BE7CC3}"/>
                    </a:ext>
                  </a:extLst>
                </xdr:cNvPr>
                <xdr:cNvSpPr txBox="1"/>
              </xdr:nvSpPr>
              <xdr:spPr>
                <a:xfrm>
                  <a:off x="-329052" y="6140716"/>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7074C0BA-F6DF-46A1-A66B-0566679C27CF}"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K_Ver">
              <xdr:nvSpPr>
                <xdr:cNvPr id="2840" name="RhK">
                  <a:extLst>
                    <a:ext uri="{FF2B5EF4-FFF2-40B4-BE49-F238E27FC236}">
                      <a16:creationId xmlns:a16="http://schemas.microsoft.com/office/drawing/2014/main" id="{243A0C0D-4718-0915-DE2B-23346A8E62FF}"/>
                    </a:ext>
                  </a:extLst>
                </xdr:cNvPr>
                <xdr:cNvSpPr txBox="1"/>
              </xdr:nvSpPr>
              <xdr:spPr>
                <a:xfrm>
                  <a:off x="-358989" y="5977054"/>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B7EFA94D-7D33-40DE-BF7B-89CC7550CFBB}"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M_K_Ver">
              <xdr:nvSpPr>
                <xdr:cNvPr id="2841" name="RM_K">
                  <a:extLst>
                    <a:ext uri="{FF2B5EF4-FFF2-40B4-BE49-F238E27FC236}">
                      <a16:creationId xmlns:a16="http://schemas.microsoft.com/office/drawing/2014/main" id="{260E70E2-8B30-C481-5503-652B74CB192C}"/>
                    </a:ext>
                  </a:extLst>
                </xdr:cNvPr>
                <xdr:cNvSpPr txBox="1"/>
              </xdr:nvSpPr>
              <xdr:spPr>
                <a:xfrm>
                  <a:off x="-632890" y="5834419"/>
                  <a:ext cx="1274053" cy="1784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6F0A68DF-3DE7-4379-9CB0-6CCE766D5CA8}"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grpSp>
          <xdr:grpSp>
            <xdr:nvGrpSpPr>
              <xdr:cNvPr id="2831" name="Apoyo K">
                <a:extLst>
                  <a:ext uri="{FF2B5EF4-FFF2-40B4-BE49-F238E27FC236}">
                    <a16:creationId xmlns:a16="http://schemas.microsoft.com/office/drawing/2014/main" id="{238BBDB1-B8B8-D0EE-E8AF-C46F9CD608C4}"/>
                  </a:ext>
                </a:extLst>
              </xdr:cNvPr>
              <xdr:cNvGrpSpPr/>
            </xdr:nvGrpSpPr>
            <xdr:grpSpPr>
              <a:xfrm>
                <a:off x="2649826" y="6337467"/>
                <a:ext cx="471514" cy="441265"/>
                <a:chOff x="1241967" y="9263559"/>
                <a:chExt cx="471890" cy="446231"/>
              </a:xfrm>
            </xdr:grpSpPr>
            <xdr:grpSp>
              <xdr:nvGrpSpPr>
                <xdr:cNvPr id="2832" name="Apoyo Móvil">
                  <a:extLst>
                    <a:ext uri="{FF2B5EF4-FFF2-40B4-BE49-F238E27FC236}">
                      <a16:creationId xmlns:a16="http://schemas.microsoft.com/office/drawing/2014/main" id="{777E6BE6-26A2-D779-08F2-46A8EEF145C6}"/>
                    </a:ext>
                  </a:extLst>
                </xdr:cNvPr>
                <xdr:cNvGrpSpPr/>
              </xdr:nvGrpSpPr>
              <xdr:grpSpPr>
                <a:xfrm>
                  <a:off x="1242331" y="9419598"/>
                  <a:ext cx="471526" cy="290192"/>
                  <a:chOff x="10284164" y="8440721"/>
                  <a:chExt cx="469817" cy="287368"/>
                </a:xfrm>
              </xdr:grpSpPr>
              <xdr:sp macro="" textlink="$AF$26">
                <xdr:nvSpPr>
                  <xdr:cNvPr id="2837" name="Suelo K">
                    <a:extLst>
                      <a:ext uri="{FF2B5EF4-FFF2-40B4-BE49-F238E27FC236}">
                        <a16:creationId xmlns:a16="http://schemas.microsoft.com/office/drawing/2014/main" id="{4F9EBD9B-25D3-315B-5C22-CBC5236256EB}"/>
                      </a:ext>
                    </a:extLst>
                  </xdr:cNvPr>
                  <xdr:cNvSpPr txBox="1"/>
                </xdr:nvSpPr>
                <xdr:spPr>
                  <a:xfrm rot="10800000">
                    <a:off x="10284164" y="8455828"/>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7A8A3CC-3FEC-41D6-B0B4-6809D2213C42}"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26">
                <xdr:nvSpPr>
                  <xdr:cNvPr id="2838" name="Ruedas K">
                    <a:extLst>
                      <a:ext uri="{FF2B5EF4-FFF2-40B4-BE49-F238E27FC236}">
                        <a16:creationId xmlns:a16="http://schemas.microsoft.com/office/drawing/2014/main" id="{EF5F1A18-1786-DEBC-A02B-A4EC57271454}"/>
                      </a:ext>
                    </a:extLst>
                  </xdr:cNvPr>
                  <xdr:cNvSpPr txBox="1"/>
                </xdr:nvSpPr>
                <xdr:spPr>
                  <a:xfrm>
                    <a:off x="10284164" y="8440721"/>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87CF1FA-9AEF-4DCE-AACD-B02C32A0372B}"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833" name="Apoyo FIjo">
                  <a:extLst>
                    <a:ext uri="{FF2B5EF4-FFF2-40B4-BE49-F238E27FC236}">
                      <a16:creationId xmlns:a16="http://schemas.microsoft.com/office/drawing/2014/main" id="{EAAA50C6-DDB3-68C1-6848-EAA5316B6855}"/>
                    </a:ext>
                  </a:extLst>
                </xdr:cNvPr>
                <xdr:cNvGrpSpPr/>
              </xdr:nvGrpSpPr>
              <xdr:grpSpPr>
                <a:xfrm>
                  <a:off x="1242023" y="9289134"/>
                  <a:ext cx="471526" cy="358984"/>
                  <a:chOff x="10283423" y="8314710"/>
                  <a:chExt cx="469817" cy="355491"/>
                </a:xfrm>
              </xdr:grpSpPr>
              <xdr:sp macro="" textlink="$AD$26">
                <xdr:nvSpPr>
                  <xdr:cNvPr id="2835" name="Suelo K">
                    <a:extLst>
                      <a:ext uri="{FF2B5EF4-FFF2-40B4-BE49-F238E27FC236}">
                        <a16:creationId xmlns:a16="http://schemas.microsoft.com/office/drawing/2014/main" id="{252F548A-5ED6-5B3F-D666-A25AB9FAF923}"/>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DD81FF8-235A-4243-8CA6-7B051713D17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26">
                <xdr:nvSpPr>
                  <xdr:cNvPr id="2836" name="Triángulo K">
                    <a:extLst>
                      <a:ext uri="{FF2B5EF4-FFF2-40B4-BE49-F238E27FC236}">
                        <a16:creationId xmlns:a16="http://schemas.microsoft.com/office/drawing/2014/main" id="{D288AFD1-50F1-1041-B2CF-B9547F9D5FD6}"/>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742F80-D433-43EB-AFD2-ACCCC79E17A4}"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26">
              <xdr:nvSpPr>
                <xdr:cNvPr id="2834" name="Empotramiento K">
                  <a:extLst>
                    <a:ext uri="{FF2B5EF4-FFF2-40B4-BE49-F238E27FC236}">
                      <a16:creationId xmlns:a16="http://schemas.microsoft.com/office/drawing/2014/main" id="{1B403518-23B8-CA98-9BD2-0EDFE9B6F11D}"/>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01CCED8E-E548-42EE-9DC0-28242874174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78" name="NUDO L">
              <a:extLst>
                <a:ext uri="{FF2B5EF4-FFF2-40B4-BE49-F238E27FC236}">
                  <a16:creationId xmlns:a16="http://schemas.microsoft.com/office/drawing/2014/main" id="{82E6CF26-71AB-3B2C-9ECA-62165D038F94}"/>
                </a:ext>
              </a:extLst>
            </xdr:cNvPr>
            <xdr:cNvGrpSpPr/>
          </xdr:nvGrpSpPr>
          <xdr:grpSpPr>
            <a:xfrm>
              <a:off x="3333279" y="6211145"/>
              <a:ext cx="1384927" cy="688924"/>
              <a:chOff x="4888025" y="6380579"/>
              <a:chExt cx="1384670" cy="692431"/>
            </a:xfrm>
          </xdr:grpSpPr>
          <xdr:grpSp>
            <xdr:nvGrpSpPr>
              <xdr:cNvPr id="2818" name="R L">
                <a:extLst>
                  <a:ext uri="{FF2B5EF4-FFF2-40B4-BE49-F238E27FC236}">
                    <a16:creationId xmlns:a16="http://schemas.microsoft.com/office/drawing/2014/main" id="{BEB803D6-CFA3-4017-7026-4E0C048471EC}"/>
                  </a:ext>
                </a:extLst>
              </xdr:cNvPr>
              <xdr:cNvGrpSpPr/>
            </xdr:nvGrpSpPr>
            <xdr:grpSpPr>
              <a:xfrm>
                <a:off x="5075852" y="6508802"/>
                <a:ext cx="1196843" cy="564208"/>
                <a:chOff x="-576925" y="6302607"/>
                <a:chExt cx="1193853" cy="557114"/>
              </a:xfrm>
            </xdr:grpSpPr>
            <xdr:sp macro="" textlink="RFv_L_Ver">
              <xdr:nvSpPr>
                <xdr:cNvPr id="2827" name="RvL">
                  <a:extLst>
                    <a:ext uri="{FF2B5EF4-FFF2-40B4-BE49-F238E27FC236}">
                      <a16:creationId xmlns:a16="http://schemas.microsoft.com/office/drawing/2014/main" id="{1C691BEF-AC76-338B-F334-3A07A3D8B3FC}"/>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B0590FF-2B56-448E-91C0-243749A0BA0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L_Ver">
              <xdr:nvSpPr>
                <xdr:cNvPr id="2828" name="RhL">
                  <a:extLst>
                    <a:ext uri="{FF2B5EF4-FFF2-40B4-BE49-F238E27FC236}">
                      <a16:creationId xmlns:a16="http://schemas.microsoft.com/office/drawing/2014/main" id="{17017F21-4123-BBA6-2240-3AC9DF827995}"/>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D3C64C9-32C2-4A20-94A5-812357B229FC}"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L_Ver">
              <xdr:nvSpPr>
                <xdr:cNvPr id="2829" name="RM_L">
                  <a:extLst>
                    <a:ext uri="{FF2B5EF4-FFF2-40B4-BE49-F238E27FC236}">
                      <a16:creationId xmlns:a16="http://schemas.microsoft.com/office/drawing/2014/main" id="{0C2BC1BB-5FF3-2DE7-0AC5-7ED0F444289E}"/>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1B44410-E70E-4146-9072-02B877BD98CA}"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819" name="Apoyo L">
                <a:extLst>
                  <a:ext uri="{FF2B5EF4-FFF2-40B4-BE49-F238E27FC236}">
                    <a16:creationId xmlns:a16="http://schemas.microsoft.com/office/drawing/2014/main" id="{0B2C782A-F0F8-033B-3222-7C08F6334E83}"/>
                  </a:ext>
                </a:extLst>
              </xdr:cNvPr>
              <xdr:cNvGrpSpPr/>
            </xdr:nvGrpSpPr>
            <xdr:grpSpPr>
              <a:xfrm>
                <a:off x="4888025" y="6380579"/>
                <a:ext cx="477673" cy="579093"/>
                <a:chOff x="4726743" y="12880171"/>
                <a:chExt cx="476174" cy="580345"/>
              </a:xfrm>
            </xdr:grpSpPr>
            <xdr:grpSp>
              <xdr:nvGrpSpPr>
                <xdr:cNvPr id="2820" name="Apoyo Móvil">
                  <a:extLst>
                    <a:ext uri="{FF2B5EF4-FFF2-40B4-BE49-F238E27FC236}">
                      <a16:creationId xmlns:a16="http://schemas.microsoft.com/office/drawing/2014/main" id="{4B44ACA9-8870-67AF-2C93-8F19978F5097}"/>
                    </a:ext>
                  </a:extLst>
                </xdr:cNvPr>
                <xdr:cNvGrpSpPr/>
              </xdr:nvGrpSpPr>
              <xdr:grpSpPr>
                <a:xfrm>
                  <a:off x="4727383" y="13169289"/>
                  <a:ext cx="475534" cy="291227"/>
                  <a:chOff x="10290702" y="8453513"/>
                  <a:chExt cx="469817" cy="287372"/>
                </a:xfrm>
              </xdr:grpSpPr>
              <xdr:sp macro="" textlink="$AE$27">
                <xdr:nvSpPr>
                  <xdr:cNvPr id="2825" name="Ruedas L">
                    <a:extLst>
                      <a:ext uri="{FF2B5EF4-FFF2-40B4-BE49-F238E27FC236}">
                        <a16:creationId xmlns:a16="http://schemas.microsoft.com/office/drawing/2014/main" id="{017DBED8-CF20-8612-2B1F-4D0278896ADF}"/>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2CF46B3-5A4D-46DD-B9CD-7CD74FF1DEAD}"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7">
                <xdr:nvSpPr>
                  <xdr:cNvPr id="2826" name="Suelo L">
                    <a:extLst>
                      <a:ext uri="{FF2B5EF4-FFF2-40B4-BE49-F238E27FC236}">
                        <a16:creationId xmlns:a16="http://schemas.microsoft.com/office/drawing/2014/main" id="{6BFBB2C3-323E-A5AD-6B67-32C34272CA25}"/>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12F9D5E-705A-4F69-BFD3-01DC16BE4577}"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821" name="Apoyo FIjo">
                  <a:extLst>
                    <a:ext uri="{FF2B5EF4-FFF2-40B4-BE49-F238E27FC236}">
                      <a16:creationId xmlns:a16="http://schemas.microsoft.com/office/drawing/2014/main" id="{98A4D997-B039-96D6-21B0-418A6E9E4DCC}"/>
                    </a:ext>
                  </a:extLst>
                </xdr:cNvPr>
                <xdr:cNvGrpSpPr/>
              </xdr:nvGrpSpPr>
              <xdr:grpSpPr>
                <a:xfrm>
                  <a:off x="4726743" y="13031926"/>
                  <a:ext cx="475534" cy="354860"/>
                  <a:chOff x="10289636" y="8321106"/>
                  <a:chExt cx="469817" cy="350161"/>
                </a:xfrm>
              </xdr:grpSpPr>
              <xdr:sp macro="" textlink="$AC$27">
                <xdr:nvSpPr>
                  <xdr:cNvPr id="2823" name="Triángulo L">
                    <a:extLst>
                      <a:ext uri="{FF2B5EF4-FFF2-40B4-BE49-F238E27FC236}">
                        <a16:creationId xmlns:a16="http://schemas.microsoft.com/office/drawing/2014/main" id="{07655710-8329-1A49-CC64-0734D25D03BF}"/>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B0D419-8180-448A-9F84-D32851FD9A3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7">
                <xdr:nvSpPr>
                  <xdr:cNvPr id="2824" name="Suelo L">
                    <a:extLst>
                      <a:ext uri="{FF2B5EF4-FFF2-40B4-BE49-F238E27FC236}">
                        <a16:creationId xmlns:a16="http://schemas.microsoft.com/office/drawing/2014/main" id="{68E292FC-4D72-389A-B359-5EB3F57CD75D}"/>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A3DCDCE-52A3-4302-82CB-AEB12CB4FDC8}"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7">
              <xdr:nvSpPr>
                <xdr:cNvPr id="2822" name="Empotramiento L">
                  <a:extLst>
                    <a:ext uri="{FF2B5EF4-FFF2-40B4-BE49-F238E27FC236}">
                      <a16:creationId xmlns:a16="http://schemas.microsoft.com/office/drawing/2014/main" id="{954D2372-B339-238C-1F2B-D328C4FA733D}"/>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B4C4C3C3-29E9-463C-9E03-21A2F37D275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79" name="NUDO M">
              <a:extLst>
                <a:ext uri="{FF2B5EF4-FFF2-40B4-BE49-F238E27FC236}">
                  <a16:creationId xmlns:a16="http://schemas.microsoft.com/office/drawing/2014/main" id="{8B79885F-5BE1-C3DE-B05F-7646FC446DAB}"/>
                </a:ext>
              </a:extLst>
            </xdr:cNvPr>
            <xdr:cNvGrpSpPr/>
          </xdr:nvGrpSpPr>
          <xdr:grpSpPr>
            <a:xfrm>
              <a:off x="4044332" y="6210534"/>
              <a:ext cx="1383199" cy="688924"/>
              <a:chOff x="3484802" y="6367216"/>
              <a:chExt cx="1384670" cy="692431"/>
            </a:xfrm>
          </xdr:grpSpPr>
          <xdr:grpSp>
            <xdr:nvGrpSpPr>
              <xdr:cNvPr id="2806" name="R M">
                <a:extLst>
                  <a:ext uri="{FF2B5EF4-FFF2-40B4-BE49-F238E27FC236}">
                    <a16:creationId xmlns:a16="http://schemas.microsoft.com/office/drawing/2014/main" id="{C23670B1-2E61-D2E8-E34F-42B6409F55EB}"/>
                  </a:ext>
                </a:extLst>
              </xdr:cNvPr>
              <xdr:cNvGrpSpPr/>
            </xdr:nvGrpSpPr>
            <xdr:grpSpPr>
              <a:xfrm>
                <a:off x="3672629" y="6495439"/>
                <a:ext cx="1196843" cy="564208"/>
                <a:chOff x="-576925" y="6302607"/>
                <a:chExt cx="1193853" cy="557114"/>
              </a:xfrm>
            </xdr:grpSpPr>
            <xdr:sp macro="" textlink="RFv_M_Ver">
              <xdr:nvSpPr>
                <xdr:cNvPr id="2815" name="RvM">
                  <a:extLst>
                    <a:ext uri="{FF2B5EF4-FFF2-40B4-BE49-F238E27FC236}">
                      <a16:creationId xmlns:a16="http://schemas.microsoft.com/office/drawing/2014/main" id="{012782D6-32BB-1829-0858-3F63C62CB6C4}"/>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C763009-B44D-43BA-803C-23EA2F8F9D77}"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M_Ver">
              <xdr:nvSpPr>
                <xdr:cNvPr id="2816" name="RhM">
                  <a:extLst>
                    <a:ext uri="{FF2B5EF4-FFF2-40B4-BE49-F238E27FC236}">
                      <a16:creationId xmlns:a16="http://schemas.microsoft.com/office/drawing/2014/main" id="{CF44C812-5821-6B86-7563-EE6F15D796CE}"/>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21B6BF8-0869-402F-B1BC-BF10660A688F}"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M_Ver">
              <xdr:nvSpPr>
                <xdr:cNvPr id="2817" name="RM_M">
                  <a:extLst>
                    <a:ext uri="{FF2B5EF4-FFF2-40B4-BE49-F238E27FC236}">
                      <a16:creationId xmlns:a16="http://schemas.microsoft.com/office/drawing/2014/main" id="{74BA66FA-867F-FCCA-9FB8-D0093F7586F3}"/>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A231CDE-7E71-4BE8-8C0A-62922B424363}"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807" name="Apoyo M">
                <a:extLst>
                  <a:ext uri="{FF2B5EF4-FFF2-40B4-BE49-F238E27FC236}">
                    <a16:creationId xmlns:a16="http://schemas.microsoft.com/office/drawing/2014/main" id="{27E33B79-6DE6-23A9-19BC-A551DD86F385}"/>
                  </a:ext>
                </a:extLst>
              </xdr:cNvPr>
              <xdr:cNvGrpSpPr/>
            </xdr:nvGrpSpPr>
            <xdr:grpSpPr>
              <a:xfrm>
                <a:off x="3484802" y="6367216"/>
                <a:ext cx="477673" cy="579093"/>
                <a:chOff x="4726743" y="12880171"/>
                <a:chExt cx="476174" cy="580345"/>
              </a:xfrm>
            </xdr:grpSpPr>
            <xdr:grpSp>
              <xdr:nvGrpSpPr>
                <xdr:cNvPr id="2808" name="Apoyo Móvil">
                  <a:extLst>
                    <a:ext uri="{FF2B5EF4-FFF2-40B4-BE49-F238E27FC236}">
                      <a16:creationId xmlns:a16="http://schemas.microsoft.com/office/drawing/2014/main" id="{E5A97FCE-8D51-A235-82FF-ECDDE4571162}"/>
                    </a:ext>
                  </a:extLst>
                </xdr:cNvPr>
                <xdr:cNvGrpSpPr/>
              </xdr:nvGrpSpPr>
              <xdr:grpSpPr>
                <a:xfrm>
                  <a:off x="4727383" y="13169289"/>
                  <a:ext cx="475534" cy="291227"/>
                  <a:chOff x="10290702" y="8453513"/>
                  <a:chExt cx="469817" cy="287372"/>
                </a:xfrm>
              </xdr:grpSpPr>
              <xdr:sp macro="" textlink="$AE$28">
                <xdr:nvSpPr>
                  <xdr:cNvPr id="2813" name="Ruedas M">
                    <a:extLst>
                      <a:ext uri="{FF2B5EF4-FFF2-40B4-BE49-F238E27FC236}">
                        <a16:creationId xmlns:a16="http://schemas.microsoft.com/office/drawing/2014/main" id="{078C8EE1-BF3F-B177-E439-2D30E5AEE80E}"/>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E78A466-9CC8-47C7-BC80-C7883BAD72C3}"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8">
                <xdr:nvSpPr>
                  <xdr:cNvPr id="2814" name="Suelo M">
                    <a:extLst>
                      <a:ext uri="{FF2B5EF4-FFF2-40B4-BE49-F238E27FC236}">
                        <a16:creationId xmlns:a16="http://schemas.microsoft.com/office/drawing/2014/main" id="{B0C055BC-5B70-356A-1704-8B242DFC7650}"/>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B246354D-7C3F-4CAA-A9F4-0DF56103C73D}"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809" name="Apoyo FIjo">
                  <a:extLst>
                    <a:ext uri="{FF2B5EF4-FFF2-40B4-BE49-F238E27FC236}">
                      <a16:creationId xmlns:a16="http://schemas.microsoft.com/office/drawing/2014/main" id="{C2A1FB01-C435-38F5-1959-08C4BD52E184}"/>
                    </a:ext>
                  </a:extLst>
                </xdr:cNvPr>
                <xdr:cNvGrpSpPr/>
              </xdr:nvGrpSpPr>
              <xdr:grpSpPr>
                <a:xfrm>
                  <a:off x="4726743" y="13031926"/>
                  <a:ext cx="475534" cy="354860"/>
                  <a:chOff x="10289636" y="8321106"/>
                  <a:chExt cx="469817" cy="350161"/>
                </a:xfrm>
              </xdr:grpSpPr>
              <xdr:sp macro="" textlink="$AC$28">
                <xdr:nvSpPr>
                  <xdr:cNvPr id="2811" name="Triángulo M">
                    <a:extLst>
                      <a:ext uri="{FF2B5EF4-FFF2-40B4-BE49-F238E27FC236}">
                        <a16:creationId xmlns:a16="http://schemas.microsoft.com/office/drawing/2014/main" id="{BFC64CD5-1AC3-3CFE-9BCA-293B77BF12D2}"/>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F285E5-BD5A-469C-B700-94AB636128AD}"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8">
                <xdr:nvSpPr>
                  <xdr:cNvPr id="2812" name="Suelo M">
                    <a:extLst>
                      <a:ext uri="{FF2B5EF4-FFF2-40B4-BE49-F238E27FC236}">
                        <a16:creationId xmlns:a16="http://schemas.microsoft.com/office/drawing/2014/main" id="{41A692D7-CC49-B03F-CDDD-282E01ECF7A3}"/>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94B72B0-DB91-4851-9CC0-43A7C7EAE15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8">
              <xdr:nvSpPr>
                <xdr:cNvPr id="2810" name="Empotramiento M">
                  <a:extLst>
                    <a:ext uri="{FF2B5EF4-FFF2-40B4-BE49-F238E27FC236}">
                      <a16:creationId xmlns:a16="http://schemas.microsoft.com/office/drawing/2014/main" id="{F79B9F47-DD33-AA51-A90F-A0B4E1634CC6}"/>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E0F30D1-C7D9-4A22-B829-FA415160E83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80" name="NUDO N">
              <a:extLst>
                <a:ext uri="{FF2B5EF4-FFF2-40B4-BE49-F238E27FC236}">
                  <a16:creationId xmlns:a16="http://schemas.microsoft.com/office/drawing/2014/main" id="{158C24EF-33BA-AD86-9652-62ADA25E97C4}"/>
                </a:ext>
              </a:extLst>
            </xdr:cNvPr>
            <xdr:cNvGrpSpPr/>
          </xdr:nvGrpSpPr>
          <xdr:grpSpPr>
            <a:xfrm>
              <a:off x="4736759" y="6224508"/>
              <a:ext cx="1382227" cy="688924"/>
              <a:chOff x="4742274" y="6224169"/>
              <a:chExt cx="1382752" cy="686451"/>
            </a:xfrm>
          </xdr:grpSpPr>
          <xdr:grpSp>
            <xdr:nvGrpSpPr>
              <xdr:cNvPr id="2794" name="R N">
                <a:extLst>
                  <a:ext uri="{FF2B5EF4-FFF2-40B4-BE49-F238E27FC236}">
                    <a16:creationId xmlns:a16="http://schemas.microsoft.com/office/drawing/2014/main" id="{206216AA-49EE-18EE-29AD-815253A5C8B3}"/>
                  </a:ext>
                </a:extLst>
              </xdr:cNvPr>
              <xdr:cNvGrpSpPr/>
            </xdr:nvGrpSpPr>
            <xdr:grpSpPr>
              <a:xfrm>
                <a:off x="4929841" y="6351285"/>
                <a:ext cx="1195185" cy="559335"/>
                <a:chOff x="-576925" y="6302607"/>
                <a:chExt cx="1193853" cy="557114"/>
              </a:xfrm>
            </xdr:grpSpPr>
            <xdr:sp macro="" textlink="RFv_N_Ver">
              <xdr:nvSpPr>
                <xdr:cNvPr id="2803" name="RvN">
                  <a:extLst>
                    <a:ext uri="{FF2B5EF4-FFF2-40B4-BE49-F238E27FC236}">
                      <a16:creationId xmlns:a16="http://schemas.microsoft.com/office/drawing/2014/main" id="{FB2DA698-8265-07C7-B543-DCD4D6C30C43}"/>
                    </a:ext>
                  </a:extLst>
                </xdr:cNvPr>
                <xdr:cNvSpPr txBox="1"/>
              </xdr:nvSpPr>
              <xdr:spPr>
                <a:xfrm>
                  <a:off x="-576925" y="6690322"/>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5886EDB3-D369-4EBD-AEC7-1F3244707836}"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Fh_N_Ver">
              <xdr:nvSpPr>
                <xdr:cNvPr id="2804" name="RhN">
                  <a:extLst>
                    <a:ext uri="{FF2B5EF4-FFF2-40B4-BE49-F238E27FC236}">
                      <a16:creationId xmlns:a16="http://schemas.microsoft.com/office/drawing/2014/main" id="{C3DA5C7F-F4AC-5400-9FBC-3DB28AA53C8E}"/>
                    </a:ext>
                  </a:extLst>
                </xdr:cNvPr>
                <xdr:cNvSpPr txBox="1"/>
              </xdr:nvSpPr>
              <xdr:spPr>
                <a:xfrm>
                  <a:off x="-356064" y="6523748"/>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6F86A9B-712C-4894-9DD2-B89E616C91D2}"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N_Ver">
              <xdr:nvSpPr>
                <xdr:cNvPr id="2805" name="RM_N">
                  <a:extLst>
                    <a:ext uri="{FF2B5EF4-FFF2-40B4-BE49-F238E27FC236}">
                      <a16:creationId xmlns:a16="http://schemas.microsoft.com/office/drawing/2014/main" id="{39BDC3E8-6495-45D9-0956-D1151298EA17}"/>
                    </a:ext>
                  </a:extLst>
                </xdr:cNvPr>
                <xdr:cNvSpPr txBox="1"/>
              </xdr:nvSpPr>
              <xdr:spPr>
                <a:xfrm>
                  <a:off x="-361245" y="6302607"/>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4450F07-C13A-4AB7-8C22-CBB562DF05F8}"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795" name="Apoyo N">
                <a:extLst>
                  <a:ext uri="{FF2B5EF4-FFF2-40B4-BE49-F238E27FC236}">
                    <a16:creationId xmlns:a16="http://schemas.microsoft.com/office/drawing/2014/main" id="{D84A0F67-55CC-32B3-763A-7202F49DC69F}"/>
                  </a:ext>
                </a:extLst>
              </xdr:cNvPr>
              <xdr:cNvGrpSpPr/>
            </xdr:nvGrpSpPr>
            <xdr:grpSpPr>
              <a:xfrm>
                <a:off x="4742274" y="6224169"/>
                <a:ext cx="477011" cy="574092"/>
                <a:chOff x="4726743" y="12880171"/>
                <a:chExt cx="476174" cy="580345"/>
              </a:xfrm>
            </xdr:grpSpPr>
            <xdr:grpSp>
              <xdr:nvGrpSpPr>
                <xdr:cNvPr id="2796" name="Apoyo Móvil">
                  <a:extLst>
                    <a:ext uri="{FF2B5EF4-FFF2-40B4-BE49-F238E27FC236}">
                      <a16:creationId xmlns:a16="http://schemas.microsoft.com/office/drawing/2014/main" id="{7841BB5D-C1CD-1B13-ACCE-AD16D92387E4}"/>
                    </a:ext>
                  </a:extLst>
                </xdr:cNvPr>
                <xdr:cNvGrpSpPr/>
              </xdr:nvGrpSpPr>
              <xdr:grpSpPr>
                <a:xfrm>
                  <a:off x="4727383" y="13169289"/>
                  <a:ext cx="475534" cy="291227"/>
                  <a:chOff x="10290702" y="8453513"/>
                  <a:chExt cx="469817" cy="287372"/>
                </a:xfrm>
              </xdr:grpSpPr>
              <xdr:sp macro="" textlink="$AE$29">
                <xdr:nvSpPr>
                  <xdr:cNvPr id="2801" name="Ruedas N">
                    <a:extLst>
                      <a:ext uri="{FF2B5EF4-FFF2-40B4-BE49-F238E27FC236}">
                        <a16:creationId xmlns:a16="http://schemas.microsoft.com/office/drawing/2014/main" id="{E9DFB688-D25C-A545-1892-0CC89C4D8284}"/>
                      </a:ext>
                    </a:extLst>
                  </xdr:cNvPr>
                  <xdr:cNvSpPr txBox="1"/>
                </xdr:nvSpPr>
                <xdr:spPr>
                  <a:xfrm>
                    <a:off x="10290702" y="8453513"/>
                    <a:ext cx="469817" cy="273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F3C49818-DE30-4C8A-9126-1C4FEBC65539}"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AF$29">
                <xdr:nvSpPr>
                  <xdr:cNvPr id="2802" name="Suelo N">
                    <a:extLst>
                      <a:ext uri="{FF2B5EF4-FFF2-40B4-BE49-F238E27FC236}">
                        <a16:creationId xmlns:a16="http://schemas.microsoft.com/office/drawing/2014/main" id="{52C456A5-FA59-0D48-F728-C6D2F1F53AFA}"/>
                      </a:ext>
                    </a:extLst>
                  </xdr:cNvPr>
                  <xdr:cNvSpPr txBox="1"/>
                </xdr:nvSpPr>
                <xdr:spPr>
                  <a:xfrm rot="10800000">
                    <a:off x="10290702" y="8468624"/>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A4E30AC-4D54-4B6F-83C5-F6F18D0F14F9}"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797" name="Apoyo FIjo">
                  <a:extLst>
                    <a:ext uri="{FF2B5EF4-FFF2-40B4-BE49-F238E27FC236}">
                      <a16:creationId xmlns:a16="http://schemas.microsoft.com/office/drawing/2014/main" id="{4CD579D8-EEA7-D8B1-9828-5137F337F296}"/>
                    </a:ext>
                  </a:extLst>
                </xdr:cNvPr>
                <xdr:cNvGrpSpPr/>
              </xdr:nvGrpSpPr>
              <xdr:grpSpPr>
                <a:xfrm>
                  <a:off x="4726743" y="13031926"/>
                  <a:ext cx="475534" cy="354860"/>
                  <a:chOff x="10289636" y="8321106"/>
                  <a:chExt cx="469817" cy="350161"/>
                </a:xfrm>
              </xdr:grpSpPr>
              <xdr:sp macro="" textlink="$AC$29">
                <xdr:nvSpPr>
                  <xdr:cNvPr id="2799" name="Triángulo N">
                    <a:extLst>
                      <a:ext uri="{FF2B5EF4-FFF2-40B4-BE49-F238E27FC236}">
                        <a16:creationId xmlns:a16="http://schemas.microsoft.com/office/drawing/2014/main" id="{9F41CDA8-DF75-429F-E32A-BD912ED3DBAD}"/>
                      </a:ext>
                    </a:extLst>
                  </xdr:cNvPr>
                  <xdr:cNvSpPr txBox="1"/>
                </xdr:nvSpPr>
                <xdr:spPr>
                  <a:xfrm>
                    <a:off x="10381953" y="8321106"/>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7D8DCE-E58F-41BB-9615-EB56E9CB7751}"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AD$29">
                <xdr:nvSpPr>
                  <xdr:cNvPr id="2800" name="Suelo N">
                    <a:extLst>
                      <a:ext uri="{FF2B5EF4-FFF2-40B4-BE49-F238E27FC236}">
                        <a16:creationId xmlns:a16="http://schemas.microsoft.com/office/drawing/2014/main" id="{45536F34-6A3B-9751-DBEF-13CEB84A4B0B}"/>
                      </a:ext>
                    </a:extLst>
                  </xdr:cNvPr>
                  <xdr:cNvSpPr txBox="1"/>
                </xdr:nvSpPr>
                <xdr:spPr>
                  <a:xfrm rot="10800000">
                    <a:off x="10289636" y="8399006"/>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46808C00-545A-44A2-8B09-A893562F590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sp macro="" textlink="$AB$29">
              <xdr:nvSpPr>
                <xdr:cNvPr id="2798" name="Empotramiento N">
                  <a:extLst>
                    <a:ext uri="{FF2B5EF4-FFF2-40B4-BE49-F238E27FC236}">
                      <a16:creationId xmlns:a16="http://schemas.microsoft.com/office/drawing/2014/main" id="{30308D4C-5C43-1513-63B3-962F11776242}"/>
                    </a:ext>
                  </a:extLst>
                </xdr:cNvPr>
                <xdr:cNvSpPr txBox="1"/>
              </xdr:nvSpPr>
              <xdr:spPr>
                <a:xfrm rot="5400000">
                  <a:off x="4744682" y="12980455"/>
                  <a:ext cx="476133" cy="275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87748AC-FCC4-4D07-B1AB-FEB28A9D5114}"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nvGrpSpPr>
            <xdr:cNvPr id="2781" name="NUDO O">
              <a:extLst>
                <a:ext uri="{FF2B5EF4-FFF2-40B4-BE49-F238E27FC236}">
                  <a16:creationId xmlns:a16="http://schemas.microsoft.com/office/drawing/2014/main" id="{A6EFA85F-9A3F-2E48-0929-DC28DC7AD259}"/>
                </a:ext>
              </a:extLst>
            </xdr:cNvPr>
            <xdr:cNvGrpSpPr/>
          </xdr:nvGrpSpPr>
          <xdr:grpSpPr>
            <a:xfrm>
              <a:off x="3320201" y="7036864"/>
              <a:ext cx="1876975" cy="587288"/>
              <a:chOff x="3315459" y="7053645"/>
              <a:chExt cx="1876013" cy="591593"/>
            </a:xfrm>
          </xdr:grpSpPr>
          <xdr:grpSp>
            <xdr:nvGrpSpPr>
              <xdr:cNvPr id="2782" name="R O">
                <a:extLst>
                  <a:ext uri="{FF2B5EF4-FFF2-40B4-BE49-F238E27FC236}">
                    <a16:creationId xmlns:a16="http://schemas.microsoft.com/office/drawing/2014/main" id="{98982601-0733-B5C3-1DFF-314E698762B3}"/>
                  </a:ext>
                </a:extLst>
              </xdr:cNvPr>
              <xdr:cNvGrpSpPr/>
            </xdr:nvGrpSpPr>
            <xdr:grpSpPr>
              <a:xfrm>
                <a:off x="3315459" y="7247927"/>
                <a:ext cx="1876013" cy="397311"/>
                <a:chOff x="-55801" y="7087099"/>
                <a:chExt cx="1876363" cy="391557"/>
              </a:xfrm>
            </xdr:grpSpPr>
            <xdr:sp macro="" textlink="RFv_O_Ver">
              <xdr:nvSpPr>
                <xdr:cNvPr id="2791" name="RvO">
                  <a:extLst>
                    <a:ext uri="{FF2B5EF4-FFF2-40B4-BE49-F238E27FC236}">
                      <a16:creationId xmlns:a16="http://schemas.microsoft.com/office/drawing/2014/main" id="{9DE2B128-F805-58D1-2345-959B5EDB98B3}"/>
                    </a:ext>
                  </a:extLst>
                </xdr:cNvPr>
                <xdr:cNvSpPr txBox="1"/>
              </xdr:nvSpPr>
              <xdr:spPr>
                <a:xfrm>
                  <a:off x="-1825" y="7309257"/>
                  <a:ext cx="973891" cy="16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AE10C883-DAEC-48C6-A9D5-BB2C2B741D76}" type="TxLink">
                    <a:rPr lang="en-US" sz="1100" b="1" i="0" u="none" strike="noStrike">
                      <a:solidFill>
                        <a:srgbClr val="FF0000"/>
                      </a:solidFill>
                      <a:latin typeface="Calibri"/>
                      <a:ea typeface="Calibri"/>
                      <a:cs typeface="Calibri"/>
                    </a:rPr>
                    <a:pPr algn="r"/>
                    <a:t> </a:t>
                  </a:fld>
                  <a:endParaRPr lang="es-ES" sz="1100" b="1">
                    <a:solidFill>
                      <a:srgbClr val="00B050"/>
                    </a:solidFill>
                  </a:endParaRPr>
                </a:p>
              </xdr:txBody>
            </xdr:sp>
            <xdr:sp macro="" textlink="RFh_O_Ver">
              <xdr:nvSpPr>
                <xdr:cNvPr id="2792" name="RhO">
                  <a:extLst>
                    <a:ext uri="{FF2B5EF4-FFF2-40B4-BE49-F238E27FC236}">
                      <a16:creationId xmlns:a16="http://schemas.microsoft.com/office/drawing/2014/main" id="{39D3AB4B-345B-A29B-058D-CC92BC5CEA15}"/>
                    </a:ext>
                  </a:extLst>
                </xdr:cNvPr>
                <xdr:cNvSpPr txBox="1"/>
              </xdr:nvSpPr>
              <xdr:spPr>
                <a:xfrm>
                  <a:off x="-55801" y="7087099"/>
                  <a:ext cx="972992"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094463D-6F7F-4257-8B44-C4AD8D28477C}"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sp macro="" textlink="RM_O_Ver">
              <xdr:nvSpPr>
                <xdr:cNvPr id="2793" name="RM_O">
                  <a:extLst>
                    <a:ext uri="{FF2B5EF4-FFF2-40B4-BE49-F238E27FC236}">
                      <a16:creationId xmlns:a16="http://schemas.microsoft.com/office/drawing/2014/main" id="{F970FB1F-27FB-BC2D-3172-8805A3DE31B8}"/>
                    </a:ext>
                  </a:extLst>
                </xdr:cNvPr>
                <xdr:cNvSpPr txBox="1"/>
              </xdr:nvSpPr>
              <xdr:spPr>
                <a:xfrm>
                  <a:off x="850239" y="7112196"/>
                  <a:ext cx="970323" cy="1717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0746AACC-F734-4FD5-BE0D-A66A1A16B704}" type="TxLink">
                    <a:rPr lang="en-US" sz="1100" b="1" i="0" u="none" strike="noStrike">
                      <a:solidFill>
                        <a:srgbClr val="FF0000"/>
                      </a:solidFill>
                      <a:latin typeface="Calibri"/>
                      <a:ea typeface="Calibri"/>
                      <a:cs typeface="Calibri"/>
                    </a:rPr>
                    <a:pPr algn="l"/>
                    <a:t> </a:t>
                  </a:fld>
                  <a:endParaRPr lang="es-ES" sz="1100" b="1">
                    <a:solidFill>
                      <a:srgbClr val="00B050"/>
                    </a:solidFill>
                  </a:endParaRPr>
                </a:p>
              </xdr:txBody>
            </xdr:sp>
          </xdr:grpSp>
          <xdr:grpSp>
            <xdr:nvGrpSpPr>
              <xdr:cNvPr id="2783" name="Apoyo O">
                <a:extLst>
                  <a:ext uri="{FF2B5EF4-FFF2-40B4-BE49-F238E27FC236}">
                    <a16:creationId xmlns:a16="http://schemas.microsoft.com/office/drawing/2014/main" id="{93CB0FDA-7365-230F-CB78-E61D46FB517F}"/>
                  </a:ext>
                </a:extLst>
              </xdr:cNvPr>
              <xdr:cNvGrpSpPr/>
            </xdr:nvGrpSpPr>
            <xdr:grpSpPr>
              <a:xfrm>
                <a:off x="4035140" y="7053645"/>
                <a:ext cx="470962" cy="447395"/>
                <a:chOff x="1241967" y="9263559"/>
                <a:chExt cx="471890" cy="446201"/>
              </a:xfrm>
            </xdr:grpSpPr>
            <xdr:grpSp>
              <xdr:nvGrpSpPr>
                <xdr:cNvPr id="2784" name="Apoyo Móvil">
                  <a:extLst>
                    <a:ext uri="{FF2B5EF4-FFF2-40B4-BE49-F238E27FC236}">
                      <a16:creationId xmlns:a16="http://schemas.microsoft.com/office/drawing/2014/main" id="{B9BE7C9C-2E82-9E37-541B-B16D88D277D6}"/>
                    </a:ext>
                  </a:extLst>
                </xdr:cNvPr>
                <xdr:cNvGrpSpPr/>
              </xdr:nvGrpSpPr>
              <xdr:grpSpPr>
                <a:xfrm>
                  <a:off x="1242331" y="9419552"/>
                  <a:ext cx="471526" cy="290208"/>
                  <a:chOff x="10284165" y="8440687"/>
                  <a:chExt cx="469817" cy="287384"/>
                </a:xfrm>
              </xdr:grpSpPr>
              <xdr:sp macro="" textlink="$AF$30">
                <xdr:nvSpPr>
                  <xdr:cNvPr id="2789" name="Suelo O">
                    <a:extLst>
                      <a:ext uri="{FF2B5EF4-FFF2-40B4-BE49-F238E27FC236}">
                        <a16:creationId xmlns:a16="http://schemas.microsoft.com/office/drawing/2014/main" id="{0D46CB5C-5250-BF46-9B67-4FF1197BE601}"/>
                      </a:ext>
                    </a:extLst>
                  </xdr:cNvPr>
                  <xdr:cNvSpPr txBox="1"/>
                </xdr:nvSpPr>
                <xdr:spPr>
                  <a:xfrm rot="10800000">
                    <a:off x="10284165" y="8455811"/>
                    <a:ext cx="469817" cy="272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EEE8C2A1-74A3-4774-836F-823CA4CC4E70}"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E$30">
                <xdr:nvSpPr>
                  <xdr:cNvPr id="2790" name="Ruedas O">
                    <a:extLst>
                      <a:ext uri="{FF2B5EF4-FFF2-40B4-BE49-F238E27FC236}">
                        <a16:creationId xmlns:a16="http://schemas.microsoft.com/office/drawing/2014/main" id="{6860D3EA-A536-28B4-DD88-EF5E064A8E33}"/>
                      </a:ext>
                    </a:extLst>
                  </xdr:cNvPr>
                  <xdr:cNvSpPr txBox="1"/>
                </xdr:nvSpPr>
                <xdr:spPr>
                  <a:xfrm>
                    <a:off x="10284165" y="8440687"/>
                    <a:ext cx="469817" cy="27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FC3E696-B4C5-4092-91C3-CA76DDF6C47C}" type="TxLink">
                      <a:rPr lang="en-US" sz="1100" b="1" i="0" u="none" strike="noStrike">
                        <a:solidFill>
                          <a:srgbClr val="FF0000"/>
                        </a:solidFill>
                        <a:latin typeface="Calibri"/>
                        <a:ea typeface="Calibri"/>
                        <a:cs typeface="Calibri"/>
                      </a:rPr>
                      <a:pPr algn="ctr"/>
                      <a:t> </a:t>
                    </a:fld>
                    <a:endParaRPr lang="es-ES" sz="1400" b="1">
                      <a:solidFill>
                        <a:srgbClr val="FF0000"/>
                      </a:solidFill>
                    </a:endParaRPr>
                  </a:p>
                </xdr:txBody>
              </xdr:sp>
            </xdr:grpSp>
            <xdr:grpSp>
              <xdr:nvGrpSpPr>
                <xdr:cNvPr id="2785" name="Apoyo FIjo">
                  <a:extLst>
                    <a:ext uri="{FF2B5EF4-FFF2-40B4-BE49-F238E27FC236}">
                      <a16:creationId xmlns:a16="http://schemas.microsoft.com/office/drawing/2014/main" id="{6DD780C7-9042-9017-7E56-AA4ECD79EEE4}"/>
                    </a:ext>
                  </a:extLst>
                </xdr:cNvPr>
                <xdr:cNvGrpSpPr/>
              </xdr:nvGrpSpPr>
              <xdr:grpSpPr>
                <a:xfrm>
                  <a:off x="1242023" y="9289134"/>
                  <a:ext cx="471526" cy="358984"/>
                  <a:chOff x="10283423" y="8314710"/>
                  <a:chExt cx="469817" cy="355491"/>
                </a:xfrm>
              </xdr:grpSpPr>
              <xdr:sp macro="" textlink="$AD$30">
                <xdr:nvSpPr>
                  <xdr:cNvPr id="2787" name="Suelo O">
                    <a:extLst>
                      <a:ext uri="{FF2B5EF4-FFF2-40B4-BE49-F238E27FC236}">
                        <a16:creationId xmlns:a16="http://schemas.microsoft.com/office/drawing/2014/main" id="{F4C3B468-DCD5-CEF3-B483-8B19BE09E412}"/>
                      </a:ext>
                    </a:extLst>
                  </xdr:cNvPr>
                  <xdr:cNvSpPr txBox="1"/>
                </xdr:nvSpPr>
                <xdr:spPr>
                  <a:xfrm rot="10800000">
                    <a:off x="10283423" y="8397940"/>
                    <a:ext cx="469817" cy="272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E06FE54-1113-40C4-BD17-F88845924B63}"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sp macro="" textlink="$AC$30">
                <xdr:nvSpPr>
                  <xdr:cNvPr id="2788" name="Triángulo O">
                    <a:extLst>
                      <a:ext uri="{FF2B5EF4-FFF2-40B4-BE49-F238E27FC236}">
                        <a16:creationId xmlns:a16="http://schemas.microsoft.com/office/drawing/2014/main" id="{54D75198-2F09-F560-A74B-F2C8273D246D}"/>
                      </a:ext>
                    </a:extLst>
                  </xdr:cNvPr>
                  <xdr:cNvSpPr txBox="1"/>
                </xdr:nvSpPr>
                <xdr:spPr>
                  <a:xfrm>
                    <a:off x="10376783" y="8314710"/>
                    <a:ext cx="286633" cy="27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F436A5-337A-4E68-9879-A72302E588FF}" type="TxLink">
                      <a:rPr lang="en-US" sz="1400" b="1" i="0" u="none" strike="noStrike">
                        <a:solidFill>
                          <a:srgbClr val="FF0000"/>
                        </a:solidFill>
                        <a:latin typeface="Calibri"/>
                        <a:ea typeface="Calibri"/>
                        <a:cs typeface="Calibri"/>
                      </a:rPr>
                      <a:pPr algn="ctr"/>
                      <a:t> </a:t>
                    </a:fld>
                    <a:endParaRPr lang="es-ES" sz="1400" b="0">
                      <a:solidFill>
                        <a:srgbClr val="FF0000"/>
                      </a:solidFill>
                    </a:endParaRPr>
                  </a:p>
                </xdr:txBody>
              </xdr:sp>
            </xdr:grpSp>
            <xdr:sp macro="" textlink="$AB$30">
              <xdr:nvSpPr>
                <xdr:cNvPr id="2786" name="Empotramiento O">
                  <a:extLst>
                    <a:ext uri="{FF2B5EF4-FFF2-40B4-BE49-F238E27FC236}">
                      <a16:creationId xmlns:a16="http://schemas.microsoft.com/office/drawing/2014/main" id="{2B2E82C8-7797-C69F-A36E-57CD690813E3}"/>
                    </a:ext>
                  </a:extLst>
                </xdr:cNvPr>
                <xdr:cNvSpPr txBox="1"/>
              </xdr:nvSpPr>
              <xdr:spPr>
                <a:xfrm rot="10800000">
                  <a:off x="1241967" y="9263559"/>
                  <a:ext cx="471526" cy="274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A13DD8D3-BE3E-470F-A8F4-B496E3F3CAA5}" type="TxLink">
                    <a:rPr lang="en-US" sz="1100" b="1" i="0" u="sng" strike="noStrike">
                      <a:solidFill>
                        <a:srgbClr val="FF0000"/>
                      </a:solidFill>
                      <a:latin typeface="Calibri"/>
                      <a:ea typeface="Calibri"/>
                      <a:cs typeface="Calibri"/>
                    </a:rPr>
                    <a:pPr algn="ctr"/>
                    <a:t> </a:t>
                  </a:fld>
                  <a:endParaRPr lang="es-ES" sz="1400" b="1">
                    <a:solidFill>
                      <a:srgbClr val="FF0000"/>
                    </a:solidFill>
                  </a:endParaRPr>
                </a:p>
              </xdr:txBody>
            </xdr:sp>
          </xdr:grpSp>
        </xdr:grpSp>
      </xdr:grpSp>
      <xdr:grpSp>
        <xdr:nvGrpSpPr>
          <xdr:cNvPr id="2492" name="ESTRUCTURA">
            <a:extLst>
              <a:ext uri="{FF2B5EF4-FFF2-40B4-BE49-F238E27FC236}">
                <a16:creationId xmlns:a16="http://schemas.microsoft.com/office/drawing/2014/main" id="{9A60F039-EFA9-6CA6-1F23-23A9323BCF65}"/>
              </a:ext>
            </a:extLst>
          </xdr:cNvPr>
          <xdr:cNvGrpSpPr/>
        </xdr:nvGrpSpPr>
        <xdr:grpSpPr>
          <a:xfrm>
            <a:off x="96785" y="5591092"/>
            <a:ext cx="4947500" cy="2820986"/>
            <a:chOff x="96785" y="5580656"/>
            <a:chExt cx="4939231" cy="2845350"/>
          </a:xfrm>
        </xdr:grpSpPr>
        <xdr:grpSp>
          <xdr:nvGrpSpPr>
            <xdr:cNvPr id="2650" name="AB">
              <a:extLst>
                <a:ext uri="{FF2B5EF4-FFF2-40B4-BE49-F238E27FC236}">
                  <a16:creationId xmlns:a16="http://schemas.microsoft.com/office/drawing/2014/main" id="{6626B32E-4E92-CCE6-9097-63CF58C7D818}"/>
                </a:ext>
              </a:extLst>
            </xdr:cNvPr>
            <xdr:cNvGrpSpPr/>
          </xdr:nvGrpSpPr>
          <xdr:grpSpPr>
            <a:xfrm>
              <a:off x="96785" y="7577763"/>
              <a:ext cx="751918" cy="836724"/>
              <a:chOff x="96785" y="7577763"/>
              <a:chExt cx="751918" cy="836724"/>
            </a:xfrm>
          </xdr:grpSpPr>
          <xdr:sp macro="" textlink="$Y$15">
            <xdr:nvSpPr>
              <xdr:cNvPr id="2760" name="Barra AB">
                <a:extLst>
                  <a:ext uri="{FF2B5EF4-FFF2-40B4-BE49-F238E27FC236}">
                    <a16:creationId xmlns:a16="http://schemas.microsoft.com/office/drawing/2014/main" id="{593F0626-4860-0A5D-294A-9FA16094357D}"/>
                  </a:ext>
                </a:extLst>
              </xdr:cNvPr>
              <xdr:cNvSpPr txBox="1"/>
            </xdr:nvSpPr>
            <xdr:spPr>
              <a:xfrm rot="16200000">
                <a:off x="420962" y="7931694"/>
                <a:ext cx="708099" cy="1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199A997-BF91-48FD-92F0-E50BD19F794A}"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761" name="Cota">
                <a:extLst>
                  <a:ext uri="{FF2B5EF4-FFF2-40B4-BE49-F238E27FC236}">
                    <a16:creationId xmlns:a16="http://schemas.microsoft.com/office/drawing/2014/main" id="{6EEB45FE-1A68-A1C4-6DA2-2F31A9AF5A94}"/>
                  </a:ext>
                </a:extLst>
              </xdr:cNvPr>
              <xdr:cNvGrpSpPr/>
            </xdr:nvGrpSpPr>
            <xdr:grpSpPr>
              <a:xfrm>
                <a:off x="96785" y="7577763"/>
                <a:ext cx="594232" cy="836724"/>
                <a:chOff x="10021477" y="7645975"/>
                <a:chExt cx="594182" cy="843363"/>
              </a:xfrm>
            </xdr:grpSpPr>
            <xdr:sp macro="" textlink="$AA$15">
              <xdr:nvSpPr>
                <xdr:cNvPr id="2763" name="Vertical BA">
                  <a:extLst>
                    <a:ext uri="{FF2B5EF4-FFF2-40B4-BE49-F238E27FC236}">
                      <a16:creationId xmlns:a16="http://schemas.microsoft.com/office/drawing/2014/main" id="{0F0C8E15-A188-333A-81CB-371C117FD8D2}"/>
                    </a:ext>
                  </a:extLst>
                </xdr:cNvPr>
                <xdr:cNvSpPr txBox="1"/>
              </xdr:nvSpPr>
              <xdr:spPr>
                <a:xfrm>
                  <a:off x="10103075"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4693C7F9-C5C4-4D9B-8B20-6D20BE3F0E04}"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AB_Ver">
              <xdr:nvSpPr>
                <xdr:cNvPr id="2764" name="L_AB">
                  <a:extLst>
                    <a:ext uri="{FF2B5EF4-FFF2-40B4-BE49-F238E27FC236}">
                      <a16:creationId xmlns:a16="http://schemas.microsoft.com/office/drawing/2014/main" id="{8E03A348-0A3C-63BC-6842-0A4CA9A14864}"/>
                    </a:ext>
                  </a:extLst>
                </xdr:cNvPr>
                <xdr:cNvSpPr txBox="1"/>
              </xdr:nvSpPr>
              <xdr:spPr>
                <a:xfrm rot="16200000">
                  <a:off x="977676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0BBCFF5-3C36-4CFD-AAB0-79507C53DED4}" type="TxLink">
                    <a:rPr lang="en-US" sz="900" b="0" i="0" u="none" strike="noStrike">
                      <a:solidFill>
                        <a:srgbClr val="000000"/>
                      </a:solidFill>
                      <a:latin typeface="Calibri"/>
                      <a:ea typeface="Calibri"/>
                      <a:cs typeface="Calibri"/>
                    </a:rPr>
                    <a:pPr algn="ctr"/>
                    <a:t> </a:t>
                  </a:fld>
                  <a:endParaRPr lang="es-ES" sz="1100"/>
                </a:p>
              </xdr:txBody>
            </xdr:sp>
            <xdr:sp macro="" textlink="$Z$15">
              <xdr:nvSpPr>
                <xdr:cNvPr id="2765" name="Flecha AB">
                  <a:extLst>
                    <a:ext uri="{FF2B5EF4-FFF2-40B4-BE49-F238E27FC236}">
                      <a16:creationId xmlns:a16="http://schemas.microsoft.com/office/drawing/2014/main" id="{CCD5A672-0D00-457A-11A7-996125B27906}"/>
                    </a:ext>
                  </a:extLst>
                </xdr:cNvPr>
                <xdr:cNvSpPr txBox="1"/>
              </xdr:nvSpPr>
              <xdr:spPr>
                <a:xfrm rot="16200000">
                  <a:off x="9836444" y="7904551"/>
                  <a:ext cx="713169" cy="343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F22FE89-DF16-4C88-803D-A5EB2F15DE5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5">
              <xdr:nvSpPr>
                <xdr:cNvPr id="2766" name="Vertical AB">
                  <a:extLst>
                    <a:ext uri="{FF2B5EF4-FFF2-40B4-BE49-F238E27FC236}">
                      <a16:creationId xmlns:a16="http://schemas.microsoft.com/office/drawing/2014/main" id="{29F729F5-A01D-9C1A-E7F6-8C35FD3BD1AA}"/>
                    </a:ext>
                  </a:extLst>
                </xdr:cNvPr>
                <xdr:cNvSpPr txBox="1"/>
              </xdr:nvSpPr>
              <xdr:spPr>
                <a:xfrm>
                  <a:off x="10099504" y="8337373"/>
                  <a:ext cx="507963"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34732A0-EBB4-48DC-AA26-4C5D2E0E94E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5">
            <xdr:nvSpPr>
              <xdr:cNvPr id="2762" name="A">
                <a:extLst>
                  <a:ext uri="{FF2B5EF4-FFF2-40B4-BE49-F238E27FC236}">
                    <a16:creationId xmlns:a16="http://schemas.microsoft.com/office/drawing/2014/main" id="{CC15DFA2-A0D3-E605-36DA-92209FA392F7}"/>
                  </a:ext>
                </a:extLst>
              </xdr:cNvPr>
              <xdr:cNvSpPr txBox="1"/>
            </xdr:nvSpPr>
            <xdr:spPr>
              <a:xfrm>
                <a:off x="669116" y="8223599"/>
                <a:ext cx="80324" cy="156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C941F89-CD4D-4DCC-BBBA-EAADF87ECBB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51" name="BC">
              <a:extLst>
                <a:ext uri="{FF2B5EF4-FFF2-40B4-BE49-F238E27FC236}">
                  <a16:creationId xmlns:a16="http://schemas.microsoft.com/office/drawing/2014/main" id="{02D610C0-51BA-A242-66EB-5E6B5182EC26}"/>
                </a:ext>
              </a:extLst>
            </xdr:cNvPr>
            <xdr:cNvGrpSpPr/>
          </xdr:nvGrpSpPr>
          <xdr:grpSpPr>
            <a:xfrm>
              <a:off x="125083" y="6875559"/>
              <a:ext cx="722173" cy="843871"/>
              <a:chOff x="125083" y="6875559"/>
              <a:chExt cx="722173" cy="843871"/>
            </a:xfrm>
          </xdr:grpSpPr>
          <xdr:sp macro="" textlink="$Y$16">
            <xdr:nvSpPr>
              <xdr:cNvPr id="2753" name="Barra BC">
                <a:extLst>
                  <a:ext uri="{FF2B5EF4-FFF2-40B4-BE49-F238E27FC236}">
                    <a16:creationId xmlns:a16="http://schemas.microsoft.com/office/drawing/2014/main" id="{57CD5A6C-CDD7-8288-7791-BD5566BF42F9}"/>
                  </a:ext>
                </a:extLst>
              </xdr:cNvPr>
              <xdr:cNvSpPr txBox="1"/>
            </xdr:nvSpPr>
            <xdr:spPr>
              <a:xfrm rot="16200000">
                <a:off x="418378" y="7232140"/>
                <a:ext cx="710051" cy="147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1BFEBF3-7E32-471E-A9EE-1ECD42AA8637}"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754" name="Cota">
                <a:extLst>
                  <a:ext uri="{FF2B5EF4-FFF2-40B4-BE49-F238E27FC236}">
                    <a16:creationId xmlns:a16="http://schemas.microsoft.com/office/drawing/2014/main" id="{621EACB7-F1AD-C81E-5F5F-6328CB19D9F3}"/>
                  </a:ext>
                </a:extLst>
              </xdr:cNvPr>
              <xdr:cNvGrpSpPr/>
            </xdr:nvGrpSpPr>
            <xdr:grpSpPr>
              <a:xfrm>
                <a:off x="125083" y="6875559"/>
                <a:ext cx="564148" cy="839000"/>
                <a:chOff x="10052795" y="7646008"/>
                <a:chExt cx="562869" cy="843332"/>
              </a:xfrm>
            </xdr:grpSpPr>
            <xdr:sp macro="" textlink="AA16">
              <xdr:nvSpPr>
                <xdr:cNvPr id="2756" name="Vertical BC">
                  <a:extLst>
                    <a:ext uri="{FF2B5EF4-FFF2-40B4-BE49-F238E27FC236}">
                      <a16:creationId xmlns:a16="http://schemas.microsoft.com/office/drawing/2014/main" id="{BFC0F1CC-1CE7-4E31-8F15-BBF71FAFBE04}"/>
                    </a:ext>
                  </a:extLst>
                </xdr:cNvPr>
                <xdr:cNvSpPr txBox="1"/>
              </xdr:nvSpPr>
              <xdr:spPr>
                <a:xfrm>
                  <a:off x="10103080" y="7646008"/>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92B0F44-3B9B-45BB-8E26-687B3FFF21A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BC_Ver">
              <xdr:nvSpPr>
                <xdr:cNvPr id="2757" name="L_BC">
                  <a:extLst>
                    <a:ext uri="{FF2B5EF4-FFF2-40B4-BE49-F238E27FC236}">
                      <a16:creationId xmlns:a16="http://schemas.microsoft.com/office/drawing/2014/main" id="{568D6A37-6521-F364-6161-AE961143AFC1}"/>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2C3CA30-478C-4FDB-B934-6699CEB01075}" type="TxLink">
                    <a:rPr lang="en-US" sz="900" b="0" i="0" u="none" strike="noStrike">
                      <a:solidFill>
                        <a:srgbClr val="000000"/>
                      </a:solidFill>
                      <a:latin typeface="Calibri"/>
                      <a:ea typeface="Calibri"/>
                      <a:cs typeface="Calibri"/>
                    </a:rPr>
                    <a:pPr algn="ctr"/>
                    <a:t> </a:t>
                  </a:fld>
                  <a:endParaRPr lang="es-ES" sz="1100"/>
                </a:p>
              </xdr:txBody>
            </xdr:sp>
            <xdr:sp macro="" textlink="Z16">
              <xdr:nvSpPr>
                <xdr:cNvPr id="2758" name="Flecha BC">
                  <a:extLst>
                    <a:ext uri="{FF2B5EF4-FFF2-40B4-BE49-F238E27FC236}">
                      <a16:creationId xmlns:a16="http://schemas.microsoft.com/office/drawing/2014/main" id="{10EC9E73-F554-B13B-3A77-CD2176443D69}"/>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E876628-044B-4069-B4C2-FBE1B43B5F65}"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6">
              <xdr:nvSpPr>
                <xdr:cNvPr id="2759" name="Vertical BC">
                  <a:extLst>
                    <a:ext uri="{FF2B5EF4-FFF2-40B4-BE49-F238E27FC236}">
                      <a16:creationId xmlns:a16="http://schemas.microsoft.com/office/drawing/2014/main" id="{979F8788-1DB7-5B2F-D555-E61C79C6EE8B}"/>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4E0B917-C290-42D9-9BFB-BAD109477DDA}"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6">
            <xdr:nvSpPr>
              <xdr:cNvPr id="2755" name="B">
                <a:extLst>
                  <a:ext uri="{FF2B5EF4-FFF2-40B4-BE49-F238E27FC236}">
                    <a16:creationId xmlns:a16="http://schemas.microsoft.com/office/drawing/2014/main" id="{B4E34CF5-CFB0-AB58-B2AE-490E5F2F3E64}"/>
                  </a:ext>
                </a:extLst>
              </xdr:cNvPr>
              <xdr:cNvSpPr txBox="1"/>
            </xdr:nvSpPr>
            <xdr:spPr>
              <a:xfrm>
                <a:off x="681274" y="7562505"/>
                <a:ext cx="80500" cy="156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6E508EC-DE81-48AB-8D07-568C3049B8ED}"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52" name="CD">
              <a:extLst>
                <a:ext uri="{FF2B5EF4-FFF2-40B4-BE49-F238E27FC236}">
                  <a16:creationId xmlns:a16="http://schemas.microsoft.com/office/drawing/2014/main" id="{0FBA9DA1-7437-A796-2CCE-D45BA961BA76}"/>
                </a:ext>
              </a:extLst>
            </xdr:cNvPr>
            <xdr:cNvGrpSpPr/>
          </xdr:nvGrpSpPr>
          <xdr:grpSpPr>
            <a:xfrm>
              <a:off x="125896" y="6178983"/>
              <a:ext cx="722172" cy="841615"/>
              <a:chOff x="125896" y="6178983"/>
              <a:chExt cx="722172" cy="841615"/>
            </a:xfrm>
          </xdr:grpSpPr>
          <xdr:sp macro="" textlink="Y17">
            <xdr:nvSpPr>
              <xdr:cNvPr id="2746" name="Barra CD">
                <a:extLst>
                  <a:ext uri="{FF2B5EF4-FFF2-40B4-BE49-F238E27FC236}">
                    <a16:creationId xmlns:a16="http://schemas.microsoft.com/office/drawing/2014/main" id="{81CAA4E1-20D6-62B6-F46B-E7464EB62CCB}"/>
                  </a:ext>
                </a:extLst>
              </xdr:cNvPr>
              <xdr:cNvSpPr txBox="1"/>
            </xdr:nvSpPr>
            <xdr:spPr>
              <a:xfrm rot="16200000">
                <a:off x="419185" y="6531370"/>
                <a:ext cx="710061" cy="147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5B82EDE-687B-4126-A474-EAAA6659AF20}"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747" name="Cota">
                <a:extLst>
                  <a:ext uri="{FF2B5EF4-FFF2-40B4-BE49-F238E27FC236}">
                    <a16:creationId xmlns:a16="http://schemas.microsoft.com/office/drawing/2014/main" id="{FF0E78D3-8C32-1651-F7B6-6B9691400C09}"/>
                  </a:ext>
                </a:extLst>
              </xdr:cNvPr>
              <xdr:cNvGrpSpPr/>
            </xdr:nvGrpSpPr>
            <xdr:grpSpPr>
              <a:xfrm>
                <a:off x="125896" y="6178983"/>
                <a:ext cx="564147" cy="841615"/>
                <a:chOff x="10052796" y="7648551"/>
                <a:chExt cx="562868" cy="845947"/>
              </a:xfrm>
            </xdr:grpSpPr>
            <xdr:sp macro="" textlink="AA17">
              <xdr:nvSpPr>
                <xdr:cNvPr id="2749" name="Vertical CD">
                  <a:extLst>
                    <a:ext uri="{FF2B5EF4-FFF2-40B4-BE49-F238E27FC236}">
                      <a16:creationId xmlns:a16="http://schemas.microsoft.com/office/drawing/2014/main" id="{672D71FB-49C7-33B9-F2E9-987BA4458F92}"/>
                    </a:ext>
                  </a:extLst>
                </xdr:cNvPr>
                <xdr:cNvSpPr txBox="1"/>
              </xdr:nvSpPr>
              <xdr:spPr>
                <a:xfrm>
                  <a:off x="10103080" y="7648551"/>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27739F2-016D-422A-9C6E-EC93482D870D}"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CE_Ver">
              <xdr:nvSpPr>
                <xdr:cNvPr id="2750" name="L_CD">
                  <a:extLst>
                    <a:ext uri="{FF2B5EF4-FFF2-40B4-BE49-F238E27FC236}">
                      <a16:creationId xmlns:a16="http://schemas.microsoft.com/office/drawing/2014/main" id="{1F2C28A9-628B-70B7-7057-F1A31EB5D9CB}"/>
                    </a:ext>
                  </a:extLst>
                </xdr:cNvPr>
                <xdr:cNvSpPr txBox="1"/>
              </xdr:nvSpPr>
              <xdr:spPr>
                <a:xfrm rot="16200000">
                  <a:off x="9776748" y="8005393"/>
                  <a:ext cx="698095"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E453D3E-DE0B-4111-8339-EC6074A0874E}" type="TxLink">
                    <a:rPr lang="en-US" sz="900" b="0" i="0" u="none" strike="noStrike">
                      <a:solidFill>
                        <a:srgbClr val="000000"/>
                      </a:solidFill>
                      <a:latin typeface="Calibri"/>
                      <a:ea typeface="Calibri"/>
                      <a:cs typeface="Calibri"/>
                    </a:rPr>
                    <a:pPr algn="ctr"/>
                    <a:t> </a:t>
                  </a:fld>
                  <a:endParaRPr lang="es-ES" sz="1100"/>
                </a:p>
              </xdr:txBody>
            </xdr:sp>
            <xdr:sp macro="" textlink="Z17">
              <xdr:nvSpPr>
                <xdr:cNvPr id="2751" name="Flecha CD">
                  <a:extLst>
                    <a:ext uri="{FF2B5EF4-FFF2-40B4-BE49-F238E27FC236}">
                      <a16:creationId xmlns:a16="http://schemas.microsoft.com/office/drawing/2014/main" id="{F3805500-1D13-F7C3-055A-7AE4F93DAF64}"/>
                    </a:ext>
                  </a:extLst>
                </xdr:cNvPr>
                <xdr:cNvSpPr txBox="1"/>
              </xdr:nvSpPr>
              <xdr:spPr>
                <a:xfrm rot="16200000">
                  <a:off x="9836441" y="8005001"/>
                  <a:ext cx="713170"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C3ACD96-30BC-4EBE-8D42-BC65F92FBA14}"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7">
              <xdr:nvSpPr>
                <xdr:cNvPr id="2752" name="Vertical CD">
                  <a:extLst>
                    <a:ext uri="{FF2B5EF4-FFF2-40B4-BE49-F238E27FC236}">
                      <a16:creationId xmlns:a16="http://schemas.microsoft.com/office/drawing/2014/main" id="{38ED979D-C9F9-1BD9-6C12-AC89F48CC648}"/>
                    </a:ext>
                  </a:extLst>
                </xdr:cNvPr>
                <xdr:cNvSpPr txBox="1"/>
              </xdr:nvSpPr>
              <xdr:spPr>
                <a:xfrm>
                  <a:off x="10099514" y="8342533"/>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BD950AB-3F2E-4A3C-9589-E0BCD1938A34}"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7">
            <xdr:nvSpPr>
              <xdr:cNvPr id="2748" name="C">
                <a:extLst>
                  <a:ext uri="{FF2B5EF4-FFF2-40B4-BE49-F238E27FC236}">
                    <a16:creationId xmlns:a16="http://schemas.microsoft.com/office/drawing/2014/main" id="{B80B852F-4672-A86D-5884-EFFF2DA55229}"/>
                  </a:ext>
                </a:extLst>
              </xdr:cNvPr>
              <xdr:cNvSpPr txBox="1"/>
            </xdr:nvSpPr>
            <xdr:spPr>
              <a:xfrm>
                <a:off x="682086" y="6839887"/>
                <a:ext cx="80500" cy="156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75C3138-160E-47C4-A70A-DD1A5CEF95B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53" name="CE">
              <a:extLst>
                <a:ext uri="{FF2B5EF4-FFF2-40B4-BE49-F238E27FC236}">
                  <a16:creationId xmlns:a16="http://schemas.microsoft.com/office/drawing/2014/main" id="{C29C0B03-3192-E3E4-2AEA-6E08B75FD046}"/>
                </a:ext>
              </a:extLst>
            </xdr:cNvPr>
            <xdr:cNvGrpSpPr/>
          </xdr:nvGrpSpPr>
          <xdr:grpSpPr>
            <a:xfrm>
              <a:off x="668240" y="6403653"/>
              <a:ext cx="919793" cy="356043"/>
              <a:chOff x="668240" y="6403653"/>
              <a:chExt cx="919793" cy="356043"/>
            </a:xfrm>
          </xdr:grpSpPr>
          <xdr:sp macro="" textlink="$Y$19">
            <xdr:nvSpPr>
              <xdr:cNvPr id="2743" name="Barra CD'">
                <a:extLst>
                  <a:ext uri="{FF2B5EF4-FFF2-40B4-BE49-F238E27FC236}">
                    <a16:creationId xmlns:a16="http://schemas.microsoft.com/office/drawing/2014/main" id="{BD6DA725-DCA7-AFF2-B885-BB2BAA23611D}"/>
                  </a:ext>
                </a:extLst>
              </xdr:cNvPr>
              <xdr:cNvSpPr txBox="1"/>
            </xdr:nvSpPr>
            <xdr:spPr>
              <a:xfrm rot="18900000">
                <a:off x="668240" y="6613352"/>
                <a:ext cx="716383" cy="146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27EDB3EC-E12E-4F9F-A36B-54E124C4C4D9}" type="TxLink">
                  <a:rPr lang="en-US" sz="2200" b="1" i="0" u="none" strike="noStrike">
                    <a:solidFill>
                      <a:srgbClr val="000000"/>
                    </a:solidFill>
                    <a:latin typeface="Calibri"/>
                    <a:ea typeface="Calibri"/>
                    <a:cs typeface="Calibri"/>
                  </a:rPr>
                  <a:pPr algn="l"/>
                  <a:t> </a:t>
                </a:fld>
                <a:endParaRPr lang="es-ES" sz="1400" b="1">
                  <a:solidFill>
                    <a:srgbClr val="0070C0"/>
                  </a:solidFill>
                </a:endParaRPr>
              </a:p>
            </xdr:txBody>
          </xdr:sp>
          <xdr:sp macro="" textlink="$Y$19">
            <xdr:nvSpPr>
              <xdr:cNvPr id="2744" name="Barra D'E">
                <a:extLst>
                  <a:ext uri="{FF2B5EF4-FFF2-40B4-BE49-F238E27FC236}">
                    <a16:creationId xmlns:a16="http://schemas.microsoft.com/office/drawing/2014/main" id="{5F345AD7-765F-9740-47B7-216A2B9037B6}"/>
                  </a:ext>
                </a:extLst>
              </xdr:cNvPr>
              <xdr:cNvSpPr txBox="1"/>
            </xdr:nvSpPr>
            <xdr:spPr>
              <a:xfrm rot="18900000">
                <a:off x="879884" y="6403653"/>
                <a:ext cx="708149" cy="147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EB5840AD-129D-4C98-BB51-5AEB72AC0C98}" type="TxLink">
                  <a:rPr lang="en-US" sz="2200" b="1" i="0" u="none" strike="noStrike">
                    <a:solidFill>
                      <a:srgbClr val="000000"/>
                    </a:solidFill>
                    <a:latin typeface="Calibri"/>
                    <a:ea typeface="Calibri"/>
                    <a:cs typeface="Calibri"/>
                  </a:rPr>
                  <a:pPr algn="r"/>
                  <a:t> </a:t>
                </a:fld>
                <a:endParaRPr lang="es-ES" sz="1400" b="1">
                  <a:solidFill>
                    <a:srgbClr val="0070C0"/>
                  </a:solidFill>
                </a:endParaRPr>
              </a:p>
            </xdr:txBody>
          </xdr:sp>
          <xdr:sp macro="" textlink="$V$19">
            <xdr:nvSpPr>
              <xdr:cNvPr id="2745" name="D'">
                <a:extLst>
                  <a:ext uri="{FF2B5EF4-FFF2-40B4-BE49-F238E27FC236}">
                    <a16:creationId xmlns:a16="http://schemas.microsoft.com/office/drawing/2014/main" id="{75A9A9DA-877E-4A49-1754-F495277231F8}"/>
                  </a:ext>
                </a:extLst>
              </xdr:cNvPr>
              <xdr:cNvSpPr txBox="1"/>
            </xdr:nvSpPr>
            <xdr:spPr>
              <a:xfrm>
                <a:off x="1188100" y="6553728"/>
                <a:ext cx="100235" cy="142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EE2547F-BA36-40FD-A49C-1E87E91C19C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54" name="DE">
              <a:extLst>
                <a:ext uri="{FF2B5EF4-FFF2-40B4-BE49-F238E27FC236}">
                  <a16:creationId xmlns:a16="http://schemas.microsoft.com/office/drawing/2014/main" id="{C7FEBF14-6846-A2B7-15DE-430A7CA90692}"/>
                </a:ext>
              </a:extLst>
            </xdr:cNvPr>
            <xdr:cNvGrpSpPr/>
          </xdr:nvGrpSpPr>
          <xdr:grpSpPr>
            <a:xfrm>
              <a:off x="731773" y="5581666"/>
              <a:ext cx="837188" cy="802404"/>
              <a:chOff x="735805" y="5573602"/>
              <a:chExt cx="837188" cy="800387"/>
            </a:xfrm>
          </xdr:grpSpPr>
          <xdr:sp macro="" textlink="$Y$18">
            <xdr:nvSpPr>
              <xdr:cNvPr id="2736" name="Barra DE">
                <a:extLst>
                  <a:ext uri="{FF2B5EF4-FFF2-40B4-BE49-F238E27FC236}">
                    <a16:creationId xmlns:a16="http://schemas.microsoft.com/office/drawing/2014/main" id="{6B31B311-9D8D-A727-D81B-37C8E42D731C}"/>
                  </a:ext>
                </a:extLst>
              </xdr:cNvPr>
              <xdr:cNvSpPr txBox="1"/>
            </xdr:nvSpPr>
            <xdr:spPr>
              <a:xfrm>
                <a:off x="790890" y="6144885"/>
                <a:ext cx="708490" cy="146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6F2301B-D37C-414D-9ADF-9C98E762B20A}"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737" name="Cota">
                <a:extLst>
                  <a:ext uri="{FF2B5EF4-FFF2-40B4-BE49-F238E27FC236}">
                    <a16:creationId xmlns:a16="http://schemas.microsoft.com/office/drawing/2014/main" id="{2E349618-3601-19E7-B084-35BCAD065F1C}"/>
                  </a:ext>
                </a:extLst>
              </xdr:cNvPr>
              <xdr:cNvGrpSpPr/>
            </xdr:nvGrpSpPr>
            <xdr:grpSpPr>
              <a:xfrm rot="5400000">
                <a:off x="873889" y="5435518"/>
                <a:ext cx="561020" cy="837188"/>
                <a:chOff x="10052795" y="7645975"/>
                <a:chExt cx="562869" cy="843365"/>
              </a:xfrm>
            </xdr:grpSpPr>
            <xdr:sp macro="" textlink="AA18">
              <xdr:nvSpPr>
                <xdr:cNvPr id="2739" name="Vertical DE">
                  <a:extLst>
                    <a:ext uri="{FF2B5EF4-FFF2-40B4-BE49-F238E27FC236}">
                      <a16:creationId xmlns:a16="http://schemas.microsoft.com/office/drawing/2014/main" id="{0B55D6DC-5D61-E179-61F1-8A3CCAD3E59C}"/>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355E5C9-0FEF-4C2D-A8EF-D84941B196C5}"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DE_Ver">
              <xdr:nvSpPr>
                <xdr:cNvPr id="2740" name="L_DE">
                  <a:extLst>
                    <a:ext uri="{FF2B5EF4-FFF2-40B4-BE49-F238E27FC236}">
                      <a16:creationId xmlns:a16="http://schemas.microsoft.com/office/drawing/2014/main" id="{E1B83697-4417-5CBC-46BA-2D34DBF82BFC}"/>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2555706-2595-48C6-9B3E-7C38C2B65A03}" type="TxLink">
                    <a:rPr lang="en-US" sz="900" b="0" i="0" u="none" strike="noStrike">
                      <a:solidFill>
                        <a:srgbClr val="000000"/>
                      </a:solidFill>
                      <a:latin typeface="Calibri"/>
                      <a:ea typeface="Calibri"/>
                      <a:cs typeface="Calibri"/>
                    </a:rPr>
                    <a:pPr algn="ctr"/>
                    <a:t> </a:t>
                  </a:fld>
                  <a:endParaRPr lang="es-ES" sz="1100"/>
                </a:p>
              </xdr:txBody>
            </xdr:sp>
            <xdr:sp macro="" textlink="$Z$18">
              <xdr:nvSpPr>
                <xdr:cNvPr id="2741" name="Flecha DE">
                  <a:extLst>
                    <a:ext uri="{FF2B5EF4-FFF2-40B4-BE49-F238E27FC236}">
                      <a16:creationId xmlns:a16="http://schemas.microsoft.com/office/drawing/2014/main" id="{2A60E1AD-253D-6AEF-76A2-E1DD1CD58396}"/>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BC9EBCE-CAD1-4450-9902-0DBE415055E1}"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18">
              <xdr:nvSpPr>
                <xdr:cNvPr id="2742" name="Vertical DE">
                  <a:extLst>
                    <a:ext uri="{FF2B5EF4-FFF2-40B4-BE49-F238E27FC236}">
                      <a16:creationId xmlns:a16="http://schemas.microsoft.com/office/drawing/2014/main" id="{01087EDB-7254-AE87-07F7-F51A586B30AC}"/>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E615C7E-5925-4A57-A88B-E17A858BE48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18">
            <xdr:nvSpPr>
              <xdr:cNvPr id="2738" name="D">
                <a:extLst>
                  <a:ext uri="{FF2B5EF4-FFF2-40B4-BE49-F238E27FC236}">
                    <a16:creationId xmlns:a16="http://schemas.microsoft.com/office/drawing/2014/main" id="{10A37EA6-06C0-A847-5E1E-9FDB486834A6}"/>
                  </a:ext>
                </a:extLst>
              </xdr:cNvPr>
              <xdr:cNvSpPr txBox="1"/>
            </xdr:nvSpPr>
            <xdr:spPr>
              <a:xfrm>
                <a:off x="832707" y="6218381"/>
                <a:ext cx="80554" cy="155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A132369-0CDF-415B-B5C7-B3D7EE5D57BD}"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55" name="EF">
              <a:extLst>
                <a:ext uri="{FF2B5EF4-FFF2-40B4-BE49-F238E27FC236}">
                  <a16:creationId xmlns:a16="http://schemas.microsoft.com/office/drawing/2014/main" id="{22083BCD-3D2B-3267-EC68-7D4235DE46A2}"/>
                </a:ext>
              </a:extLst>
            </xdr:cNvPr>
            <xdr:cNvGrpSpPr/>
          </xdr:nvGrpSpPr>
          <xdr:grpSpPr>
            <a:xfrm>
              <a:off x="1429956" y="5580656"/>
              <a:ext cx="836070" cy="721292"/>
              <a:chOff x="1433988" y="5572593"/>
              <a:chExt cx="838085" cy="719275"/>
            </a:xfrm>
          </xdr:grpSpPr>
          <xdr:sp macro="" textlink="Y20">
            <xdr:nvSpPr>
              <xdr:cNvPr id="2729" name="Barra EF">
                <a:extLst>
                  <a:ext uri="{FF2B5EF4-FFF2-40B4-BE49-F238E27FC236}">
                    <a16:creationId xmlns:a16="http://schemas.microsoft.com/office/drawing/2014/main" id="{BEE0A63A-12FD-9D2F-8D84-CA06B7378B84}"/>
                  </a:ext>
                </a:extLst>
              </xdr:cNvPr>
              <xdr:cNvSpPr txBox="1"/>
            </xdr:nvSpPr>
            <xdr:spPr>
              <a:xfrm>
                <a:off x="1489137" y="6144755"/>
                <a:ext cx="709247" cy="147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2E3CEB3-0ACC-4944-83C4-A65FDCAB2C8C}"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730" name="Cota">
                <a:extLst>
                  <a:ext uri="{FF2B5EF4-FFF2-40B4-BE49-F238E27FC236}">
                    <a16:creationId xmlns:a16="http://schemas.microsoft.com/office/drawing/2014/main" id="{34FA8D77-80BE-E474-8B2B-45AA5973B5B8}"/>
                  </a:ext>
                </a:extLst>
              </xdr:cNvPr>
              <xdr:cNvGrpSpPr/>
            </xdr:nvGrpSpPr>
            <xdr:grpSpPr>
              <a:xfrm rot="5400000">
                <a:off x="1572088" y="5434493"/>
                <a:ext cx="561885" cy="838085"/>
                <a:chOff x="10052795" y="7645975"/>
                <a:chExt cx="562869" cy="843370"/>
              </a:xfrm>
            </xdr:grpSpPr>
            <xdr:sp macro="" textlink="AA20">
              <xdr:nvSpPr>
                <xdr:cNvPr id="2732" name="Vertical EF">
                  <a:extLst>
                    <a:ext uri="{FF2B5EF4-FFF2-40B4-BE49-F238E27FC236}">
                      <a16:creationId xmlns:a16="http://schemas.microsoft.com/office/drawing/2014/main" id="{3BBD1A24-8A41-11BE-5D14-B92C226086C5}"/>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E9DF117-68C0-408F-8BA8-60A1C8541F6E}"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EF_Ver">
              <xdr:nvSpPr>
                <xdr:cNvPr id="2733" name="L_EF">
                  <a:extLst>
                    <a:ext uri="{FF2B5EF4-FFF2-40B4-BE49-F238E27FC236}">
                      <a16:creationId xmlns:a16="http://schemas.microsoft.com/office/drawing/2014/main" id="{9006C994-16BC-841F-E919-4F3BCE065308}"/>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B7CD2AC-7F72-4490-A3C8-5739EE1AB2D0}" type="TxLink">
                    <a:rPr lang="en-US" sz="900" b="0" i="0" u="none" strike="noStrike">
                      <a:solidFill>
                        <a:srgbClr val="000000"/>
                      </a:solidFill>
                      <a:latin typeface="Calibri"/>
                      <a:ea typeface="Calibri"/>
                      <a:cs typeface="Calibri"/>
                    </a:rPr>
                    <a:pPr algn="ctr"/>
                    <a:t> </a:t>
                  </a:fld>
                  <a:endParaRPr lang="es-ES" sz="1100"/>
                </a:p>
              </xdr:txBody>
            </xdr:sp>
            <xdr:sp macro="" textlink="Z20">
              <xdr:nvSpPr>
                <xdr:cNvPr id="2734" name="Flecha EF">
                  <a:extLst>
                    <a:ext uri="{FF2B5EF4-FFF2-40B4-BE49-F238E27FC236}">
                      <a16:creationId xmlns:a16="http://schemas.microsoft.com/office/drawing/2014/main" id="{CDD459BE-7F0D-7281-C795-565BF5731405}"/>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1AAC797-D29B-463C-AA6C-7673F9C537BD}"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0">
              <xdr:nvSpPr>
                <xdr:cNvPr id="2735" name="Vertical EF">
                  <a:extLst>
                    <a:ext uri="{FF2B5EF4-FFF2-40B4-BE49-F238E27FC236}">
                      <a16:creationId xmlns:a16="http://schemas.microsoft.com/office/drawing/2014/main" id="{5E996909-FFD4-B1B2-CCF6-1E8133A5A152}"/>
                    </a:ext>
                  </a:extLst>
                </xdr:cNvPr>
                <xdr:cNvSpPr txBox="1"/>
              </xdr:nvSpPr>
              <xdr:spPr>
                <a:xfrm>
                  <a:off x="10099512" y="8337379"/>
                  <a:ext cx="507965" cy="151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4FE3732-5FD9-490E-B797-8C0615D2FEE3}"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0">
            <xdr:nvSpPr>
              <xdr:cNvPr id="2731" name="E">
                <a:extLst>
                  <a:ext uri="{FF2B5EF4-FFF2-40B4-BE49-F238E27FC236}">
                    <a16:creationId xmlns:a16="http://schemas.microsoft.com/office/drawing/2014/main" id="{4913F95F-BA70-B40D-1BC8-EFCF27C196DF}"/>
                  </a:ext>
                </a:extLst>
              </xdr:cNvPr>
              <xdr:cNvSpPr txBox="1"/>
            </xdr:nvSpPr>
            <xdr:spPr>
              <a:xfrm>
                <a:off x="1502248" y="6073627"/>
                <a:ext cx="80640" cy="155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9A2C873-0EA0-46CD-96C2-9CB17A52E34A}"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56" name="FG">
              <a:extLst>
                <a:ext uri="{FF2B5EF4-FFF2-40B4-BE49-F238E27FC236}">
                  <a16:creationId xmlns:a16="http://schemas.microsoft.com/office/drawing/2014/main" id="{6622443E-D4E6-CFE3-2E00-67AD535B0F68}"/>
                </a:ext>
              </a:extLst>
            </xdr:cNvPr>
            <xdr:cNvGrpSpPr/>
          </xdr:nvGrpSpPr>
          <xdr:grpSpPr>
            <a:xfrm>
              <a:off x="2125265" y="5581456"/>
              <a:ext cx="833683" cy="721597"/>
              <a:chOff x="2130305" y="5573393"/>
              <a:chExt cx="834691" cy="719580"/>
            </a:xfrm>
          </xdr:grpSpPr>
          <xdr:sp macro="" textlink="Y21">
            <xdr:nvSpPr>
              <xdr:cNvPr id="2722" name="Barra FG">
                <a:extLst>
                  <a:ext uri="{FF2B5EF4-FFF2-40B4-BE49-F238E27FC236}">
                    <a16:creationId xmlns:a16="http://schemas.microsoft.com/office/drawing/2014/main" id="{039E7E60-2CA9-7638-F543-F449E914895D}"/>
                  </a:ext>
                </a:extLst>
              </xdr:cNvPr>
              <xdr:cNvSpPr txBox="1"/>
            </xdr:nvSpPr>
            <xdr:spPr>
              <a:xfrm>
                <a:off x="2185227" y="6145798"/>
                <a:ext cx="706377" cy="14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B6F954A-E0D3-40AD-9E8E-885CDCAB9DB3}"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723" name="Cota">
                <a:extLst>
                  <a:ext uri="{FF2B5EF4-FFF2-40B4-BE49-F238E27FC236}">
                    <a16:creationId xmlns:a16="http://schemas.microsoft.com/office/drawing/2014/main" id="{93B26B17-A683-4713-6412-DFF91147A37B}"/>
                  </a:ext>
                </a:extLst>
              </xdr:cNvPr>
              <xdr:cNvGrpSpPr/>
            </xdr:nvGrpSpPr>
            <xdr:grpSpPr>
              <a:xfrm rot="5400000">
                <a:off x="2266590" y="5437108"/>
                <a:ext cx="562122" cy="834691"/>
                <a:chOff x="10052795" y="7645975"/>
                <a:chExt cx="562869" cy="843365"/>
              </a:xfrm>
            </xdr:grpSpPr>
            <xdr:sp macro="" textlink="AA21">
              <xdr:nvSpPr>
                <xdr:cNvPr id="2725" name="Vertical FG">
                  <a:extLst>
                    <a:ext uri="{FF2B5EF4-FFF2-40B4-BE49-F238E27FC236}">
                      <a16:creationId xmlns:a16="http://schemas.microsoft.com/office/drawing/2014/main" id="{AA31003C-134F-3E80-556E-F21E3787ACA4}"/>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23BC6CF-5B2C-489C-ACD1-9A0C1F83B1A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FG_Ver">
              <xdr:nvSpPr>
                <xdr:cNvPr id="2726" name="L_FG">
                  <a:extLst>
                    <a:ext uri="{FF2B5EF4-FFF2-40B4-BE49-F238E27FC236}">
                      <a16:creationId xmlns:a16="http://schemas.microsoft.com/office/drawing/2014/main" id="{7AB45C05-69AF-9A9D-8E62-13F5A5EABC0C}"/>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9E64977-AA83-40B4-9E9E-0F660F1B443F}" type="TxLink">
                    <a:rPr lang="en-US" sz="900" b="0" i="0" u="none" strike="noStrike">
                      <a:solidFill>
                        <a:srgbClr val="000000"/>
                      </a:solidFill>
                      <a:latin typeface="Calibri"/>
                      <a:ea typeface="Calibri"/>
                      <a:cs typeface="Calibri"/>
                    </a:rPr>
                    <a:pPr algn="ctr"/>
                    <a:t> </a:t>
                  </a:fld>
                  <a:endParaRPr lang="es-ES" sz="1100"/>
                </a:p>
              </xdr:txBody>
            </xdr:sp>
            <xdr:sp macro="" textlink="Z21">
              <xdr:nvSpPr>
                <xdr:cNvPr id="2727" name="Flecha FG">
                  <a:extLst>
                    <a:ext uri="{FF2B5EF4-FFF2-40B4-BE49-F238E27FC236}">
                      <a16:creationId xmlns:a16="http://schemas.microsoft.com/office/drawing/2014/main" id="{B301E29D-F9DD-6384-156A-AD23594795AF}"/>
                    </a:ext>
                  </a:extLst>
                </xdr:cNvPr>
                <xdr:cNvSpPr txBox="1"/>
              </xdr:nvSpPr>
              <xdr:spPr>
                <a:xfrm rot="16200000">
                  <a:off x="9836442"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CA22EB8-66DC-4F33-9234-0B2EDFC526B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1">
              <xdr:nvSpPr>
                <xdr:cNvPr id="2728" name="Vertical FG">
                  <a:extLst>
                    <a:ext uri="{FF2B5EF4-FFF2-40B4-BE49-F238E27FC236}">
                      <a16:creationId xmlns:a16="http://schemas.microsoft.com/office/drawing/2014/main" id="{27371CAC-655D-1C07-AA64-6D89E05779AD}"/>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067F3C4F-B9B2-4D52-8251-22F7882B7730}"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1">
            <xdr:nvSpPr>
              <xdr:cNvPr id="2724" name="F">
                <a:extLst>
                  <a:ext uri="{FF2B5EF4-FFF2-40B4-BE49-F238E27FC236}">
                    <a16:creationId xmlns:a16="http://schemas.microsoft.com/office/drawing/2014/main" id="{FA9BE6A6-BF51-251C-F03E-9F2B17A72F25}"/>
                  </a:ext>
                </a:extLst>
              </xdr:cNvPr>
              <xdr:cNvSpPr txBox="1"/>
            </xdr:nvSpPr>
            <xdr:spPr>
              <a:xfrm>
                <a:off x="2144905" y="6082414"/>
                <a:ext cx="80314" cy="155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7862DE9-A6B6-4C94-B683-6F285A3081A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57" name="GH">
              <a:extLst>
                <a:ext uri="{FF2B5EF4-FFF2-40B4-BE49-F238E27FC236}">
                  <a16:creationId xmlns:a16="http://schemas.microsoft.com/office/drawing/2014/main" id="{058456E6-F56B-28A7-89C4-21FB239838C6}"/>
                </a:ext>
              </a:extLst>
            </xdr:cNvPr>
            <xdr:cNvGrpSpPr/>
          </xdr:nvGrpSpPr>
          <xdr:grpSpPr>
            <a:xfrm>
              <a:off x="2823267" y="5581351"/>
              <a:ext cx="832124" cy="719892"/>
              <a:chOff x="2829314" y="5573285"/>
              <a:chExt cx="833133" cy="718084"/>
            </a:xfrm>
          </xdr:grpSpPr>
          <xdr:sp macro="" textlink="Y22">
            <xdr:nvSpPr>
              <xdr:cNvPr id="2715" name="Barra GH">
                <a:extLst>
                  <a:ext uri="{FF2B5EF4-FFF2-40B4-BE49-F238E27FC236}">
                    <a16:creationId xmlns:a16="http://schemas.microsoft.com/office/drawing/2014/main" id="{2320FE05-3D44-82CB-E0D6-4A3D0DD72FF9}"/>
                  </a:ext>
                </a:extLst>
              </xdr:cNvPr>
              <xdr:cNvSpPr txBox="1"/>
            </xdr:nvSpPr>
            <xdr:spPr>
              <a:xfrm>
                <a:off x="2884132" y="6144500"/>
                <a:ext cx="705058" cy="146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D485DA8-4EAB-4F58-9963-44B732A1C71B}"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716" name="Cota">
                <a:extLst>
                  <a:ext uri="{FF2B5EF4-FFF2-40B4-BE49-F238E27FC236}">
                    <a16:creationId xmlns:a16="http://schemas.microsoft.com/office/drawing/2014/main" id="{2A62BEE2-0922-7D08-E4FF-0ED05F29786F}"/>
                  </a:ext>
                </a:extLst>
              </xdr:cNvPr>
              <xdr:cNvGrpSpPr/>
            </xdr:nvGrpSpPr>
            <xdr:grpSpPr>
              <a:xfrm rot="5400000">
                <a:off x="2965404" y="5437195"/>
                <a:ext cx="560953" cy="833133"/>
                <a:chOff x="10052795" y="7645975"/>
                <a:chExt cx="562869" cy="843365"/>
              </a:xfrm>
            </xdr:grpSpPr>
            <xdr:sp macro="" textlink="AA22">
              <xdr:nvSpPr>
                <xdr:cNvPr id="2718" name="Vertical GH">
                  <a:extLst>
                    <a:ext uri="{FF2B5EF4-FFF2-40B4-BE49-F238E27FC236}">
                      <a16:creationId xmlns:a16="http://schemas.microsoft.com/office/drawing/2014/main" id="{3958E14F-F693-D95A-32CD-2EEF22569537}"/>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279C4BA0-32F1-458B-BCEF-3F2BCF5357C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GH_Ver">
              <xdr:nvSpPr>
                <xdr:cNvPr id="2719" name="L_GH">
                  <a:extLst>
                    <a:ext uri="{FF2B5EF4-FFF2-40B4-BE49-F238E27FC236}">
                      <a16:creationId xmlns:a16="http://schemas.microsoft.com/office/drawing/2014/main" id="{21D9E55D-17AA-4803-A52B-E756749E33E7}"/>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2080048-0BE5-4EBE-81FA-4FD543DAD156}" type="TxLink">
                    <a:rPr lang="en-US" sz="900" b="0" i="0" u="none" strike="noStrike">
                      <a:solidFill>
                        <a:srgbClr val="000000"/>
                      </a:solidFill>
                      <a:latin typeface="Calibri"/>
                      <a:ea typeface="Calibri"/>
                      <a:cs typeface="Calibri"/>
                    </a:rPr>
                    <a:pPr algn="ctr"/>
                    <a:t> </a:t>
                  </a:fld>
                  <a:endParaRPr lang="es-ES" sz="1100"/>
                </a:p>
              </xdr:txBody>
            </xdr:sp>
            <xdr:sp macro="" textlink="Z22">
              <xdr:nvSpPr>
                <xdr:cNvPr id="2720" name="Flecha GH">
                  <a:extLst>
                    <a:ext uri="{FF2B5EF4-FFF2-40B4-BE49-F238E27FC236}">
                      <a16:creationId xmlns:a16="http://schemas.microsoft.com/office/drawing/2014/main" id="{4D47E0B8-D789-F952-14A2-B87F3DC69B57}"/>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AD451FA8-43EB-47BD-ADD3-D9FAC75E2C07}"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2">
              <xdr:nvSpPr>
                <xdr:cNvPr id="2721" name="Vertical GH">
                  <a:extLst>
                    <a:ext uri="{FF2B5EF4-FFF2-40B4-BE49-F238E27FC236}">
                      <a16:creationId xmlns:a16="http://schemas.microsoft.com/office/drawing/2014/main" id="{EE67AAF3-630D-FF21-4BB2-428603CCA192}"/>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B9AC266-DEFF-4E20-9604-8548FD704EB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2">
            <xdr:nvSpPr>
              <xdr:cNvPr id="2717" name="G">
                <a:extLst>
                  <a:ext uri="{FF2B5EF4-FFF2-40B4-BE49-F238E27FC236}">
                    <a16:creationId xmlns:a16="http://schemas.microsoft.com/office/drawing/2014/main" id="{7C98EE7D-C0E1-5674-1D14-F1C99B28B08F}"/>
                  </a:ext>
                </a:extLst>
              </xdr:cNvPr>
              <xdr:cNvSpPr txBox="1"/>
            </xdr:nvSpPr>
            <xdr:spPr>
              <a:xfrm>
                <a:off x="2880380" y="6080315"/>
                <a:ext cx="80164" cy="1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D94B6C4-C25D-4265-BD81-F9CA7E9125D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58" name="HI">
              <a:extLst>
                <a:ext uri="{FF2B5EF4-FFF2-40B4-BE49-F238E27FC236}">
                  <a16:creationId xmlns:a16="http://schemas.microsoft.com/office/drawing/2014/main" id="{35F8C5BF-4430-8FEA-56E1-C72019CB56E4}"/>
                </a:ext>
              </a:extLst>
            </xdr:cNvPr>
            <xdr:cNvGrpSpPr/>
          </xdr:nvGrpSpPr>
          <xdr:grpSpPr>
            <a:xfrm>
              <a:off x="3516789" y="5581245"/>
              <a:ext cx="834642" cy="722537"/>
              <a:chOff x="3516789" y="5581245"/>
              <a:chExt cx="834642" cy="722537"/>
            </a:xfrm>
          </xdr:grpSpPr>
          <xdr:sp macro="" textlink="Y23">
            <xdr:nvSpPr>
              <xdr:cNvPr id="2707" name="Barra HI">
                <a:extLst>
                  <a:ext uri="{FF2B5EF4-FFF2-40B4-BE49-F238E27FC236}">
                    <a16:creationId xmlns:a16="http://schemas.microsoft.com/office/drawing/2014/main" id="{0090898C-BA0E-24B1-C2C1-69E7D6AE8810}"/>
                  </a:ext>
                </a:extLst>
              </xdr:cNvPr>
              <xdr:cNvSpPr txBox="1"/>
            </xdr:nvSpPr>
            <xdr:spPr>
              <a:xfrm>
                <a:off x="3571707" y="6156002"/>
                <a:ext cx="706336" cy="147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5D754A1-A461-4545-9FD2-EBC2A9A9C435}"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708" name="Cota">
                <a:extLst>
                  <a:ext uri="{FF2B5EF4-FFF2-40B4-BE49-F238E27FC236}">
                    <a16:creationId xmlns:a16="http://schemas.microsoft.com/office/drawing/2014/main" id="{A4282078-F302-5504-50E7-8C9746B79374}"/>
                  </a:ext>
                </a:extLst>
              </xdr:cNvPr>
              <xdr:cNvGrpSpPr/>
            </xdr:nvGrpSpPr>
            <xdr:grpSpPr>
              <a:xfrm rot="5400000">
                <a:off x="3651894" y="5446140"/>
                <a:ext cx="564431" cy="834642"/>
                <a:chOff x="10052795" y="7645975"/>
                <a:chExt cx="562869" cy="843365"/>
              </a:xfrm>
            </xdr:grpSpPr>
            <xdr:sp macro="" textlink="AA23">
              <xdr:nvSpPr>
                <xdr:cNvPr id="2711" name="Vertical HI">
                  <a:extLst>
                    <a:ext uri="{FF2B5EF4-FFF2-40B4-BE49-F238E27FC236}">
                      <a16:creationId xmlns:a16="http://schemas.microsoft.com/office/drawing/2014/main" id="{9B425A3A-D7EA-0F0A-6BB7-EA81A0A88E44}"/>
                    </a:ext>
                  </a:extLst>
                </xdr:cNvPr>
                <xdr:cNvSpPr txBox="1"/>
              </xdr:nvSpPr>
              <xdr:spPr>
                <a:xfrm>
                  <a:off x="10103080"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68A0A2-E164-4BE0-831B-FD244DD9D405}"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HI_Ver">
              <xdr:nvSpPr>
                <xdr:cNvPr id="2712" name="L_HI">
                  <a:extLst>
                    <a:ext uri="{FF2B5EF4-FFF2-40B4-BE49-F238E27FC236}">
                      <a16:creationId xmlns:a16="http://schemas.microsoft.com/office/drawing/2014/main" id="{3AF1008E-DCEF-5F31-4F5B-EA60EBAC890E}"/>
                    </a:ext>
                  </a:extLst>
                </xdr:cNvPr>
                <xdr:cNvSpPr txBox="1"/>
              </xdr:nvSpPr>
              <xdr:spPr>
                <a:xfrm rot="16200000">
                  <a:off x="9776748"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1B26902-5A3A-4BE8-AAE2-639B701F5796}" type="TxLink">
                    <a:rPr lang="en-US" sz="900" b="0" i="0" u="none" strike="noStrike">
                      <a:solidFill>
                        <a:srgbClr val="000000"/>
                      </a:solidFill>
                      <a:latin typeface="Calibri"/>
                      <a:ea typeface="Calibri"/>
                      <a:cs typeface="Calibri"/>
                    </a:rPr>
                    <a:pPr algn="ctr"/>
                    <a:t> </a:t>
                  </a:fld>
                  <a:endParaRPr lang="es-ES" sz="1100"/>
                </a:p>
              </xdr:txBody>
            </xdr:sp>
            <xdr:sp macro="" textlink="Z23">
              <xdr:nvSpPr>
                <xdr:cNvPr id="2713" name="Flecha HI">
                  <a:extLst>
                    <a:ext uri="{FF2B5EF4-FFF2-40B4-BE49-F238E27FC236}">
                      <a16:creationId xmlns:a16="http://schemas.microsoft.com/office/drawing/2014/main" id="{C51DC373-F194-80A5-8C3E-FCBE51ED3CA8}"/>
                    </a:ext>
                  </a:extLst>
                </xdr:cNvPr>
                <xdr:cNvSpPr txBox="1"/>
              </xdr:nvSpPr>
              <xdr:spPr>
                <a:xfrm rot="16200000">
                  <a:off x="9836441"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61D91B5-1880-40AC-BB05-13DF3013DD26}"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3">
              <xdr:nvSpPr>
                <xdr:cNvPr id="2714" name="Vertical HI">
                  <a:extLst>
                    <a:ext uri="{FF2B5EF4-FFF2-40B4-BE49-F238E27FC236}">
                      <a16:creationId xmlns:a16="http://schemas.microsoft.com/office/drawing/2014/main" id="{5126BCF7-9EE0-8C6B-632B-9E9B3454A8EB}"/>
                    </a:ext>
                  </a:extLst>
                </xdr:cNvPr>
                <xdr:cNvSpPr txBox="1"/>
              </xdr:nvSpPr>
              <xdr:spPr>
                <a:xfrm>
                  <a:off x="10099514"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772CEEE-3050-45F9-A312-B707D07567AF}"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4">
            <xdr:nvSpPr>
              <xdr:cNvPr id="2709" name="I">
                <a:extLst>
                  <a:ext uri="{FF2B5EF4-FFF2-40B4-BE49-F238E27FC236}">
                    <a16:creationId xmlns:a16="http://schemas.microsoft.com/office/drawing/2014/main" id="{3DCE1A46-A5E5-E888-12A2-396DB02ADBC8}"/>
                  </a:ext>
                </a:extLst>
              </xdr:cNvPr>
              <xdr:cNvSpPr txBox="1"/>
            </xdr:nvSpPr>
            <xdr:spPr>
              <a:xfrm>
                <a:off x="4200821" y="6077426"/>
                <a:ext cx="80310" cy="156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D2E3662-723B-4A52-A11A-505F5CFCEC61}"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V$23">
            <xdr:nvSpPr>
              <xdr:cNvPr id="2710" name="H">
                <a:extLst>
                  <a:ext uri="{FF2B5EF4-FFF2-40B4-BE49-F238E27FC236}">
                    <a16:creationId xmlns:a16="http://schemas.microsoft.com/office/drawing/2014/main" id="{9D8DF89E-3ECD-9BE6-09D6-225D8F71B507}"/>
                  </a:ext>
                </a:extLst>
              </xdr:cNvPr>
              <xdr:cNvSpPr txBox="1"/>
            </xdr:nvSpPr>
            <xdr:spPr>
              <a:xfrm>
                <a:off x="3531387" y="6092357"/>
                <a:ext cx="80310" cy="156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0966678-12B5-4FD9-80AA-FBD04E725B0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59" name="GJ">
              <a:extLst>
                <a:ext uri="{FF2B5EF4-FFF2-40B4-BE49-F238E27FC236}">
                  <a16:creationId xmlns:a16="http://schemas.microsoft.com/office/drawing/2014/main" id="{0667EE6D-F855-7492-3933-B7BBD2D28889}"/>
                </a:ext>
              </a:extLst>
            </xdr:cNvPr>
            <xdr:cNvGrpSpPr/>
          </xdr:nvGrpSpPr>
          <xdr:grpSpPr>
            <a:xfrm>
              <a:off x="2215821" y="6178904"/>
              <a:ext cx="752912" cy="910214"/>
              <a:chOff x="2220861" y="6169832"/>
              <a:chExt cx="753920" cy="905175"/>
            </a:xfrm>
          </xdr:grpSpPr>
          <xdr:sp macro="" textlink="Y24">
            <xdr:nvSpPr>
              <xdr:cNvPr id="2700" name="Barra GJ">
                <a:extLst>
                  <a:ext uri="{FF2B5EF4-FFF2-40B4-BE49-F238E27FC236}">
                    <a16:creationId xmlns:a16="http://schemas.microsoft.com/office/drawing/2014/main" id="{B33D144C-7AC9-7784-BDFF-A35221846996}"/>
                  </a:ext>
                </a:extLst>
              </xdr:cNvPr>
              <xdr:cNvSpPr txBox="1"/>
            </xdr:nvSpPr>
            <xdr:spPr>
              <a:xfrm rot="16200000">
                <a:off x="2513329" y="6522661"/>
                <a:ext cx="706003" cy="147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3611BA8-CA19-4719-9308-2A9E616E8D7E}"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701" name="Cota">
                <a:extLst>
                  <a:ext uri="{FF2B5EF4-FFF2-40B4-BE49-F238E27FC236}">
                    <a16:creationId xmlns:a16="http://schemas.microsoft.com/office/drawing/2014/main" id="{B905F503-67D0-A6BD-E208-68D2FDBFD30F}"/>
                  </a:ext>
                </a:extLst>
              </xdr:cNvPr>
              <xdr:cNvGrpSpPr/>
            </xdr:nvGrpSpPr>
            <xdr:grpSpPr>
              <a:xfrm>
                <a:off x="2220861" y="6169832"/>
                <a:ext cx="561671" cy="834250"/>
                <a:chOff x="10052796" y="7645975"/>
                <a:chExt cx="562877" cy="843365"/>
              </a:xfrm>
            </xdr:grpSpPr>
            <xdr:sp macro="" textlink="AA24">
              <xdr:nvSpPr>
                <xdr:cNvPr id="2703" name="Vertical GJ">
                  <a:extLst>
                    <a:ext uri="{FF2B5EF4-FFF2-40B4-BE49-F238E27FC236}">
                      <a16:creationId xmlns:a16="http://schemas.microsoft.com/office/drawing/2014/main" id="{2EE11BEB-FE1C-6FDE-9C2B-DD89E2E4C792}"/>
                    </a:ext>
                  </a:extLst>
                </xdr:cNvPr>
                <xdr:cNvSpPr txBox="1"/>
              </xdr:nvSpPr>
              <xdr:spPr>
                <a:xfrm>
                  <a:off x="10103089"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67972329-D07C-4A22-94A3-D666846F02BC}"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GJ_Ver">
              <xdr:nvSpPr>
                <xdr:cNvPr id="2704" name="L_GJ">
                  <a:extLst>
                    <a:ext uri="{FF2B5EF4-FFF2-40B4-BE49-F238E27FC236}">
                      <a16:creationId xmlns:a16="http://schemas.microsoft.com/office/drawing/2014/main" id="{FA48823E-E0DA-5058-CA18-8965579E1A18}"/>
                    </a:ext>
                  </a:extLst>
                </xdr:cNvPr>
                <xdr:cNvSpPr txBox="1"/>
              </xdr:nvSpPr>
              <xdr:spPr>
                <a:xfrm rot="16200000">
                  <a:off x="9776749" y="8002805"/>
                  <a:ext cx="698093"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2F25087-0E2F-483E-9C55-08965E2F2909}" type="TxLink">
                    <a:rPr lang="en-US" sz="900" b="0" i="0" u="none" strike="noStrike">
                      <a:solidFill>
                        <a:srgbClr val="000000"/>
                      </a:solidFill>
                      <a:latin typeface="Calibri"/>
                      <a:ea typeface="Calibri"/>
                      <a:cs typeface="Calibri"/>
                    </a:rPr>
                    <a:pPr algn="ctr"/>
                    <a:t> </a:t>
                  </a:fld>
                  <a:endParaRPr lang="es-ES" sz="1100"/>
                </a:p>
              </xdr:txBody>
            </xdr:sp>
            <xdr:sp macro="" textlink="Z24">
              <xdr:nvSpPr>
                <xdr:cNvPr id="2705" name="Flecha GJ">
                  <a:extLst>
                    <a:ext uri="{FF2B5EF4-FFF2-40B4-BE49-F238E27FC236}">
                      <a16:creationId xmlns:a16="http://schemas.microsoft.com/office/drawing/2014/main" id="{624BAF96-2583-C5DE-E09E-23D233F0F76E}"/>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76C607B-3B88-4918-956B-5729766580B4}"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4">
              <xdr:nvSpPr>
                <xdr:cNvPr id="2706" name="Vertical GJ">
                  <a:extLst>
                    <a:ext uri="{FF2B5EF4-FFF2-40B4-BE49-F238E27FC236}">
                      <a16:creationId xmlns:a16="http://schemas.microsoft.com/office/drawing/2014/main" id="{6D93FF71-D967-9F76-4E6A-34310D995911}"/>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2BE8732-3551-4036-A962-0BADA2FDD8B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5">
            <xdr:nvSpPr>
              <xdr:cNvPr id="2702" name="J">
                <a:extLst>
                  <a:ext uri="{FF2B5EF4-FFF2-40B4-BE49-F238E27FC236}">
                    <a16:creationId xmlns:a16="http://schemas.microsoft.com/office/drawing/2014/main" id="{11D97091-E58F-D414-A3A5-BC7583CAA3FF}"/>
                  </a:ext>
                </a:extLst>
              </xdr:cNvPr>
              <xdr:cNvSpPr txBox="1"/>
            </xdr:nvSpPr>
            <xdr:spPr>
              <a:xfrm>
                <a:off x="2894636" y="6918977"/>
                <a:ext cx="80145" cy="156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9E3D112-0CFC-4434-882F-47015567202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60" name="JK">
              <a:extLst>
                <a:ext uri="{FF2B5EF4-FFF2-40B4-BE49-F238E27FC236}">
                  <a16:creationId xmlns:a16="http://schemas.microsoft.com/office/drawing/2014/main" id="{D03B4D98-DAEB-79B4-B258-686D7314A926}"/>
                </a:ext>
              </a:extLst>
            </xdr:cNvPr>
            <xdr:cNvGrpSpPr/>
          </xdr:nvGrpSpPr>
          <xdr:grpSpPr>
            <a:xfrm>
              <a:off x="2215740" y="6878393"/>
              <a:ext cx="717892" cy="838042"/>
              <a:chOff x="2220780" y="6865289"/>
              <a:chExt cx="718900" cy="834011"/>
            </a:xfrm>
          </xdr:grpSpPr>
          <xdr:sp macro="" textlink="Y25">
            <xdr:nvSpPr>
              <xdr:cNvPr id="2693" name="Barra JK">
                <a:extLst>
                  <a:ext uri="{FF2B5EF4-FFF2-40B4-BE49-F238E27FC236}">
                    <a16:creationId xmlns:a16="http://schemas.microsoft.com/office/drawing/2014/main" id="{3D27AA03-CD9E-ABDA-D3D3-7787FA018371}"/>
                  </a:ext>
                </a:extLst>
              </xdr:cNvPr>
              <xdr:cNvSpPr txBox="1"/>
            </xdr:nvSpPr>
            <xdr:spPr>
              <a:xfrm rot="16200000">
                <a:off x="2513262" y="7218006"/>
                <a:ext cx="705801" cy="147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253C14B-78CE-4924-85C9-867775EECFC2}"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694" name="Cota">
                <a:extLst>
                  <a:ext uri="{FF2B5EF4-FFF2-40B4-BE49-F238E27FC236}">
                    <a16:creationId xmlns:a16="http://schemas.microsoft.com/office/drawing/2014/main" id="{B51990EC-FC97-F2CE-6157-ED029651A352}"/>
                  </a:ext>
                </a:extLst>
              </xdr:cNvPr>
              <xdr:cNvGrpSpPr/>
            </xdr:nvGrpSpPr>
            <xdr:grpSpPr>
              <a:xfrm>
                <a:off x="2220780" y="6865289"/>
                <a:ext cx="561595" cy="834011"/>
                <a:chOff x="10052796" y="7645975"/>
                <a:chExt cx="562877" cy="843365"/>
              </a:xfrm>
            </xdr:grpSpPr>
            <xdr:sp macro="" textlink="AA25">
              <xdr:nvSpPr>
                <xdr:cNvPr id="2696" name="Vertical JK">
                  <a:extLst>
                    <a:ext uri="{FF2B5EF4-FFF2-40B4-BE49-F238E27FC236}">
                      <a16:creationId xmlns:a16="http://schemas.microsoft.com/office/drawing/2014/main" id="{1BC12365-84A1-5D9F-8CA0-069E3A30BB56}"/>
                    </a:ext>
                  </a:extLst>
                </xdr:cNvPr>
                <xdr:cNvSpPr txBox="1"/>
              </xdr:nvSpPr>
              <xdr:spPr>
                <a:xfrm>
                  <a:off x="10103089" y="7645975"/>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391A7E9-6574-4215-B080-47C603F508E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JK_Ver">
              <xdr:nvSpPr>
                <xdr:cNvPr id="2697" name="L_JK">
                  <a:extLst>
                    <a:ext uri="{FF2B5EF4-FFF2-40B4-BE49-F238E27FC236}">
                      <a16:creationId xmlns:a16="http://schemas.microsoft.com/office/drawing/2014/main" id="{90774F3B-1DA9-1B97-46D7-7C10F596FD39}"/>
                    </a:ext>
                  </a:extLst>
                </xdr:cNvPr>
                <xdr:cNvSpPr txBox="1"/>
              </xdr:nvSpPr>
              <xdr:spPr>
                <a:xfrm rot="16200000">
                  <a:off x="977674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0B02512-AB92-40F9-A5C8-14807A2D2052}" type="TxLink">
                    <a:rPr lang="en-US" sz="900" b="0" i="0" u="none" strike="noStrike">
                      <a:solidFill>
                        <a:srgbClr val="000000"/>
                      </a:solidFill>
                      <a:latin typeface="Calibri"/>
                      <a:ea typeface="Calibri"/>
                      <a:cs typeface="Calibri"/>
                    </a:rPr>
                    <a:pPr algn="ctr"/>
                    <a:t> </a:t>
                  </a:fld>
                  <a:endParaRPr lang="es-ES" sz="1100"/>
                </a:p>
              </xdr:txBody>
            </xdr:sp>
            <xdr:sp macro="" textlink="Z25">
              <xdr:nvSpPr>
                <xdr:cNvPr id="2698" name="Flecha JK">
                  <a:extLst>
                    <a:ext uri="{FF2B5EF4-FFF2-40B4-BE49-F238E27FC236}">
                      <a16:creationId xmlns:a16="http://schemas.microsoft.com/office/drawing/2014/main" id="{6765AB96-1346-0963-9301-68FE4F1F4C78}"/>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D80F680-38DF-4822-9046-3685B5E3E5F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5">
              <xdr:nvSpPr>
                <xdr:cNvPr id="2699" name="Vertical JK">
                  <a:extLst>
                    <a:ext uri="{FF2B5EF4-FFF2-40B4-BE49-F238E27FC236}">
                      <a16:creationId xmlns:a16="http://schemas.microsoft.com/office/drawing/2014/main" id="{E0B508CE-44B8-4ABF-8449-5C67BB962D25}"/>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4371130B-3E37-43ED-9CB5-7CD3DCE57912}"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6">
            <xdr:nvSpPr>
              <xdr:cNvPr id="2695" name="K">
                <a:extLst>
                  <a:ext uri="{FF2B5EF4-FFF2-40B4-BE49-F238E27FC236}">
                    <a16:creationId xmlns:a16="http://schemas.microsoft.com/office/drawing/2014/main" id="{D7F3F293-E583-3B61-8203-D222EF55FD14}"/>
                  </a:ext>
                </a:extLst>
              </xdr:cNvPr>
              <xdr:cNvSpPr txBox="1"/>
            </xdr:nvSpPr>
            <xdr:spPr>
              <a:xfrm>
                <a:off x="2780293" y="7521779"/>
                <a:ext cx="80134" cy="155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13EE75C-04AD-4B0A-A602-A874C6218298}"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61" name="KL">
              <a:extLst>
                <a:ext uri="{FF2B5EF4-FFF2-40B4-BE49-F238E27FC236}">
                  <a16:creationId xmlns:a16="http://schemas.microsoft.com/office/drawing/2014/main" id="{D1DAA61C-EEE6-61A2-0E49-2AC5D5D0ED9D}"/>
                </a:ext>
              </a:extLst>
            </xdr:cNvPr>
            <xdr:cNvGrpSpPr/>
          </xdr:nvGrpSpPr>
          <xdr:grpSpPr>
            <a:xfrm>
              <a:off x="2812617" y="7061886"/>
              <a:ext cx="836290" cy="651783"/>
              <a:chOff x="2818664" y="7047775"/>
              <a:chExt cx="837299" cy="648759"/>
            </a:xfrm>
          </xdr:grpSpPr>
          <xdr:sp macro="" textlink="Y26">
            <xdr:nvSpPr>
              <xdr:cNvPr id="2687" name="Barra KL">
                <a:extLst>
                  <a:ext uri="{FF2B5EF4-FFF2-40B4-BE49-F238E27FC236}">
                    <a16:creationId xmlns:a16="http://schemas.microsoft.com/office/drawing/2014/main" id="{3F5C63FC-772D-74F1-8CB4-342626249E36}"/>
                  </a:ext>
                </a:extLst>
              </xdr:cNvPr>
              <xdr:cNvSpPr txBox="1"/>
            </xdr:nvSpPr>
            <xdr:spPr>
              <a:xfrm>
                <a:off x="2873758" y="7549606"/>
                <a:ext cx="708590" cy="146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A6A2AFC-7E27-430C-9C46-61DB280C7070}"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688" name="Cota">
                <a:extLst>
                  <a:ext uri="{FF2B5EF4-FFF2-40B4-BE49-F238E27FC236}">
                    <a16:creationId xmlns:a16="http://schemas.microsoft.com/office/drawing/2014/main" id="{2F9E23FD-0837-ED62-536E-0BB8EC3A5EA5}"/>
                  </a:ext>
                </a:extLst>
              </xdr:cNvPr>
              <xdr:cNvGrpSpPr/>
            </xdr:nvGrpSpPr>
            <xdr:grpSpPr>
              <a:xfrm rot="5400000">
                <a:off x="2956731" y="6909708"/>
                <a:ext cx="561165" cy="837299"/>
                <a:chOff x="10122615" y="7645983"/>
                <a:chExt cx="562857" cy="843357"/>
              </a:xfrm>
            </xdr:grpSpPr>
            <xdr:sp macro="" textlink="AA26">
              <xdr:nvSpPr>
                <xdr:cNvPr id="2689" name="Vertical KL">
                  <a:extLst>
                    <a:ext uri="{FF2B5EF4-FFF2-40B4-BE49-F238E27FC236}">
                      <a16:creationId xmlns:a16="http://schemas.microsoft.com/office/drawing/2014/main" id="{FB803988-EEDB-30EB-7E8D-C962D3A61432}"/>
                    </a:ext>
                  </a:extLst>
                </xdr:cNvPr>
                <xdr:cNvSpPr txBox="1"/>
              </xdr:nvSpPr>
              <xdr:spPr>
                <a:xfrm>
                  <a:off x="10172888" y="7645983"/>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4ADBD9D-24FA-4FE0-9235-10962D0AC31F}"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KL_Ver">
              <xdr:nvSpPr>
                <xdr:cNvPr id="2690" name="L_KL">
                  <a:extLst>
                    <a:ext uri="{FF2B5EF4-FFF2-40B4-BE49-F238E27FC236}">
                      <a16:creationId xmlns:a16="http://schemas.microsoft.com/office/drawing/2014/main" id="{8F38A502-CA5E-5085-AEA5-D7EAE956340B}"/>
                    </a:ext>
                  </a:extLst>
                </xdr:cNvPr>
                <xdr:cNvSpPr txBox="1"/>
              </xdr:nvSpPr>
              <xdr:spPr>
                <a:xfrm rot="16200000">
                  <a:off x="9846568" y="8002800"/>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C0BC6DE-8593-46D9-8672-B75231D20A15}" type="TxLink">
                    <a:rPr lang="en-US" sz="900" b="0" i="0" u="none" strike="noStrike">
                      <a:solidFill>
                        <a:srgbClr val="000000"/>
                      </a:solidFill>
                      <a:latin typeface="Calibri"/>
                      <a:ea typeface="Calibri"/>
                      <a:cs typeface="Calibri"/>
                    </a:rPr>
                    <a:pPr algn="ctr"/>
                    <a:t> </a:t>
                  </a:fld>
                  <a:endParaRPr lang="es-ES" sz="1100"/>
                </a:p>
              </xdr:txBody>
            </xdr:sp>
            <xdr:sp macro="" textlink="Z26">
              <xdr:nvSpPr>
                <xdr:cNvPr id="2691" name="Flecha KL">
                  <a:extLst>
                    <a:ext uri="{FF2B5EF4-FFF2-40B4-BE49-F238E27FC236}">
                      <a16:creationId xmlns:a16="http://schemas.microsoft.com/office/drawing/2014/main" id="{3B18B143-429A-850E-9A17-531A51D2D2B9}"/>
                    </a:ext>
                  </a:extLst>
                </xdr:cNvPr>
                <xdr:cNvSpPr txBox="1"/>
              </xdr:nvSpPr>
              <xdr:spPr>
                <a:xfrm rot="16200000">
                  <a:off x="9906251" y="8002411"/>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8E76BBD-9B64-4807-9391-3C9AF619BEF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6">
              <xdr:nvSpPr>
                <xdr:cNvPr id="2692" name="Vertical KL">
                  <a:extLst>
                    <a:ext uri="{FF2B5EF4-FFF2-40B4-BE49-F238E27FC236}">
                      <a16:creationId xmlns:a16="http://schemas.microsoft.com/office/drawing/2014/main" id="{986B25EA-F378-08EE-F7D7-BF4377E5B2AF}"/>
                    </a:ext>
                  </a:extLst>
                </xdr:cNvPr>
                <xdr:cNvSpPr txBox="1"/>
              </xdr:nvSpPr>
              <xdr:spPr>
                <a:xfrm>
                  <a:off x="1016932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8E2B627A-C2A1-45E7-B410-1842A204460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grpSp>
        <xdr:grpSp>
          <xdr:nvGrpSpPr>
            <xdr:cNvPr id="2662" name="LM">
              <a:extLst>
                <a:ext uri="{FF2B5EF4-FFF2-40B4-BE49-F238E27FC236}">
                  <a16:creationId xmlns:a16="http://schemas.microsoft.com/office/drawing/2014/main" id="{78BB5DD9-1C1D-1085-8952-35CBCD5480C3}"/>
                </a:ext>
              </a:extLst>
            </xdr:cNvPr>
            <xdr:cNvGrpSpPr/>
          </xdr:nvGrpSpPr>
          <xdr:grpSpPr>
            <a:xfrm>
              <a:off x="3489580" y="7061813"/>
              <a:ext cx="853805" cy="653165"/>
              <a:chOff x="3496636" y="7047702"/>
              <a:chExt cx="854812" cy="650141"/>
            </a:xfrm>
          </xdr:grpSpPr>
          <xdr:sp macro="" textlink="Y27">
            <xdr:nvSpPr>
              <xdr:cNvPr id="2680" name="Barra LM">
                <a:extLst>
                  <a:ext uri="{FF2B5EF4-FFF2-40B4-BE49-F238E27FC236}">
                    <a16:creationId xmlns:a16="http://schemas.microsoft.com/office/drawing/2014/main" id="{4F356C66-CEC2-449B-C6F5-4A87D283DF73}"/>
                  </a:ext>
                </a:extLst>
              </xdr:cNvPr>
              <xdr:cNvSpPr txBox="1"/>
            </xdr:nvSpPr>
            <xdr:spPr>
              <a:xfrm>
                <a:off x="3570253" y="7550804"/>
                <a:ext cx="707687" cy="1470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82BD075-4FB9-4E84-8A14-81E26110C192}"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681" name="Cota">
                <a:extLst>
                  <a:ext uri="{FF2B5EF4-FFF2-40B4-BE49-F238E27FC236}">
                    <a16:creationId xmlns:a16="http://schemas.microsoft.com/office/drawing/2014/main" id="{E7415359-BBC9-B34E-40D0-FDD3C4054230}"/>
                  </a:ext>
                </a:extLst>
              </xdr:cNvPr>
              <xdr:cNvGrpSpPr/>
            </xdr:nvGrpSpPr>
            <xdr:grpSpPr>
              <a:xfrm rot="5400000">
                <a:off x="3677285" y="6885644"/>
                <a:ext cx="512105" cy="836221"/>
                <a:chOff x="10121721" y="7645996"/>
                <a:chExt cx="513259" cy="843346"/>
              </a:xfrm>
            </xdr:grpSpPr>
            <xdr:sp macro="" textlink="AA27">
              <xdr:nvSpPr>
                <xdr:cNvPr id="2683" name="Vertical LM">
                  <a:extLst>
                    <a:ext uri="{FF2B5EF4-FFF2-40B4-BE49-F238E27FC236}">
                      <a16:creationId xmlns:a16="http://schemas.microsoft.com/office/drawing/2014/main" id="{0ADDFAC4-7BC9-D163-477E-29908BB884EF}"/>
                    </a:ext>
                  </a:extLst>
                </xdr:cNvPr>
                <xdr:cNvSpPr txBox="1"/>
              </xdr:nvSpPr>
              <xdr:spPr>
                <a:xfrm>
                  <a:off x="10122396" y="7645996"/>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B8A0585-6AFE-4BF2-9015-C29FA19254E7}"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LM_Ver">
              <xdr:nvSpPr>
                <xdr:cNvPr id="2684" name="L_LM">
                  <a:extLst>
                    <a:ext uri="{FF2B5EF4-FFF2-40B4-BE49-F238E27FC236}">
                      <a16:creationId xmlns:a16="http://schemas.microsoft.com/office/drawing/2014/main" id="{B3C125E9-3B06-D95F-DDBF-F37900AA4402}"/>
                    </a:ext>
                  </a:extLst>
                </xdr:cNvPr>
                <xdr:cNvSpPr txBox="1"/>
              </xdr:nvSpPr>
              <xdr:spPr>
                <a:xfrm rot="16200000">
                  <a:off x="9845674" y="8002808"/>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181E652-10F8-449A-91D3-29C1E1E739B3}" type="TxLink">
                    <a:rPr lang="en-US" sz="900" b="0" i="0" u="none" strike="noStrike">
                      <a:solidFill>
                        <a:srgbClr val="000000"/>
                      </a:solidFill>
                      <a:latin typeface="Calibri"/>
                      <a:ea typeface="Calibri"/>
                      <a:cs typeface="Calibri"/>
                    </a:rPr>
                    <a:pPr algn="ctr"/>
                    <a:t> </a:t>
                  </a:fld>
                  <a:endParaRPr lang="es-ES" sz="1100"/>
                </a:p>
              </xdr:txBody>
            </xdr:sp>
            <xdr:sp macro="" textlink="Z27">
              <xdr:nvSpPr>
                <xdr:cNvPr id="2685" name="Flecha LM">
                  <a:extLst>
                    <a:ext uri="{FF2B5EF4-FFF2-40B4-BE49-F238E27FC236}">
                      <a16:creationId xmlns:a16="http://schemas.microsoft.com/office/drawing/2014/main" id="{58952BD8-598B-C103-C9A7-8DD69F3B4108}"/>
                    </a:ext>
                  </a:extLst>
                </xdr:cNvPr>
                <xdr:cNvSpPr txBox="1"/>
              </xdr:nvSpPr>
              <xdr:spPr>
                <a:xfrm rot="16200000">
                  <a:off x="9905358" y="8002421"/>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33BF6DB-C7CC-44F2-93CE-F5CDAD7D2458}"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7">
              <xdr:nvSpPr>
                <xdr:cNvPr id="2686" name="Vertical LM">
                  <a:extLst>
                    <a:ext uri="{FF2B5EF4-FFF2-40B4-BE49-F238E27FC236}">
                      <a16:creationId xmlns:a16="http://schemas.microsoft.com/office/drawing/2014/main" id="{CCBF7FB8-C05D-4DC2-9325-D4CF38C3664B}"/>
                    </a:ext>
                  </a:extLst>
                </xdr:cNvPr>
                <xdr:cNvSpPr txBox="1"/>
              </xdr:nvSpPr>
              <xdr:spPr>
                <a:xfrm>
                  <a:off x="10123802" y="8337377"/>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CF27DDA4-EF61-43A6-BF2C-C677AF1A57E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7">
            <xdr:nvSpPr>
              <xdr:cNvPr id="2682" name="L">
                <a:extLst>
                  <a:ext uri="{FF2B5EF4-FFF2-40B4-BE49-F238E27FC236}">
                    <a16:creationId xmlns:a16="http://schemas.microsoft.com/office/drawing/2014/main" id="{58EE2C9A-4754-82D1-A008-F633718A5EB8}"/>
                  </a:ext>
                </a:extLst>
              </xdr:cNvPr>
              <xdr:cNvSpPr txBox="1"/>
            </xdr:nvSpPr>
            <xdr:spPr>
              <a:xfrm>
                <a:off x="3496636" y="7487480"/>
                <a:ext cx="80463" cy="155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7EB152C-8523-4B0A-9993-CC4FF908E382}"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63" name="MN">
              <a:extLst>
                <a:ext uri="{FF2B5EF4-FFF2-40B4-BE49-F238E27FC236}">
                  <a16:creationId xmlns:a16="http://schemas.microsoft.com/office/drawing/2014/main" id="{0910885D-0F94-03DB-1A91-AC74B19531B8}"/>
                </a:ext>
              </a:extLst>
            </xdr:cNvPr>
            <xdr:cNvGrpSpPr/>
          </xdr:nvGrpSpPr>
          <xdr:grpSpPr>
            <a:xfrm>
              <a:off x="4194970" y="7034301"/>
              <a:ext cx="841046" cy="680461"/>
              <a:chOff x="4194970" y="7059501"/>
              <a:chExt cx="841046" cy="680461"/>
            </a:xfrm>
          </xdr:grpSpPr>
          <xdr:sp macro="" textlink="Y28">
            <xdr:nvSpPr>
              <xdr:cNvPr id="2672" name="Barra MN">
                <a:extLst>
                  <a:ext uri="{FF2B5EF4-FFF2-40B4-BE49-F238E27FC236}">
                    <a16:creationId xmlns:a16="http://schemas.microsoft.com/office/drawing/2014/main" id="{C5FF9EF0-020E-2199-3C11-16718E12B727}"/>
                  </a:ext>
                </a:extLst>
              </xdr:cNvPr>
              <xdr:cNvSpPr txBox="1"/>
            </xdr:nvSpPr>
            <xdr:spPr>
              <a:xfrm>
                <a:off x="4257925" y="7592116"/>
                <a:ext cx="704831" cy="147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0A295C7-8CF2-4018-954C-DC4378183846}"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673" name="Cota">
                <a:extLst>
                  <a:ext uri="{FF2B5EF4-FFF2-40B4-BE49-F238E27FC236}">
                    <a16:creationId xmlns:a16="http://schemas.microsoft.com/office/drawing/2014/main" id="{A2280AEA-A9E6-828C-A626-42D34FC68D55}"/>
                  </a:ext>
                </a:extLst>
              </xdr:cNvPr>
              <xdr:cNvGrpSpPr/>
            </xdr:nvGrpSpPr>
            <xdr:grpSpPr>
              <a:xfrm rot="5400000">
                <a:off x="4353596" y="6909038"/>
                <a:ext cx="531958" cy="832883"/>
                <a:chOff x="10118937" y="7645967"/>
                <a:chExt cx="530258" cy="843384"/>
              </a:xfrm>
            </xdr:grpSpPr>
            <xdr:sp macro="" textlink="AA28">
              <xdr:nvSpPr>
                <xdr:cNvPr id="2676" name="Vertical MN">
                  <a:extLst>
                    <a:ext uri="{FF2B5EF4-FFF2-40B4-BE49-F238E27FC236}">
                      <a16:creationId xmlns:a16="http://schemas.microsoft.com/office/drawing/2014/main" id="{1D9AC394-AFA0-4201-4D97-852BDA8889F2}"/>
                    </a:ext>
                  </a:extLst>
                </xdr:cNvPr>
                <xdr:cNvSpPr txBox="1"/>
              </xdr:nvSpPr>
              <xdr:spPr>
                <a:xfrm>
                  <a:off x="10136611" y="7645967"/>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3ACD596-092C-4F13-9C89-728A616D0502}"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MN_Ver">
              <xdr:nvSpPr>
                <xdr:cNvPr id="2677" name="L_MN">
                  <a:extLst>
                    <a:ext uri="{FF2B5EF4-FFF2-40B4-BE49-F238E27FC236}">
                      <a16:creationId xmlns:a16="http://schemas.microsoft.com/office/drawing/2014/main" id="{1E1427E3-D566-E8ED-687C-184932448D20}"/>
                    </a:ext>
                  </a:extLst>
                </xdr:cNvPr>
                <xdr:cNvSpPr txBox="1"/>
              </xdr:nvSpPr>
              <xdr:spPr>
                <a:xfrm rot="16200000">
                  <a:off x="9842890" y="8002811"/>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BFD9715-D08A-45C1-BB76-52C344DF0FC9}" type="TxLink">
                    <a:rPr lang="en-US" sz="900" b="0" i="0" u="none" strike="noStrike">
                      <a:solidFill>
                        <a:srgbClr val="000000"/>
                      </a:solidFill>
                      <a:latin typeface="Calibri"/>
                      <a:ea typeface="Calibri"/>
                      <a:cs typeface="Calibri"/>
                    </a:rPr>
                    <a:pPr algn="ctr"/>
                    <a:t> </a:t>
                  </a:fld>
                  <a:endParaRPr lang="es-ES" sz="1100"/>
                </a:p>
              </xdr:txBody>
            </xdr:sp>
            <xdr:sp macro="" textlink="Z28">
              <xdr:nvSpPr>
                <xdr:cNvPr id="2678" name="Flecha MN">
                  <a:extLst>
                    <a:ext uri="{FF2B5EF4-FFF2-40B4-BE49-F238E27FC236}">
                      <a16:creationId xmlns:a16="http://schemas.microsoft.com/office/drawing/2014/main" id="{6397EBE2-1083-2A63-1FC0-FFF15FAD900E}"/>
                    </a:ext>
                  </a:extLst>
                </xdr:cNvPr>
                <xdr:cNvSpPr txBox="1"/>
              </xdr:nvSpPr>
              <xdr:spPr>
                <a:xfrm rot="16200000">
                  <a:off x="9929478"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DF8E5013-32A0-465B-9F0F-A25C194597BE}"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8">
              <xdr:nvSpPr>
                <xdr:cNvPr id="2679" name="Vertical MN">
                  <a:extLst>
                    <a:ext uri="{FF2B5EF4-FFF2-40B4-BE49-F238E27FC236}">
                      <a16:creationId xmlns:a16="http://schemas.microsoft.com/office/drawing/2014/main" id="{C50CCEFE-94DE-442C-A344-3C2D46CF3A7F}"/>
                    </a:ext>
                  </a:extLst>
                </xdr:cNvPr>
                <xdr:cNvSpPr txBox="1"/>
              </xdr:nvSpPr>
              <xdr:spPr>
                <a:xfrm>
                  <a:off x="10138099" y="8337386"/>
                  <a:ext cx="507970"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F42D038-2305-4F4E-9BB5-2C096E9C0DF9}"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29">
            <xdr:nvSpPr>
              <xdr:cNvPr id="2674" name="N">
                <a:extLst>
                  <a:ext uri="{FF2B5EF4-FFF2-40B4-BE49-F238E27FC236}">
                    <a16:creationId xmlns:a16="http://schemas.microsoft.com/office/drawing/2014/main" id="{EE692DA9-7E6B-B911-8542-B9EC5E37FBCA}"/>
                  </a:ext>
                </a:extLst>
              </xdr:cNvPr>
              <xdr:cNvSpPr txBox="1"/>
            </xdr:nvSpPr>
            <xdr:spPr>
              <a:xfrm>
                <a:off x="4864457" y="7444586"/>
                <a:ext cx="80138" cy="156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5FB8E99-A737-4F33-880F-F628AF56C5F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V28">
            <xdr:nvSpPr>
              <xdr:cNvPr id="2675" name="M">
                <a:extLst>
                  <a:ext uri="{FF2B5EF4-FFF2-40B4-BE49-F238E27FC236}">
                    <a16:creationId xmlns:a16="http://schemas.microsoft.com/office/drawing/2014/main" id="{B7BBB493-07F8-028D-35B5-9D4E7D47D59D}"/>
                  </a:ext>
                </a:extLst>
              </xdr:cNvPr>
              <xdr:cNvSpPr txBox="1"/>
            </xdr:nvSpPr>
            <xdr:spPr>
              <a:xfrm>
                <a:off x="4194970" y="7504611"/>
                <a:ext cx="145141" cy="156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820B20D-74B0-4385-8DBD-438381F77308}"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664" name="MO">
              <a:extLst>
                <a:ext uri="{FF2B5EF4-FFF2-40B4-BE49-F238E27FC236}">
                  <a16:creationId xmlns:a16="http://schemas.microsoft.com/office/drawing/2014/main" id="{52AE8D0E-0746-65EF-3AD6-29DAA06AC9EA}"/>
                </a:ext>
              </a:extLst>
            </xdr:cNvPr>
            <xdr:cNvGrpSpPr/>
          </xdr:nvGrpSpPr>
          <xdr:grpSpPr>
            <a:xfrm>
              <a:off x="3597704" y="7592585"/>
              <a:ext cx="779962" cy="833421"/>
              <a:chOff x="3604760" y="7571305"/>
              <a:chExt cx="780969" cy="837699"/>
            </a:xfrm>
          </xdr:grpSpPr>
          <xdr:sp macro="" textlink="Y29">
            <xdr:nvSpPr>
              <xdr:cNvPr id="2665" name="Barra MO">
                <a:extLst>
                  <a:ext uri="{FF2B5EF4-FFF2-40B4-BE49-F238E27FC236}">
                    <a16:creationId xmlns:a16="http://schemas.microsoft.com/office/drawing/2014/main" id="{09391231-7602-B60A-3FCC-10413B69C953}"/>
                  </a:ext>
                </a:extLst>
              </xdr:cNvPr>
              <xdr:cNvSpPr txBox="1"/>
            </xdr:nvSpPr>
            <xdr:spPr>
              <a:xfrm rot="16200000">
                <a:off x="3899296" y="7928389"/>
                <a:ext cx="704322" cy="147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B853C56-9556-412A-BAED-7E7C41629B53}" type="TxLink">
                  <a:rPr lang="en-US" sz="2200" b="1" i="0" u="none" strike="noStrike">
                    <a:solidFill>
                      <a:srgbClr val="000000"/>
                    </a:solidFill>
                    <a:latin typeface="Calibri"/>
                    <a:ea typeface="Calibri"/>
                    <a:cs typeface="Calibri"/>
                  </a:rPr>
                  <a:pPr algn="ctr"/>
                  <a:t> </a:t>
                </a:fld>
                <a:endParaRPr lang="es-ES" sz="1400" b="1">
                  <a:solidFill>
                    <a:srgbClr val="0070C0"/>
                  </a:solidFill>
                </a:endParaRPr>
              </a:p>
            </xdr:txBody>
          </xdr:sp>
          <xdr:grpSp>
            <xdr:nvGrpSpPr>
              <xdr:cNvPr id="2666" name="Cota">
                <a:extLst>
                  <a:ext uri="{FF2B5EF4-FFF2-40B4-BE49-F238E27FC236}">
                    <a16:creationId xmlns:a16="http://schemas.microsoft.com/office/drawing/2014/main" id="{2B2FDEF9-DA01-F080-50FB-D516726C8228}"/>
                  </a:ext>
                </a:extLst>
              </xdr:cNvPr>
              <xdr:cNvGrpSpPr/>
            </xdr:nvGrpSpPr>
            <xdr:grpSpPr>
              <a:xfrm>
                <a:off x="3604760" y="7571305"/>
                <a:ext cx="562739" cy="837699"/>
                <a:chOff x="10052796" y="7640470"/>
                <a:chExt cx="562877" cy="848870"/>
              </a:xfrm>
            </xdr:grpSpPr>
            <xdr:sp macro="" textlink="AA29">
              <xdr:nvSpPr>
                <xdr:cNvPr id="2668" name="Vertical MO">
                  <a:extLst>
                    <a:ext uri="{FF2B5EF4-FFF2-40B4-BE49-F238E27FC236}">
                      <a16:creationId xmlns:a16="http://schemas.microsoft.com/office/drawing/2014/main" id="{D51FFB92-2E50-9D5B-A3F6-736762913DA1}"/>
                    </a:ext>
                  </a:extLst>
                </xdr:cNvPr>
                <xdr:cNvSpPr txBox="1"/>
              </xdr:nvSpPr>
              <xdr:spPr>
                <a:xfrm>
                  <a:off x="10103089" y="7640470"/>
                  <a:ext cx="512584" cy="128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B74B228-274A-4A3C-B4A9-9244F56A705D}"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sp macro="" textlink="L_MO_Ver">
              <xdr:nvSpPr>
                <xdr:cNvPr id="2669" name="L_MO">
                  <a:extLst>
                    <a:ext uri="{FF2B5EF4-FFF2-40B4-BE49-F238E27FC236}">
                      <a16:creationId xmlns:a16="http://schemas.microsoft.com/office/drawing/2014/main" id="{F2C5959A-4797-69FA-1295-C672760FD4EE}"/>
                    </a:ext>
                  </a:extLst>
                </xdr:cNvPr>
                <xdr:cNvSpPr txBox="1"/>
              </xdr:nvSpPr>
              <xdr:spPr>
                <a:xfrm rot="16200000">
                  <a:off x="9776749" y="8002807"/>
                  <a:ext cx="698094" cy="14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D2E7577-1B7C-44A1-BED3-B9047C382AC5}" type="TxLink">
                    <a:rPr lang="en-US" sz="900" b="0" i="0" u="none" strike="noStrike">
                      <a:solidFill>
                        <a:srgbClr val="000000"/>
                      </a:solidFill>
                      <a:latin typeface="Calibri"/>
                      <a:ea typeface="Calibri"/>
                      <a:cs typeface="Calibri"/>
                    </a:rPr>
                    <a:pPr algn="ctr"/>
                    <a:t> </a:t>
                  </a:fld>
                  <a:endParaRPr lang="es-ES" sz="1100"/>
                </a:p>
              </xdr:txBody>
            </xdr:sp>
            <xdr:sp macro="" textlink="Z29">
              <xdr:nvSpPr>
                <xdr:cNvPr id="2670" name="Flecha MO">
                  <a:extLst>
                    <a:ext uri="{FF2B5EF4-FFF2-40B4-BE49-F238E27FC236}">
                      <a16:creationId xmlns:a16="http://schemas.microsoft.com/office/drawing/2014/main" id="{66438176-F7F4-D6C6-DDCC-7090928171BC}"/>
                    </a:ext>
                  </a:extLst>
                </xdr:cNvPr>
                <xdr:cNvSpPr txBox="1"/>
              </xdr:nvSpPr>
              <xdr:spPr>
                <a:xfrm rot="16200000">
                  <a:off x="9836446" y="8002415"/>
                  <a:ext cx="713169" cy="147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1CDAEFB-F46D-474C-8723-2CF577344ADC}" type="TxLink">
                    <a:rPr lang="en-US" sz="1100" b="0" i="0" u="none" strike="noStrike">
                      <a:solidFill>
                        <a:srgbClr val="000000"/>
                      </a:solidFill>
                      <a:latin typeface="Calibri"/>
                      <a:ea typeface="Calibri"/>
                      <a:cs typeface="Calibri"/>
                    </a:rPr>
                    <a:pPr algn="ctr"/>
                    <a:t> </a:t>
                  </a:fld>
                  <a:endParaRPr lang="es-ES" sz="1400" b="1">
                    <a:solidFill>
                      <a:srgbClr val="0070C0"/>
                    </a:solidFill>
                  </a:endParaRPr>
                </a:p>
              </xdr:txBody>
            </xdr:sp>
            <xdr:sp macro="" textlink="AA29">
              <xdr:nvSpPr>
                <xdr:cNvPr id="2671" name="Vertical MO">
                  <a:extLst>
                    <a:ext uri="{FF2B5EF4-FFF2-40B4-BE49-F238E27FC236}">
                      <a16:creationId xmlns:a16="http://schemas.microsoft.com/office/drawing/2014/main" id="{80343A9D-9701-3996-080C-BA3908FB1FAC}"/>
                    </a:ext>
                  </a:extLst>
                </xdr:cNvPr>
                <xdr:cNvSpPr txBox="1"/>
              </xdr:nvSpPr>
              <xdr:spPr>
                <a:xfrm>
                  <a:off x="10099519" y="8337375"/>
                  <a:ext cx="507965" cy="151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54D7FED-F74D-415D-9103-98AE6AAF40DB}" type="TxLink">
                    <a:rPr lang="en-US" sz="1100" b="0" i="0" u="none" strike="noStrike">
                      <a:solidFill>
                        <a:srgbClr val="000000"/>
                      </a:solidFill>
                      <a:latin typeface="Calibri"/>
                      <a:ea typeface="Calibri"/>
                      <a:cs typeface="Calibri"/>
                    </a:rPr>
                    <a:pPr algn="l"/>
                    <a:t> </a:t>
                  </a:fld>
                  <a:endParaRPr lang="es-ES" sz="1400" b="1">
                    <a:solidFill>
                      <a:srgbClr val="0070C0"/>
                    </a:solidFill>
                  </a:endParaRPr>
                </a:p>
              </xdr:txBody>
            </xdr:sp>
          </xdr:grpSp>
          <xdr:sp macro="" textlink="$V$30">
            <xdr:nvSpPr>
              <xdr:cNvPr id="2667" name="O">
                <a:extLst>
                  <a:ext uri="{FF2B5EF4-FFF2-40B4-BE49-F238E27FC236}">
                    <a16:creationId xmlns:a16="http://schemas.microsoft.com/office/drawing/2014/main" id="{A1E19F2A-39A6-7520-B852-460AC0BAB56E}"/>
                  </a:ext>
                </a:extLst>
              </xdr:cNvPr>
              <xdr:cNvSpPr txBox="1"/>
            </xdr:nvSpPr>
            <xdr:spPr>
              <a:xfrm>
                <a:off x="4305431" y="8205581"/>
                <a:ext cx="80298" cy="155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5582D53E-502E-461B-B639-ED32968C86CF}"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grpSp>
        <xdr:nvGrpSpPr>
          <xdr:cNvPr id="2493" name="CARGAS">
            <a:extLst>
              <a:ext uri="{FF2B5EF4-FFF2-40B4-BE49-F238E27FC236}">
                <a16:creationId xmlns:a16="http://schemas.microsoft.com/office/drawing/2014/main" id="{45ADAB19-EF23-AC18-1A43-F0FF5A14DB86}"/>
              </a:ext>
            </a:extLst>
          </xdr:cNvPr>
          <xdr:cNvGrpSpPr/>
        </xdr:nvGrpSpPr>
        <xdr:grpSpPr>
          <a:xfrm>
            <a:off x="185821" y="5827263"/>
            <a:ext cx="5565371" cy="2958865"/>
            <a:chOff x="185672" y="5818867"/>
            <a:chExt cx="5556069" cy="2984420"/>
          </a:xfrm>
        </xdr:grpSpPr>
        <xdr:grpSp>
          <xdr:nvGrpSpPr>
            <xdr:cNvPr id="2509" name="Cargas AB">
              <a:extLst>
                <a:ext uri="{FF2B5EF4-FFF2-40B4-BE49-F238E27FC236}">
                  <a16:creationId xmlns:a16="http://schemas.microsoft.com/office/drawing/2014/main" id="{D4262D85-B8D1-D0AF-8523-EFF751D66B9B}"/>
                </a:ext>
              </a:extLst>
            </xdr:cNvPr>
            <xdr:cNvGrpSpPr/>
          </xdr:nvGrpSpPr>
          <xdr:grpSpPr>
            <a:xfrm>
              <a:off x="403328" y="7683934"/>
              <a:ext cx="1118227" cy="1119353"/>
              <a:chOff x="8539988" y="7797030"/>
              <a:chExt cx="1118433" cy="1123906"/>
            </a:xfrm>
          </xdr:grpSpPr>
          <xdr:sp macro="" textlink="$AS$15">
            <xdr:nvSpPr>
              <xdr:cNvPr id="2642" name="qAB">
                <a:extLst>
                  <a:ext uri="{FF2B5EF4-FFF2-40B4-BE49-F238E27FC236}">
                    <a16:creationId xmlns:a16="http://schemas.microsoft.com/office/drawing/2014/main" id="{E35C9FA9-C8A7-8795-0B51-46ACB1D4F0FD}"/>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5E22B19-10E7-4023-BD22-CE56BAFD186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AB_Ver">
            <xdr:nvSpPr>
              <xdr:cNvPr id="2643" name="q_AB">
                <a:extLst>
                  <a:ext uri="{FF2B5EF4-FFF2-40B4-BE49-F238E27FC236}">
                    <a16:creationId xmlns:a16="http://schemas.microsoft.com/office/drawing/2014/main" id="{D04E73A7-62D1-7354-77CF-898BAA06B317}"/>
                  </a:ext>
                </a:extLst>
              </xdr:cNvPr>
              <xdr:cNvSpPr txBox="1"/>
            </xdr:nvSpPr>
            <xdr:spPr>
              <a:xfrm rot="16200000">
                <a:off x="8480221"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94139EF-4C73-40D4-8E50-FE833F946BA3}"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5">
            <xdr:nvSpPr>
              <xdr:cNvPr id="2644" name="MzA">
                <a:extLst>
                  <a:ext uri="{FF2B5EF4-FFF2-40B4-BE49-F238E27FC236}">
                    <a16:creationId xmlns:a16="http://schemas.microsoft.com/office/drawing/2014/main" id="{988C6855-8EB4-7D63-D5E4-6EABA5E83F45}"/>
                  </a:ext>
                </a:extLst>
              </xdr:cNvPr>
              <xdr:cNvSpPr txBox="1"/>
            </xdr:nvSpPr>
            <xdr:spPr>
              <a:xfrm>
                <a:off x="9005676" y="8403692"/>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4A85214-C6E2-42F1-8149-EE3C3DAC0A16}"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A_Ver">
            <xdr:nvSpPr>
              <xdr:cNvPr id="2645" name="Mz_A">
                <a:extLst>
                  <a:ext uri="{FF2B5EF4-FFF2-40B4-BE49-F238E27FC236}">
                    <a16:creationId xmlns:a16="http://schemas.microsoft.com/office/drawing/2014/main" id="{F72EA281-4094-3389-0E87-C02F9BA49B20}"/>
                  </a:ext>
                </a:extLst>
              </xdr:cNvPr>
              <xdr:cNvSpPr txBox="1"/>
            </xdr:nvSpPr>
            <xdr:spPr>
              <a:xfrm>
                <a:off x="9119687" y="8398268"/>
                <a:ext cx="538734"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A8A3097B-9DFD-486F-BE83-12D6BEB332B2}"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5">
            <xdr:nvSpPr>
              <xdr:cNvPr id="2646" name="FhA">
                <a:extLst>
                  <a:ext uri="{FF2B5EF4-FFF2-40B4-BE49-F238E27FC236}">
                    <a16:creationId xmlns:a16="http://schemas.microsoft.com/office/drawing/2014/main" id="{5E264FA1-2CA9-D127-62E1-5FAE2DC7526E}"/>
                  </a:ext>
                </a:extLst>
              </xdr:cNvPr>
              <xdr:cNvSpPr txBox="1"/>
            </xdr:nvSpPr>
            <xdr:spPr>
              <a:xfrm>
                <a:off x="8621560"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DA37113-2B0B-416D-B413-F6505AD8CA1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A_Ver">
            <xdr:nvSpPr>
              <xdr:cNvPr id="2647" name="Fh_A">
                <a:extLst>
                  <a:ext uri="{FF2B5EF4-FFF2-40B4-BE49-F238E27FC236}">
                    <a16:creationId xmlns:a16="http://schemas.microsoft.com/office/drawing/2014/main" id="{B4979236-E28A-93A9-9BDA-9EDA95E1135D}"/>
                  </a:ext>
                </a:extLst>
              </xdr:cNvPr>
              <xdr:cNvSpPr txBox="1"/>
            </xdr:nvSpPr>
            <xdr:spPr>
              <a:xfrm rot="16200000">
                <a:off x="8326010" y="8419262"/>
                <a:ext cx="552974" cy="125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A8FCB55-EF74-4C98-818F-A7C5231FC9E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5">
            <xdr:nvSpPr>
              <xdr:cNvPr id="2648" name="FvA">
                <a:extLst>
                  <a:ext uri="{FF2B5EF4-FFF2-40B4-BE49-F238E27FC236}">
                    <a16:creationId xmlns:a16="http://schemas.microsoft.com/office/drawing/2014/main" id="{E4E0D56D-2752-A1F1-8D2F-AE6C263E713C}"/>
                  </a:ext>
                </a:extLst>
              </xdr:cNvPr>
              <xdr:cNvSpPr txBox="1"/>
            </xdr:nvSpPr>
            <xdr:spPr>
              <a:xfrm>
                <a:off x="8822096" y="8774163"/>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BF9160B-F983-4D02-B44F-993DD024E55E}"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A_Ver">
            <xdr:nvSpPr>
              <xdr:cNvPr id="2649" name="Fv_A">
                <a:extLst>
                  <a:ext uri="{FF2B5EF4-FFF2-40B4-BE49-F238E27FC236}">
                    <a16:creationId xmlns:a16="http://schemas.microsoft.com/office/drawing/2014/main" id="{5A8AE2D2-3956-34DD-50E9-090DF2D85CBE}"/>
                  </a:ext>
                </a:extLst>
              </xdr:cNvPr>
              <xdr:cNvSpPr txBox="1"/>
            </xdr:nvSpPr>
            <xdr:spPr>
              <a:xfrm>
                <a:off x="8997989" y="8794448"/>
                <a:ext cx="32930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410D9EC8-00E2-451D-8EC0-F3B84AA0332F}"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2510" name="Cargas BC">
              <a:extLst>
                <a:ext uri="{FF2B5EF4-FFF2-40B4-BE49-F238E27FC236}">
                  <a16:creationId xmlns:a16="http://schemas.microsoft.com/office/drawing/2014/main" id="{47CEB0C9-03F0-A24D-F49B-E01A1AE5E734}"/>
                </a:ext>
              </a:extLst>
            </xdr:cNvPr>
            <xdr:cNvGrpSpPr/>
          </xdr:nvGrpSpPr>
          <xdr:grpSpPr>
            <a:xfrm>
              <a:off x="396998" y="6971923"/>
              <a:ext cx="1086619" cy="964354"/>
              <a:chOff x="8551192" y="7796998"/>
              <a:chExt cx="1084443" cy="965605"/>
            </a:xfrm>
          </xdr:grpSpPr>
          <xdr:sp macro="" textlink="$AS$16">
            <xdr:nvSpPr>
              <xdr:cNvPr id="2634" name="qBC">
                <a:extLst>
                  <a:ext uri="{FF2B5EF4-FFF2-40B4-BE49-F238E27FC236}">
                    <a16:creationId xmlns:a16="http://schemas.microsoft.com/office/drawing/2014/main" id="{506434B7-853B-F7BB-EDDE-55D200D73C28}"/>
                  </a:ext>
                </a:extLst>
              </xdr:cNvPr>
              <xdr:cNvSpPr txBox="1"/>
            </xdr:nvSpPr>
            <xdr:spPr>
              <a:xfrm rot="16200000">
                <a:off x="8560554" y="8056795"/>
                <a:ext cx="660476"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8D65225-4C11-4165-B86F-0D51AE244C92}"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BC_Ver">
            <xdr:nvSpPr>
              <xdr:cNvPr id="2635" name="q_BC">
                <a:extLst>
                  <a:ext uri="{FF2B5EF4-FFF2-40B4-BE49-F238E27FC236}">
                    <a16:creationId xmlns:a16="http://schemas.microsoft.com/office/drawing/2014/main" id="{11D77B9D-998E-48DC-E0D1-A3A596BC5167}"/>
                  </a:ext>
                </a:extLst>
              </xdr:cNvPr>
              <xdr:cNvSpPr txBox="1"/>
            </xdr:nvSpPr>
            <xdr:spPr>
              <a:xfrm rot="16200000">
                <a:off x="8480214" y="8031760"/>
                <a:ext cx="610974"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BA4C9A5-EBC5-4818-93E2-570492E273F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6">
            <xdr:nvSpPr>
              <xdr:cNvPr id="2636" name="MzB">
                <a:extLst>
                  <a:ext uri="{FF2B5EF4-FFF2-40B4-BE49-F238E27FC236}">
                    <a16:creationId xmlns:a16="http://schemas.microsoft.com/office/drawing/2014/main" id="{73CA5316-BB3D-C53B-1A7E-9E65B8B79345}"/>
                  </a:ext>
                </a:extLst>
              </xdr:cNvPr>
              <xdr:cNvSpPr txBox="1"/>
            </xdr:nvSpPr>
            <xdr:spPr>
              <a:xfrm>
                <a:off x="9005668" y="8381356"/>
                <a:ext cx="88601" cy="1414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2E4A539-DFCC-471D-AB40-38BF2E73BAA1}"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B_Ver">
            <xdr:nvSpPr>
              <xdr:cNvPr id="2637" name="Mz_B">
                <a:extLst>
                  <a:ext uri="{FF2B5EF4-FFF2-40B4-BE49-F238E27FC236}">
                    <a16:creationId xmlns:a16="http://schemas.microsoft.com/office/drawing/2014/main" id="{E9779579-4864-D8E9-23C9-6E34D0956514}"/>
                  </a:ext>
                </a:extLst>
              </xdr:cNvPr>
              <xdr:cNvSpPr txBox="1"/>
            </xdr:nvSpPr>
            <xdr:spPr>
              <a:xfrm>
                <a:off x="9112292" y="8377786"/>
                <a:ext cx="523343" cy="142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021AE18-2FF2-4B5E-9649-A33F56B7117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6">
            <xdr:nvSpPr>
              <xdr:cNvPr id="2638" name="FhB">
                <a:extLst>
                  <a:ext uri="{FF2B5EF4-FFF2-40B4-BE49-F238E27FC236}">
                    <a16:creationId xmlns:a16="http://schemas.microsoft.com/office/drawing/2014/main" id="{D6C70820-42F1-48B6-8625-C8147DD85D18}"/>
                  </a:ext>
                </a:extLst>
              </xdr:cNvPr>
              <xdr:cNvSpPr txBox="1"/>
            </xdr:nvSpPr>
            <xdr:spPr>
              <a:xfrm>
                <a:off x="8621541" y="8405082"/>
                <a:ext cx="198257" cy="141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03C29B-9486-42B9-A7C6-0D7D47FF760F}"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B_Ver">
            <xdr:nvSpPr>
              <xdr:cNvPr id="2639" name="Fh_B">
                <a:extLst>
                  <a:ext uri="{FF2B5EF4-FFF2-40B4-BE49-F238E27FC236}">
                    <a16:creationId xmlns:a16="http://schemas.microsoft.com/office/drawing/2014/main" id="{5152DF7D-21BA-4085-B560-A155A5E45FDE}"/>
                  </a:ext>
                </a:extLst>
              </xdr:cNvPr>
              <xdr:cNvSpPr txBox="1"/>
            </xdr:nvSpPr>
            <xdr:spPr>
              <a:xfrm rot="16200000">
                <a:off x="8337053" y="8423507"/>
                <a:ext cx="553235"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FA1D1BC-BCE1-47D2-AADB-D8FE02DF61F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6">
            <xdr:nvSpPr>
              <xdr:cNvPr id="2640" name="FvB">
                <a:extLst>
                  <a:ext uri="{FF2B5EF4-FFF2-40B4-BE49-F238E27FC236}">
                    <a16:creationId xmlns:a16="http://schemas.microsoft.com/office/drawing/2014/main" id="{D1707471-4638-94FB-25D5-A4D114E47460}"/>
                  </a:ext>
                </a:extLst>
              </xdr:cNvPr>
              <xdr:cNvSpPr txBox="1"/>
            </xdr:nvSpPr>
            <xdr:spPr>
              <a:xfrm>
                <a:off x="8930990" y="8483231"/>
                <a:ext cx="251992" cy="141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11BF8CF-64F1-471B-A7DD-8E55ED0FDEF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B_Ver">
            <xdr:nvSpPr>
              <xdr:cNvPr id="2641" name="Fv_B">
                <a:extLst>
                  <a:ext uri="{FF2B5EF4-FFF2-40B4-BE49-F238E27FC236}">
                    <a16:creationId xmlns:a16="http://schemas.microsoft.com/office/drawing/2014/main" id="{AAF45023-791A-5E6E-3C6E-62E88A477C55}"/>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F192CC1-1F41-4486-99A6-B39BF67B8D15}"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2511" name="Cargas CD">
              <a:extLst>
                <a:ext uri="{FF2B5EF4-FFF2-40B4-BE49-F238E27FC236}">
                  <a16:creationId xmlns:a16="http://schemas.microsoft.com/office/drawing/2014/main" id="{52483AF0-390C-91B1-EFD3-2F9A042B89FB}"/>
                </a:ext>
              </a:extLst>
            </xdr:cNvPr>
            <xdr:cNvGrpSpPr/>
          </xdr:nvGrpSpPr>
          <xdr:grpSpPr>
            <a:xfrm>
              <a:off x="407889" y="6272814"/>
              <a:ext cx="1086619" cy="964370"/>
              <a:chOff x="8551199" y="7797030"/>
              <a:chExt cx="1084444" cy="965611"/>
            </a:xfrm>
          </xdr:grpSpPr>
          <xdr:sp macro="" textlink="AS17">
            <xdr:nvSpPr>
              <xdr:cNvPr id="2626" name="qCD">
                <a:extLst>
                  <a:ext uri="{FF2B5EF4-FFF2-40B4-BE49-F238E27FC236}">
                    <a16:creationId xmlns:a16="http://schemas.microsoft.com/office/drawing/2014/main" id="{22320730-0D47-D567-9DA1-CFBC58D69065}"/>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177E8C2-31C3-4A49-9DCF-2FCBA2D59125}"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CD_Ver">
            <xdr:nvSpPr>
              <xdr:cNvPr id="2627" name="q_CD">
                <a:extLst>
                  <a:ext uri="{FF2B5EF4-FFF2-40B4-BE49-F238E27FC236}">
                    <a16:creationId xmlns:a16="http://schemas.microsoft.com/office/drawing/2014/main" id="{70940551-3359-CC67-496E-32BA020368B3}"/>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881050B-E9A1-4D69-A88B-1E3D2F84FB4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7">
            <xdr:nvSpPr>
              <xdr:cNvPr id="2628" name="MzC">
                <a:extLst>
                  <a:ext uri="{FF2B5EF4-FFF2-40B4-BE49-F238E27FC236}">
                    <a16:creationId xmlns:a16="http://schemas.microsoft.com/office/drawing/2014/main" id="{7D4F33F0-CB9B-F3AD-6651-D5FAAFCF4607}"/>
                  </a:ext>
                </a:extLst>
              </xdr:cNvPr>
              <xdr:cNvSpPr txBox="1"/>
            </xdr:nvSpPr>
            <xdr:spPr>
              <a:xfrm>
                <a:off x="9005676" y="8381386"/>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49E4607-8A1D-45B1-BDB0-E753B1B7C51A}"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C_Ver">
            <xdr:nvSpPr>
              <xdr:cNvPr id="2629" name="Mz_C">
                <a:extLst>
                  <a:ext uri="{FF2B5EF4-FFF2-40B4-BE49-F238E27FC236}">
                    <a16:creationId xmlns:a16="http://schemas.microsoft.com/office/drawing/2014/main" id="{7D1FDE04-C65A-9E19-5A34-4424C640F16F}"/>
                  </a:ext>
                </a:extLst>
              </xdr:cNvPr>
              <xdr:cNvSpPr txBox="1"/>
            </xdr:nvSpPr>
            <xdr:spPr>
              <a:xfrm>
                <a:off x="9112300" y="8377817"/>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D833CDA8-7B2D-4AA4-A452-6F6A0DB0327F}"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7">
            <xdr:nvSpPr>
              <xdr:cNvPr id="2630" name="FhC">
                <a:extLst>
                  <a:ext uri="{FF2B5EF4-FFF2-40B4-BE49-F238E27FC236}">
                    <a16:creationId xmlns:a16="http://schemas.microsoft.com/office/drawing/2014/main" id="{67F17D59-DE86-27C4-F121-7FE8ACEBA135}"/>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2C0310A-6106-4894-9C7F-BD6F449FCE9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17">
            <xdr:nvSpPr>
              <xdr:cNvPr id="2631" name="FvC">
                <a:extLst>
                  <a:ext uri="{FF2B5EF4-FFF2-40B4-BE49-F238E27FC236}">
                    <a16:creationId xmlns:a16="http://schemas.microsoft.com/office/drawing/2014/main" id="{842DDC48-7653-C685-73B9-04889FDD852B}"/>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C7BC527-84B1-4BC1-A183-5E355617DF3D}"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C_Ver">
            <xdr:nvSpPr>
              <xdr:cNvPr id="2632" name="Fv_C">
                <a:extLst>
                  <a:ext uri="{FF2B5EF4-FFF2-40B4-BE49-F238E27FC236}">
                    <a16:creationId xmlns:a16="http://schemas.microsoft.com/office/drawing/2014/main" id="{9FC6EC1C-2A62-6164-8268-9F6FEF9F944B}"/>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A08498D-2D70-4012-A77F-BB734B71EBB6}"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sp macro="" textlink="Fh_C_Ver">
            <xdr:nvSpPr>
              <xdr:cNvPr id="2633" name="Fh_C">
                <a:extLst>
                  <a:ext uri="{FF2B5EF4-FFF2-40B4-BE49-F238E27FC236}">
                    <a16:creationId xmlns:a16="http://schemas.microsoft.com/office/drawing/2014/main" id="{7AEE9BFD-60E5-BE75-D50F-25030C87971D}"/>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C51EEB2-74DA-4A72-8A82-B870A651906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grpSp>
        <xdr:grpSp>
          <xdr:nvGrpSpPr>
            <xdr:cNvPr id="2512" name="Cargas CE">
              <a:extLst>
                <a:ext uri="{FF2B5EF4-FFF2-40B4-BE49-F238E27FC236}">
                  <a16:creationId xmlns:a16="http://schemas.microsoft.com/office/drawing/2014/main" id="{E9D08E70-CB59-4CDB-815E-40F50FC957D3}"/>
                </a:ext>
              </a:extLst>
            </xdr:cNvPr>
            <xdr:cNvGrpSpPr/>
          </xdr:nvGrpSpPr>
          <xdr:grpSpPr>
            <a:xfrm>
              <a:off x="543795" y="6427539"/>
              <a:ext cx="1343247" cy="465190"/>
              <a:chOff x="543795" y="6427539"/>
              <a:chExt cx="1343247" cy="465190"/>
            </a:xfrm>
          </xdr:grpSpPr>
          <xdr:sp macro="" textlink="$AS$19">
            <xdr:nvSpPr>
              <xdr:cNvPr id="2618" name="qCE">
                <a:extLst>
                  <a:ext uri="{FF2B5EF4-FFF2-40B4-BE49-F238E27FC236}">
                    <a16:creationId xmlns:a16="http://schemas.microsoft.com/office/drawing/2014/main" id="{DCBCD9D4-46FD-67F8-6E29-67482C592112}"/>
                  </a:ext>
                </a:extLst>
              </xdr:cNvPr>
              <xdr:cNvSpPr txBox="1"/>
            </xdr:nvSpPr>
            <xdr:spPr>
              <a:xfrm rot="18900000">
                <a:off x="613711" y="6480442"/>
                <a:ext cx="987900" cy="139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17E7709-7521-444D-A6FE-99140AB6B03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CE_Ver">
            <xdr:nvSpPr>
              <xdr:cNvPr id="2619" name="q_CE">
                <a:extLst>
                  <a:ext uri="{FF2B5EF4-FFF2-40B4-BE49-F238E27FC236}">
                    <a16:creationId xmlns:a16="http://schemas.microsoft.com/office/drawing/2014/main" id="{EDC6BF90-C317-7554-94E7-87F8386AD3FC}"/>
                  </a:ext>
                </a:extLst>
              </xdr:cNvPr>
              <xdr:cNvSpPr txBox="1"/>
            </xdr:nvSpPr>
            <xdr:spPr>
              <a:xfrm rot="18900000">
                <a:off x="543795" y="6427539"/>
                <a:ext cx="991872" cy="140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72EF31D-DC70-4735-A601-AD2058E1F88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9">
            <xdr:nvSpPr>
              <xdr:cNvPr id="2620" name="MzD'">
                <a:extLst>
                  <a:ext uri="{FF2B5EF4-FFF2-40B4-BE49-F238E27FC236}">
                    <a16:creationId xmlns:a16="http://schemas.microsoft.com/office/drawing/2014/main" id="{EC66A34C-722B-5B20-5D6A-1B851D1B600B}"/>
                  </a:ext>
                </a:extLst>
              </xdr:cNvPr>
              <xdr:cNvSpPr txBox="1"/>
            </xdr:nvSpPr>
            <xdr:spPr>
              <a:xfrm>
                <a:off x="1262548" y="6523520"/>
                <a:ext cx="88783" cy="141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BE0AD99-8CB1-430B-84A6-DEC8E03D2929}"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D1_Ver">
            <xdr:nvSpPr>
              <xdr:cNvPr id="2621" name="Mz_D'">
                <a:extLst>
                  <a:ext uri="{FF2B5EF4-FFF2-40B4-BE49-F238E27FC236}">
                    <a16:creationId xmlns:a16="http://schemas.microsoft.com/office/drawing/2014/main" id="{E442149B-1465-2905-A20F-40C533552226}"/>
                  </a:ext>
                </a:extLst>
              </xdr:cNvPr>
              <xdr:cNvSpPr txBox="1"/>
            </xdr:nvSpPr>
            <xdr:spPr>
              <a:xfrm>
                <a:off x="1362512" y="6519810"/>
                <a:ext cx="524417" cy="141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ED620F51-EE06-4289-95C7-68F7A1D23E5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9">
            <xdr:nvSpPr>
              <xdr:cNvPr id="2622" name="FhD'">
                <a:extLst>
                  <a:ext uri="{FF2B5EF4-FFF2-40B4-BE49-F238E27FC236}">
                    <a16:creationId xmlns:a16="http://schemas.microsoft.com/office/drawing/2014/main" id="{13172F03-8E79-0921-9B80-9EEA0901CC10}"/>
                  </a:ext>
                </a:extLst>
              </xdr:cNvPr>
              <xdr:cNvSpPr txBox="1"/>
            </xdr:nvSpPr>
            <xdr:spPr>
              <a:xfrm>
                <a:off x="1178811" y="6644972"/>
                <a:ext cx="198664" cy="141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8F77ED6-020B-46F6-9092-77354BCC06EF}"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D1_Ver">
            <xdr:nvSpPr>
              <xdr:cNvPr id="2623" name="Fh_D'">
                <a:extLst>
                  <a:ext uri="{FF2B5EF4-FFF2-40B4-BE49-F238E27FC236}">
                    <a16:creationId xmlns:a16="http://schemas.microsoft.com/office/drawing/2014/main" id="{24E1C03F-33DB-AB54-7E6A-94EC5A88ED2D}"/>
                  </a:ext>
                </a:extLst>
              </xdr:cNvPr>
              <xdr:cNvSpPr txBox="1"/>
            </xdr:nvSpPr>
            <xdr:spPr>
              <a:xfrm>
                <a:off x="1336080" y="6653821"/>
                <a:ext cx="550962" cy="125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93AAA06-8708-45A8-A8F6-6841AF7A9A31}" type="TxLink">
                  <a:rPr lang="en-US" sz="900" b="1" i="0" u="none" strike="noStrike">
                    <a:solidFill>
                      <a:srgbClr val="7030A0"/>
                    </a:solidFill>
                    <a:latin typeface="Calibri"/>
                    <a:ea typeface="Calibri"/>
                    <a:cs typeface="Calibri"/>
                  </a:rPr>
                  <a:pPr algn="l"/>
                  <a:t> </a:t>
                </a:fld>
                <a:endParaRPr lang="es-ES" sz="1400" b="1">
                  <a:solidFill>
                    <a:srgbClr val="0070C0"/>
                  </a:solidFill>
                </a:endParaRPr>
              </a:p>
            </xdr:txBody>
          </xdr:sp>
          <xdr:sp macro="" textlink="$AJ$19">
            <xdr:nvSpPr>
              <xdr:cNvPr id="2624" name="FvD'">
                <a:extLst>
                  <a:ext uri="{FF2B5EF4-FFF2-40B4-BE49-F238E27FC236}">
                    <a16:creationId xmlns:a16="http://schemas.microsoft.com/office/drawing/2014/main" id="{64D809F1-48D5-703F-9769-4FA4E48F057E}"/>
                  </a:ext>
                </a:extLst>
              </xdr:cNvPr>
              <xdr:cNvSpPr txBox="1"/>
            </xdr:nvSpPr>
            <xdr:spPr>
              <a:xfrm>
                <a:off x="1064831" y="6663258"/>
                <a:ext cx="252510" cy="141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6D13458-4316-4768-80CD-0CF3EAD1064C}"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D1_Ver">
            <xdr:nvSpPr>
              <xdr:cNvPr id="2625" name="Fv_D'">
                <a:extLst>
                  <a:ext uri="{FF2B5EF4-FFF2-40B4-BE49-F238E27FC236}">
                    <a16:creationId xmlns:a16="http://schemas.microsoft.com/office/drawing/2014/main" id="{A9A7A0AC-7D9B-3F69-F027-4B6833AC9C88}"/>
                  </a:ext>
                </a:extLst>
              </xdr:cNvPr>
              <xdr:cNvSpPr txBox="1"/>
            </xdr:nvSpPr>
            <xdr:spPr>
              <a:xfrm>
                <a:off x="953851" y="6765784"/>
                <a:ext cx="457431" cy="126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9803DC57-380B-4802-AD93-C4A22A184464}"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513" name="Cargas DE">
              <a:extLst>
                <a:ext uri="{FF2B5EF4-FFF2-40B4-BE49-F238E27FC236}">
                  <a16:creationId xmlns:a16="http://schemas.microsoft.com/office/drawing/2014/main" id="{D679243D-A2F9-0175-E9E1-097594B97DE4}"/>
                </a:ext>
              </a:extLst>
            </xdr:cNvPr>
            <xdr:cNvGrpSpPr/>
          </xdr:nvGrpSpPr>
          <xdr:grpSpPr>
            <a:xfrm rot="5400000">
              <a:off x="638136" y="5486617"/>
              <a:ext cx="456786" cy="1361714"/>
              <a:chOff x="8643550" y="7722216"/>
              <a:chExt cx="456390" cy="1367515"/>
            </a:xfrm>
          </xdr:grpSpPr>
          <xdr:sp macro="" textlink="$AS$18">
            <xdr:nvSpPr>
              <xdr:cNvPr id="2610" name="qDE">
                <a:extLst>
                  <a:ext uri="{FF2B5EF4-FFF2-40B4-BE49-F238E27FC236}">
                    <a16:creationId xmlns:a16="http://schemas.microsoft.com/office/drawing/2014/main" id="{065D6541-3994-A39E-D124-75868787CB68}"/>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272930F-4B5D-4047-9045-D052AC8C1374}"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DE_Ver">
            <xdr:nvSpPr>
              <xdr:cNvPr id="2611" name="q_DE">
                <a:extLst>
                  <a:ext uri="{FF2B5EF4-FFF2-40B4-BE49-F238E27FC236}">
                    <a16:creationId xmlns:a16="http://schemas.microsoft.com/office/drawing/2014/main" id="{4315F2E5-8D82-2EF2-8166-0E0F9DD4E53F}"/>
                  </a:ext>
                </a:extLst>
              </xdr:cNvPr>
              <xdr:cNvSpPr txBox="1"/>
            </xdr:nvSpPr>
            <xdr:spPr>
              <a:xfrm rot="16200000">
                <a:off x="8485767"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6482A7FC-9D78-491E-8214-88507272A2F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18">
            <xdr:nvSpPr>
              <xdr:cNvPr id="2612" name="MzD">
                <a:extLst>
                  <a:ext uri="{FF2B5EF4-FFF2-40B4-BE49-F238E27FC236}">
                    <a16:creationId xmlns:a16="http://schemas.microsoft.com/office/drawing/2014/main" id="{541E3607-5B2F-47EB-E288-A6BBCFC9A5CE}"/>
                  </a:ext>
                </a:extLst>
              </xdr:cNvPr>
              <xdr:cNvSpPr txBox="1"/>
            </xdr:nvSpPr>
            <xdr:spPr>
              <a:xfrm rot="16200000">
                <a:off x="8985079" y="8245581"/>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FC2FED2-347B-42EF-B387-499D4DABBF15}"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D_Ver">
            <xdr:nvSpPr>
              <xdr:cNvPr id="2613" name="Mz_D">
                <a:extLst>
                  <a:ext uri="{FF2B5EF4-FFF2-40B4-BE49-F238E27FC236}">
                    <a16:creationId xmlns:a16="http://schemas.microsoft.com/office/drawing/2014/main" id="{5203091E-C106-B25E-D888-BB587337D687}"/>
                  </a:ext>
                </a:extLst>
              </xdr:cNvPr>
              <xdr:cNvSpPr txBox="1"/>
            </xdr:nvSpPr>
            <xdr:spPr>
              <a:xfrm rot="16200000">
                <a:off x="8761580" y="7914932"/>
                <a:ext cx="526583" cy="14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025EF74-B12E-471C-A024-FAF71BEE1499}"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18">
            <xdr:nvSpPr>
              <xdr:cNvPr id="2614" name="FhD">
                <a:extLst>
                  <a:ext uri="{FF2B5EF4-FFF2-40B4-BE49-F238E27FC236}">
                    <a16:creationId xmlns:a16="http://schemas.microsoft.com/office/drawing/2014/main" id="{44DA3991-5197-A07E-880A-7CE6A1FAA08C}"/>
                  </a:ext>
                </a:extLst>
              </xdr:cNvPr>
              <xdr:cNvSpPr txBox="1"/>
            </xdr:nvSpPr>
            <xdr:spPr>
              <a:xfrm rot="16200000">
                <a:off x="8620934" y="8405546"/>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F514022-6022-490F-A493-648F3AD19E8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D_Ver">
            <xdr:nvSpPr>
              <xdr:cNvPr id="2615" name="Fh_D">
                <a:extLst>
                  <a:ext uri="{FF2B5EF4-FFF2-40B4-BE49-F238E27FC236}">
                    <a16:creationId xmlns:a16="http://schemas.microsoft.com/office/drawing/2014/main" id="{3F7D9A28-D18F-D160-3766-5EF3996C32E6}"/>
                  </a:ext>
                </a:extLst>
              </xdr:cNvPr>
              <xdr:cNvSpPr txBox="1"/>
            </xdr:nvSpPr>
            <xdr:spPr>
              <a:xfrm rot="16200000">
                <a:off x="8429410" y="875063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CAFDB647-C610-402C-8C7D-80B6AB031D3B}"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18">
            <xdr:nvSpPr>
              <xdr:cNvPr id="2616" name="FvD">
                <a:extLst>
                  <a:ext uri="{FF2B5EF4-FFF2-40B4-BE49-F238E27FC236}">
                    <a16:creationId xmlns:a16="http://schemas.microsoft.com/office/drawing/2014/main" id="{27B87072-A5ED-D876-4E46-B24D92F10BE2}"/>
                  </a:ext>
                </a:extLst>
              </xdr:cNvPr>
              <xdr:cNvSpPr txBox="1"/>
            </xdr:nvSpPr>
            <xdr:spPr>
              <a:xfrm rot="16200000">
                <a:off x="8690101" y="8411213"/>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F0186C7-9672-43C1-8B6D-34689A6425E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D_Ver">
            <xdr:nvSpPr>
              <xdr:cNvPr id="2617" name="Fv_D">
                <a:extLst>
                  <a:ext uri="{FF2B5EF4-FFF2-40B4-BE49-F238E27FC236}">
                    <a16:creationId xmlns:a16="http://schemas.microsoft.com/office/drawing/2014/main" id="{FEBCFB3A-6E57-EC48-4E64-2587662588E6}"/>
                  </a:ext>
                </a:extLst>
              </xdr:cNvPr>
              <xdr:cNvSpPr txBox="1"/>
            </xdr:nvSpPr>
            <xdr:spPr>
              <a:xfrm rot="16200000">
                <a:off x="8588299" y="8705650"/>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9B990EC-8A0F-4BE2-9B07-86A0A7CBF3A8}"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514" name="Cargas EF">
              <a:extLst>
                <a:ext uri="{FF2B5EF4-FFF2-40B4-BE49-F238E27FC236}">
                  <a16:creationId xmlns:a16="http://schemas.microsoft.com/office/drawing/2014/main" id="{7E609418-2847-0201-155C-DD6FD3AC2857}"/>
                </a:ext>
              </a:extLst>
            </xdr:cNvPr>
            <xdr:cNvGrpSpPr/>
          </xdr:nvGrpSpPr>
          <xdr:grpSpPr>
            <a:xfrm rot="5400000">
              <a:off x="1186435" y="5514636"/>
              <a:ext cx="680076" cy="1288537"/>
              <a:chOff x="8523476" y="7797030"/>
              <a:chExt cx="678412" cy="1292690"/>
            </a:xfrm>
          </xdr:grpSpPr>
          <xdr:sp macro="" textlink="AS20">
            <xdr:nvSpPr>
              <xdr:cNvPr id="2602" name="qEF">
                <a:extLst>
                  <a:ext uri="{FF2B5EF4-FFF2-40B4-BE49-F238E27FC236}">
                    <a16:creationId xmlns:a16="http://schemas.microsoft.com/office/drawing/2014/main" id="{0D6E3654-1018-5776-1575-8CE38BB2ACF7}"/>
                  </a:ext>
                </a:extLst>
              </xdr:cNvPr>
              <xdr:cNvSpPr txBox="1"/>
            </xdr:nvSpPr>
            <xdr:spPr>
              <a:xfrm rot="16200000">
                <a:off x="8560557"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84EC8A9-64ED-48F3-B8BA-96E24A1ED189}"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EF_Ver">
            <xdr:nvSpPr>
              <xdr:cNvPr id="2603" name="q_EF">
                <a:extLst>
                  <a:ext uri="{FF2B5EF4-FFF2-40B4-BE49-F238E27FC236}">
                    <a16:creationId xmlns:a16="http://schemas.microsoft.com/office/drawing/2014/main" id="{6B9DDFF0-0116-2B62-4638-08D0AFD111CF}"/>
                  </a:ext>
                </a:extLst>
              </xdr:cNvPr>
              <xdr:cNvSpPr txBox="1"/>
            </xdr:nvSpPr>
            <xdr:spPr>
              <a:xfrm rot="16200000">
                <a:off x="8485766"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3B3AB2D-A701-429B-88F5-7CB7265E4226}"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0">
            <xdr:nvSpPr>
              <xdr:cNvPr id="2604" name="MzE">
                <a:extLst>
                  <a:ext uri="{FF2B5EF4-FFF2-40B4-BE49-F238E27FC236}">
                    <a16:creationId xmlns:a16="http://schemas.microsoft.com/office/drawing/2014/main" id="{915D996B-FF07-2AEB-C57E-B24C620C46AB}"/>
                  </a:ext>
                </a:extLst>
              </xdr:cNvPr>
              <xdr:cNvSpPr txBox="1"/>
            </xdr:nvSpPr>
            <xdr:spPr>
              <a:xfrm rot="16200000">
                <a:off x="8990619" y="8407155"/>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CB5ADFE-4979-49EC-A420-D9C1B1579872}"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E_Ver">
            <xdr:nvSpPr>
              <xdr:cNvPr id="2605" name="Mz_E">
                <a:extLst>
                  <a:ext uri="{FF2B5EF4-FFF2-40B4-BE49-F238E27FC236}">
                    <a16:creationId xmlns:a16="http://schemas.microsoft.com/office/drawing/2014/main" id="{077F8153-0D3A-90EB-9F30-5C83AB579F71}"/>
                  </a:ext>
                </a:extLst>
              </xdr:cNvPr>
              <xdr:cNvSpPr txBox="1"/>
            </xdr:nvSpPr>
            <xdr:spPr>
              <a:xfrm rot="16200000">
                <a:off x="8867481" y="8192980"/>
                <a:ext cx="528056" cy="140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F398B8B6-AD58-43E0-8A66-63B77C24094F}"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0">
            <xdr:nvSpPr>
              <xdr:cNvPr id="2606" name="FhE">
                <a:extLst>
                  <a:ext uri="{FF2B5EF4-FFF2-40B4-BE49-F238E27FC236}">
                    <a16:creationId xmlns:a16="http://schemas.microsoft.com/office/drawing/2014/main" id="{581DE002-8F5F-A228-CA10-283DC2106077}"/>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5B7AB7B-91A2-4F2D-8948-7E612C8EF8AA}"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E_Ver">
            <xdr:nvSpPr>
              <xdr:cNvPr id="2607" name="Fh_E">
                <a:extLst>
                  <a:ext uri="{FF2B5EF4-FFF2-40B4-BE49-F238E27FC236}">
                    <a16:creationId xmlns:a16="http://schemas.microsoft.com/office/drawing/2014/main" id="{BAD10041-1ECD-D59E-F215-94CB9A624D9D}"/>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DF6221E-1255-488B-9566-533E59F5BC6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0">
            <xdr:nvSpPr>
              <xdr:cNvPr id="2608" name="FvE">
                <a:extLst>
                  <a:ext uri="{FF2B5EF4-FFF2-40B4-BE49-F238E27FC236}">
                    <a16:creationId xmlns:a16="http://schemas.microsoft.com/office/drawing/2014/main" id="{70A03510-803F-06B5-0D58-5E4F22E7601A}"/>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3BB5C22-604B-4EE8-BE6A-1C94781EB56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E_Ver">
            <xdr:nvSpPr>
              <xdr:cNvPr id="2609" name="Fv_E">
                <a:extLst>
                  <a:ext uri="{FF2B5EF4-FFF2-40B4-BE49-F238E27FC236}">
                    <a16:creationId xmlns:a16="http://schemas.microsoft.com/office/drawing/2014/main" id="{7EC4CE13-2C2B-3E88-53CC-7E8B31C30AEE}"/>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9A2FBC3-8E6B-40D7-AB13-91C6D66B71FB}"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515" name="Cargas FG">
              <a:extLst>
                <a:ext uri="{FF2B5EF4-FFF2-40B4-BE49-F238E27FC236}">
                  <a16:creationId xmlns:a16="http://schemas.microsoft.com/office/drawing/2014/main" id="{3ABA0B15-BD28-1048-BB03-BB35E68A793C}"/>
                </a:ext>
              </a:extLst>
            </xdr:cNvPr>
            <xdr:cNvGrpSpPr/>
          </xdr:nvGrpSpPr>
          <xdr:grpSpPr>
            <a:xfrm rot="5400000">
              <a:off x="1921229" y="5449398"/>
              <a:ext cx="584108" cy="1324867"/>
              <a:chOff x="8523476" y="7784296"/>
              <a:chExt cx="582005" cy="1335522"/>
            </a:xfrm>
          </xdr:grpSpPr>
          <xdr:sp macro="" textlink="AS21">
            <xdr:nvSpPr>
              <xdr:cNvPr id="2594" name="qFG">
                <a:extLst>
                  <a:ext uri="{FF2B5EF4-FFF2-40B4-BE49-F238E27FC236}">
                    <a16:creationId xmlns:a16="http://schemas.microsoft.com/office/drawing/2014/main" id="{DC959D98-1784-C08C-CD42-E3490B1AD09B}"/>
                  </a:ext>
                </a:extLst>
              </xdr:cNvPr>
              <xdr:cNvSpPr txBox="1"/>
            </xdr:nvSpPr>
            <xdr:spPr>
              <a:xfrm rot="16200000">
                <a:off x="8560560" y="8044094"/>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3D33950-25C8-4E6A-892F-7125F4449D5D}"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FG_Ver">
            <xdr:nvSpPr>
              <xdr:cNvPr id="2595" name="q_FG">
                <a:extLst>
                  <a:ext uri="{FF2B5EF4-FFF2-40B4-BE49-F238E27FC236}">
                    <a16:creationId xmlns:a16="http://schemas.microsoft.com/office/drawing/2014/main" id="{D9016092-F535-3307-37B6-7162F45C3CCC}"/>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0F095CC-D423-41AC-9256-CE8F74F72DA9}"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1">
            <xdr:nvSpPr>
              <xdr:cNvPr id="2596" name="MzF">
                <a:extLst>
                  <a:ext uri="{FF2B5EF4-FFF2-40B4-BE49-F238E27FC236}">
                    <a16:creationId xmlns:a16="http://schemas.microsoft.com/office/drawing/2014/main" id="{086FC1E7-4661-B6E2-AC39-F86C9D7AF3D4}"/>
                  </a:ext>
                </a:extLst>
              </xdr:cNvPr>
              <xdr:cNvSpPr txBox="1"/>
            </xdr:nvSpPr>
            <xdr:spPr>
              <a:xfrm rot="16200000">
                <a:off x="8990620" y="8527624"/>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5C3E4C5-4097-4099-96AA-2698214DA4A7}"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F_Ver">
            <xdr:nvSpPr>
              <xdr:cNvPr id="2597" name="Mz_F">
                <a:extLst>
                  <a:ext uri="{FF2B5EF4-FFF2-40B4-BE49-F238E27FC236}">
                    <a16:creationId xmlns:a16="http://schemas.microsoft.com/office/drawing/2014/main" id="{7D51FBBA-175F-C8A6-E2FC-16FB0F390E7A}"/>
                  </a:ext>
                </a:extLst>
              </xdr:cNvPr>
              <xdr:cNvSpPr txBox="1"/>
            </xdr:nvSpPr>
            <xdr:spPr>
              <a:xfrm rot="16200000">
                <a:off x="8762951" y="8786375"/>
                <a:ext cx="525423" cy="141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CDC23FC-235C-446A-9396-DB08E2543CC4}"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1">
            <xdr:nvSpPr>
              <xdr:cNvPr id="2598" name="FhF">
                <a:extLst>
                  <a:ext uri="{FF2B5EF4-FFF2-40B4-BE49-F238E27FC236}">
                    <a16:creationId xmlns:a16="http://schemas.microsoft.com/office/drawing/2014/main" id="{AF906844-9FBE-9172-FB2E-69DC5306BC1C}"/>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16EAF29-A28B-4027-9C85-FDDB2AA9F8AC}"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F_Ver">
            <xdr:nvSpPr>
              <xdr:cNvPr id="2599" name="Fh_F">
                <a:extLst>
                  <a:ext uri="{FF2B5EF4-FFF2-40B4-BE49-F238E27FC236}">
                    <a16:creationId xmlns:a16="http://schemas.microsoft.com/office/drawing/2014/main" id="{F1A340F4-5207-76A6-739C-4886F4A5E9E7}"/>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81C56A7F-1A92-4EF2-B3CE-1636918379E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1">
            <xdr:nvSpPr>
              <xdr:cNvPr id="2600" name="FvF">
                <a:extLst>
                  <a:ext uri="{FF2B5EF4-FFF2-40B4-BE49-F238E27FC236}">
                    <a16:creationId xmlns:a16="http://schemas.microsoft.com/office/drawing/2014/main" id="{7ABB7432-C19D-3DB5-DE6B-F28F1DF2E00E}"/>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5690EA4F-59EA-4F01-9051-1A31D01620BC}"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F_Ver">
            <xdr:nvSpPr>
              <xdr:cNvPr id="2601" name="Fv_F">
                <a:extLst>
                  <a:ext uri="{FF2B5EF4-FFF2-40B4-BE49-F238E27FC236}">
                    <a16:creationId xmlns:a16="http://schemas.microsoft.com/office/drawing/2014/main" id="{9B62A8B7-6883-5C62-538E-24D0A6633FF2}"/>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A2A7E54-76D4-4E9A-91E0-A07ABC0E6F1E}"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516" name="Cargas GH">
              <a:extLst>
                <a:ext uri="{FF2B5EF4-FFF2-40B4-BE49-F238E27FC236}">
                  <a16:creationId xmlns:a16="http://schemas.microsoft.com/office/drawing/2014/main" id="{B73EA26D-9500-960A-3D1D-C4328C17E9D5}"/>
                </a:ext>
              </a:extLst>
            </xdr:cNvPr>
            <xdr:cNvGrpSpPr/>
          </xdr:nvGrpSpPr>
          <xdr:grpSpPr>
            <a:xfrm rot="5400000">
              <a:off x="2562605" y="5535265"/>
              <a:ext cx="713201" cy="1280923"/>
              <a:chOff x="8523476" y="7797030"/>
              <a:chExt cx="712789" cy="1292690"/>
            </a:xfrm>
          </xdr:grpSpPr>
          <xdr:sp macro="" textlink="AS22">
            <xdr:nvSpPr>
              <xdr:cNvPr id="2586" name="qGH">
                <a:extLst>
                  <a:ext uri="{FF2B5EF4-FFF2-40B4-BE49-F238E27FC236}">
                    <a16:creationId xmlns:a16="http://schemas.microsoft.com/office/drawing/2014/main" id="{FE9893AB-CA6D-D3D0-21D2-9D61D2DA6BAA}"/>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B998592B-116F-4D59-8424-4088644757C5}"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GH_Ver">
            <xdr:nvSpPr>
              <xdr:cNvPr id="2587" name="q_GH">
                <a:extLst>
                  <a:ext uri="{FF2B5EF4-FFF2-40B4-BE49-F238E27FC236}">
                    <a16:creationId xmlns:a16="http://schemas.microsoft.com/office/drawing/2014/main" id="{E343AE5C-873E-213B-883C-EDC41B892E2D}"/>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B140FC9-970F-4563-B047-8F0805DFF75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2">
            <xdr:nvSpPr>
              <xdr:cNvPr id="2588" name="MzG">
                <a:extLst>
                  <a:ext uri="{FF2B5EF4-FFF2-40B4-BE49-F238E27FC236}">
                    <a16:creationId xmlns:a16="http://schemas.microsoft.com/office/drawing/2014/main" id="{4DB69E38-1429-7279-946E-846BE905D71E}"/>
                  </a:ext>
                </a:extLst>
              </xdr:cNvPr>
              <xdr:cNvSpPr txBox="1"/>
            </xdr:nvSpPr>
            <xdr:spPr>
              <a:xfrm rot="16200000">
                <a:off x="9017094" y="8354219"/>
                <a:ext cx="89150" cy="14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E1B1BE4-A2DB-4B7F-9A13-C4256A717CD0}"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G_Ver">
            <xdr:nvSpPr>
              <xdr:cNvPr id="2589" name="Mz_G">
                <a:extLst>
                  <a:ext uri="{FF2B5EF4-FFF2-40B4-BE49-F238E27FC236}">
                    <a16:creationId xmlns:a16="http://schemas.microsoft.com/office/drawing/2014/main" id="{7761447D-9669-4DBC-6D46-2E2D7F7F7196}"/>
                  </a:ext>
                </a:extLst>
              </xdr:cNvPr>
              <xdr:cNvSpPr txBox="1"/>
            </xdr:nvSpPr>
            <xdr:spPr>
              <a:xfrm rot="16200000">
                <a:off x="8902397" y="8106038"/>
                <a:ext cx="526583" cy="141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9CDE49E8-B0BC-41C4-AA16-6AAC636B5BA8}"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2">
            <xdr:nvSpPr>
              <xdr:cNvPr id="2590" name="FhG">
                <a:extLst>
                  <a:ext uri="{FF2B5EF4-FFF2-40B4-BE49-F238E27FC236}">
                    <a16:creationId xmlns:a16="http://schemas.microsoft.com/office/drawing/2014/main" id="{772BA251-ACF9-58E4-2A1F-43EEDBA35E59}"/>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75F86B3-B093-4375-A503-D42375D9AC3B}"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G_Ver">
            <xdr:nvSpPr>
              <xdr:cNvPr id="2591" name="Fh_G">
                <a:extLst>
                  <a:ext uri="{FF2B5EF4-FFF2-40B4-BE49-F238E27FC236}">
                    <a16:creationId xmlns:a16="http://schemas.microsoft.com/office/drawing/2014/main" id="{8A50CB98-FC27-1EBF-7DC6-CD3D24BA3959}"/>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9E614522-D572-4344-8F86-E8FDADDE17B1}"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2">
            <xdr:nvSpPr>
              <xdr:cNvPr id="2592" name="FvG">
                <a:extLst>
                  <a:ext uri="{FF2B5EF4-FFF2-40B4-BE49-F238E27FC236}">
                    <a16:creationId xmlns:a16="http://schemas.microsoft.com/office/drawing/2014/main" id="{7E890FA8-690A-1AE2-CB1D-C0E587D09B55}"/>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7984A85-1008-4D42-A6AF-8E3B26DED4B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G_Ver">
            <xdr:nvSpPr>
              <xdr:cNvPr id="2593" name="Fv_G">
                <a:extLst>
                  <a:ext uri="{FF2B5EF4-FFF2-40B4-BE49-F238E27FC236}">
                    <a16:creationId xmlns:a16="http://schemas.microsoft.com/office/drawing/2014/main" id="{AE2D4079-5E49-729C-7D57-7915F47362D3}"/>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56943052-D66E-4739-AE50-8EC887686D00}"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517" name="Cargas HI">
              <a:extLst>
                <a:ext uri="{FF2B5EF4-FFF2-40B4-BE49-F238E27FC236}">
                  <a16:creationId xmlns:a16="http://schemas.microsoft.com/office/drawing/2014/main" id="{D3B47B8B-C233-0190-8283-D31B51D36C4C}"/>
                </a:ext>
              </a:extLst>
            </xdr:cNvPr>
            <xdr:cNvGrpSpPr/>
          </xdr:nvGrpSpPr>
          <xdr:grpSpPr>
            <a:xfrm>
              <a:off x="2971279" y="5820489"/>
              <a:ext cx="2227074" cy="1025174"/>
              <a:chOff x="2971279" y="5820489"/>
              <a:chExt cx="2227074" cy="1025174"/>
            </a:xfrm>
          </xdr:grpSpPr>
          <xdr:sp macro="" textlink="AS23">
            <xdr:nvSpPr>
              <xdr:cNvPr id="2572" name="qHI">
                <a:extLst>
                  <a:ext uri="{FF2B5EF4-FFF2-40B4-BE49-F238E27FC236}">
                    <a16:creationId xmlns:a16="http://schemas.microsoft.com/office/drawing/2014/main" id="{40459BB5-8562-3A60-E16F-FB76D30AFB1A}"/>
                  </a:ext>
                </a:extLst>
              </xdr:cNvPr>
              <xdr:cNvSpPr txBox="1"/>
            </xdr:nvSpPr>
            <xdr:spPr>
              <a:xfrm>
                <a:off x="3599366" y="6118119"/>
                <a:ext cx="656168" cy="141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1296B9A-7550-46E6-AFE9-8CDBE7359FC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HI_Ver">
            <xdr:nvSpPr>
              <xdr:cNvPr id="2573" name="q_HI">
                <a:extLst>
                  <a:ext uri="{FF2B5EF4-FFF2-40B4-BE49-F238E27FC236}">
                    <a16:creationId xmlns:a16="http://schemas.microsoft.com/office/drawing/2014/main" id="{F2FFC5FD-BB1C-7119-EB6D-3762BDA3807E}"/>
                  </a:ext>
                </a:extLst>
              </xdr:cNvPr>
              <xdr:cNvSpPr txBox="1"/>
            </xdr:nvSpPr>
            <xdr:spPr>
              <a:xfrm>
                <a:off x="3648542" y="6019885"/>
                <a:ext cx="606989" cy="141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9D1C04D-4986-44DA-9E8C-731A8852CC1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3">
            <xdr:nvSpPr>
              <xdr:cNvPr id="2574" name="MzH">
                <a:extLst>
                  <a:ext uri="{FF2B5EF4-FFF2-40B4-BE49-F238E27FC236}">
                    <a16:creationId xmlns:a16="http://schemas.microsoft.com/office/drawing/2014/main" id="{4D72F49E-BA0E-6444-57EA-38A545753367}"/>
                  </a:ext>
                </a:extLst>
              </xdr:cNvPr>
              <xdr:cNvSpPr txBox="1"/>
            </xdr:nvSpPr>
            <xdr:spPr>
              <a:xfrm>
                <a:off x="3514301" y="6263031"/>
                <a:ext cx="88568" cy="140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4633F79-7B73-49E9-98CA-C7F4BD7B3CB0}"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H_Ver">
            <xdr:nvSpPr>
              <xdr:cNvPr id="2575" name="Mz_H">
                <a:extLst>
                  <a:ext uri="{FF2B5EF4-FFF2-40B4-BE49-F238E27FC236}">
                    <a16:creationId xmlns:a16="http://schemas.microsoft.com/office/drawing/2014/main" id="{AD24C5CD-86C0-8F26-F465-BF95D170449B}"/>
                  </a:ext>
                </a:extLst>
              </xdr:cNvPr>
              <xdr:cNvSpPr txBox="1"/>
            </xdr:nvSpPr>
            <xdr:spPr>
              <a:xfrm rot="16200000">
                <a:off x="3288603" y="6513147"/>
                <a:ext cx="523665" cy="141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A5A0400-2690-40F9-AC2B-336D163901AD}"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3">
            <xdr:nvSpPr>
              <xdr:cNvPr id="2576" name="FhH">
                <a:extLst>
                  <a:ext uri="{FF2B5EF4-FFF2-40B4-BE49-F238E27FC236}">
                    <a16:creationId xmlns:a16="http://schemas.microsoft.com/office/drawing/2014/main" id="{E1AA2DEC-C034-4DD5-D173-4811C8FF2FBB}"/>
                  </a:ext>
                </a:extLst>
              </xdr:cNvPr>
              <xdr:cNvSpPr txBox="1"/>
            </xdr:nvSpPr>
            <xdr:spPr>
              <a:xfrm>
                <a:off x="3482178" y="5827472"/>
                <a:ext cx="198182" cy="140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D337A5A-399F-405C-8642-1920CE8F6CAD}"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H_Ver">
            <xdr:nvSpPr>
              <xdr:cNvPr id="2577" name="Fh_H">
                <a:extLst>
                  <a:ext uri="{FF2B5EF4-FFF2-40B4-BE49-F238E27FC236}">
                    <a16:creationId xmlns:a16="http://schemas.microsoft.com/office/drawing/2014/main" id="{9EAD66E2-2856-A5AE-F266-815E57FF52F9}"/>
                  </a:ext>
                </a:extLst>
              </xdr:cNvPr>
              <xdr:cNvSpPr txBox="1"/>
            </xdr:nvSpPr>
            <xdr:spPr>
              <a:xfrm>
                <a:off x="2971279" y="5820489"/>
                <a:ext cx="549627" cy="125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E1F3339-69FE-44F7-9719-BEF929044CD0}"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3">
            <xdr:nvSpPr>
              <xdr:cNvPr id="2578" name="FvH">
                <a:extLst>
                  <a:ext uri="{FF2B5EF4-FFF2-40B4-BE49-F238E27FC236}">
                    <a16:creationId xmlns:a16="http://schemas.microsoft.com/office/drawing/2014/main" id="{17A1136F-E4BD-B0B6-4063-345F441EA5A0}"/>
                  </a:ext>
                </a:extLst>
              </xdr:cNvPr>
              <xdr:cNvSpPr txBox="1"/>
            </xdr:nvSpPr>
            <xdr:spPr>
              <a:xfrm>
                <a:off x="3449657" y="5922043"/>
                <a:ext cx="251899" cy="140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CF197C7-B271-44FD-98FC-7B2D38813E52}"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H_Ver">
            <xdr:nvSpPr>
              <xdr:cNvPr id="2579" name="Fv_H">
                <a:extLst>
                  <a:ext uri="{FF2B5EF4-FFF2-40B4-BE49-F238E27FC236}">
                    <a16:creationId xmlns:a16="http://schemas.microsoft.com/office/drawing/2014/main" id="{2A517640-809D-5C9C-AD81-2300ED73E01B}"/>
                  </a:ext>
                </a:extLst>
              </xdr:cNvPr>
              <xdr:cNvSpPr txBox="1"/>
            </xdr:nvSpPr>
            <xdr:spPr>
              <a:xfrm>
                <a:off x="3061194" y="5931532"/>
                <a:ext cx="458395" cy="126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2CA07029-9CB7-4993-AC0A-319DA61F51BE}"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sp macro="" textlink="$AP$24">
            <xdr:nvSpPr>
              <xdr:cNvPr id="2580" name="MzI">
                <a:extLst>
                  <a:ext uri="{FF2B5EF4-FFF2-40B4-BE49-F238E27FC236}">
                    <a16:creationId xmlns:a16="http://schemas.microsoft.com/office/drawing/2014/main" id="{65D96D00-47B7-313C-77B7-447A01A2F8A7}"/>
                  </a:ext>
                </a:extLst>
              </xdr:cNvPr>
              <xdr:cNvSpPr txBox="1"/>
            </xdr:nvSpPr>
            <xdr:spPr>
              <a:xfrm>
                <a:off x="4359522" y="6070003"/>
                <a:ext cx="88514" cy="14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9B64E93-F000-4D2A-A055-3467C118FB8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I_Ver">
            <xdr:nvSpPr>
              <xdr:cNvPr id="2581" name="Mz_I">
                <a:extLst>
                  <a:ext uri="{FF2B5EF4-FFF2-40B4-BE49-F238E27FC236}">
                    <a16:creationId xmlns:a16="http://schemas.microsoft.com/office/drawing/2014/main" id="{42DB32F2-B7C3-F294-4761-7BC5C0BEAA98}"/>
                  </a:ext>
                </a:extLst>
              </xdr:cNvPr>
              <xdr:cNvSpPr txBox="1"/>
            </xdr:nvSpPr>
            <xdr:spPr>
              <a:xfrm>
                <a:off x="4470012" y="6062778"/>
                <a:ext cx="525405" cy="140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3EEF8E79-B28E-40DC-8081-124538E113BA}"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4">
            <xdr:nvSpPr>
              <xdr:cNvPr id="2582" name="FhI">
                <a:extLst>
                  <a:ext uri="{FF2B5EF4-FFF2-40B4-BE49-F238E27FC236}">
                    <a16:creationId xmlns:a16="http://schemas.microsoft.com/office/drawing/2014/main" id="{E66E3C59-41D4-E9EF-833E-C92C8015987C}"/>
                  </a:ext>
                </a:extLst>
              </xdr:cNvPr>
              <xdr:cNvSpPr txBox="1"/>
            </xdr:nvSpPr>
            <xdr:spPr>
              <a:xfrm>
                <a:off x="4472891" y="6165042"/>
                <a:ext cx="198060" cy="140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8F0762B-85CB-44DE-9CAC-EA0D43055B60}"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I_Ver">
            <xdr:nvSpPr>
              <xdr:cNvPr id="2583" name="Fh_I">
                <a:extLst>
                  <a:ext uri="{FF2B5EF4-FFF2-40B4-BE49-F238E27FC236}">
                    <a16:creationId xmlns:a16="http://schemas.microsoft.com/office/drawing/2014/main" id="{FB41AC19-87C1-E8FA-C687-771F1B77AFAE}"/>
                  </a:ext>
                </a:extLst>
              </xdr:cNvPr>
              <xdr:cNvSpPr txBox="1"/>
            </xdr:nvSpPr>
            <xdr:spPr>
              <a:xfrm>
                <a:off x="4649066" y="6162831"/>
                <a:ext cx="549287" cy="125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E3D6144C-914B-4DC0-90B4-3A18C83E0124}" type="TxLink">
                  <a:rPr lang="en-US" sz="900" b="1" i="0" u="none" strike="noStrike">
                    <a:solidFill>
                      <a:srgbClr val="7030A0"/>
                    </a:solidFill>
                    <a:latin typeface="Calibri"/>
                    <a:ea typeface="Calibri"/>
                    <a:cs typeface="Calibri"/>
                  </a:rPr>
                  <a:pPr algn="l"/>
                  <a:t> </a:t>
                </a:fld>
                <a:endParaRPr lang="es-ES" sz="1400" b="1">
                  <a:solidFill>
                    <a:srgbClr val="0070C0"/>
                  </a:solidFill>
                </a:endParaRPr>
              </a:p>
            </xdr:txBody>
          </xdr:sp>
          <xdr:sp macro="" textlink="$AJ$24">
            <xdr:nvSpPr>
              <xdr:cNvPr id="2584" name="FvI">
                <a:extLst>
                  <a:ext uri="{FF2B5EF4-FFF2-40B4-BE49-F238E27FC236}">
                    <a16:creationId xmlns:a16="http://schemas.microsoft.com/office/drawing/2014/main" id="{C0F37CC7-0617-B5ED-80C3-1047808B818E}"/>
                  </a:ext>
                </a:extLst>
              </xdr:cNvPr>
              <xdr:cNvSpPr txBox="1"/>
            </xdr:nvSpPr>
            <xdr:spPr>
              <a:xfrm>
                <a:off x="4133030" y="5910833"/>
                <a:ext cx="251743" cy="140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C1F922A0-684A-4745-938D-A226F1CFF2B7}"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I_Ver">
            <xdr:nvSpPr>
              <xdr:cNvPr id="2585" name="Fv_I">
                <a:extLst>
                  <a:ext uri="{FF2B5EF4-FFF2-40B4-BE49-F238E27FC236}">
                    <a16:creationId xmlns:a16="http://schemas.microsoft.com/office/drawing/2014/main" id="{867ADF58-3A6D-D6C1-C494-7A1B1FD91051}"/>
                  </a:ext>
                </a:extLst>
              </xdr:cNvPr>
              <xdr:cNvSpPr txBox="1"/>
            </xdr:nvSpPr>
            <xdr:spPr>
              <a:xfrm>
                <a:off x="3744808" y="5920333"/>
                <a:ext cx="458111" cy="126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32E14A15-C0AB-4941-AA31-2CBBE3278DD4}"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518" name="Cargas GJ">
              <a:extLst>
                <a:ext uri="{FF2B5EF4-FFF2-40B4-BE49-F238E27FC236}">
                  <a16:creationId xmlns:a16="http://schemas.microsoft.com/office/drawing/2014/main" id="{986510EA-2BFA-B85B-F4E0-F69F11D22DD0}"/>
                </a:ext>
              </a:extLst>
            </xdr:cNvPr>
            <xdr:cNvGrpSpPr/>
          </xdr:nvGrpSpPr>
          <xdr:grpSpPr>
            <a:xfrm>
              <a:off x="2480516" y="6275759"/>
              <a:ext cx="1080825" cy="963899"/>
              <a:chOff x="8551199" y="7797030"/>
              <a:chExt cx="1084444" cy="965611"/>
            </a:xfrm>
          </xdr:grpSpPr>
          <xdr:sp macro="" textlink="AS24">
            <xdr:nvSpPr>
              <xdr:cNvPr id="2564" name="qGJ">
                <a:extLst>
                  <a:ext uri="{FF2B5EF4-FFF2-40B4-BE49-F238E27FC236}">
                    <a16:creationId xmlns:a16="http://schemas.microsoft.com/office/drawing/2014/main" id="{36214B31-759B-E4DA-5DAE-22D70436337E}"/>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276DDCD-13FB-4D82-8B34-3124C5E9D02E}"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GJ_Ver">
            <xdr:nvSpPr>
              <xdr:cNvPr id="2565" name="q_GJ">
                <a:extLst>
                  <a:ext uri="{FF2B5EF4-FFF2-40B4-BE49-F238E27FC236}">
                    <a16:creationId xmlns:a16="http://schemas.microsoft.com/office/drawing/2014/main" id="{8DB0AA05-6B15-3E06-AA6E-3419ED199F90}"/>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769EF9E-955D-48B4-902B-EE5961631568}"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5">
            <xdr:nvSpPr>
              <xdr:cNvPr id="2566" name="MzJ">
                <a:extLst>
                  <a:ext uri="{FF2B5EF4-FFF2-40B4-BE49-F238E27FC236}">
                    <a16:creationId xmlns:a16="http://schemas.microsoft.com/office/drawing/2014/main" id="{99C308A7-26E7-3C0C-7EE4-20F5B2CD4B27}"/>
                  </a:ext>
                </a:extLst>
              </xdr:cNvPr>
              <xdr:cNvSpPr txBox="1"/>
            </xdr:nvSpPr>
            <xdr:spPr>
              <a:xfrm>
                <a:off x="9005676" y="8309722"/>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F70635E-F300-4309-A065-99DCD38DE72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J_Ver">
            <xdr:nvSpPr>
              <xdr:cNvPr id="2567" name="Mz_J">
                <a:extLst>
                  <a:ext uri="{FF2B5EF4-FFF2-40B4-BE49-F238E27FC236}">
                    <a16:creationId xmlns:a16="http://schemas.microsoft.com/office/drawing/2014/main" id="{A32B3174-D99A-9FF4-18B5-281E0E02B7A9}"/>
                  </a:ext>
                </a:extLst>
              </xdr:cNvPr>
              <xdr:cNvSpPr txBox="1"/>
            </xdr:nvSpPr>
            <xdr:spPr>
              <a:xfrm>
                <a:off x="9112300" y="8306153"/>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181E81E1-F11C-4EE7-B2DA-2642928F7B23}"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5">
            <xdr:nvSpPr>
              <xdr:cNvPr id="2568" name="FhJ">
                <a:extLst>
                  <a:ext uri="{FF2B5EF4-FFF2-40B4-BE49-F238E27FC236}">
                    <a16:creationId xmlns:a16="http://schemas.microsoft.com/office/drawing/2014/main" id="{A106958D-7E1A-D42C-32A9-C5CD3C9527E6}"/>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C5BBBA0-1ABC-44A2-89DD-F3AFED870D8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J_Ver">
            <xdr:nvSpPr>
              <xdr:cNvPr id="2569" name="Fh_J">
                <a:extLst>
                  <a:ext uri="{FF2B5EF4-FFF2-40B4-BE49-F238E27FC236}">
                    <a16:creationId xmlns:a16="http://schemas.microsoft.com/office/drawing/2014/main" id="{37BA23D7-2950-A5BB-0427-E50DE9A5A7DA}"/>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95DAE75C-240C-4F26-9925-9F1B5183ACD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25">
            <xdr:nvSpPr>
              <xdr:cNvPr id="2570" name="FvJ">
                <a:extLst>
                  <a:ext uri="{FF2B5EF4-FFF2-40B4-BE49-F238E27FC236}">
                    <a16:creationId xmlns:a16="http://schemas.microsoft.com/office/drawing/2014/main" id="{FA13FE06-2A3F-D021-BB7A-D74E9997DD4B}"/>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F90CB0E0-81B2-4E22-8082-36632EC5699F}"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J_Ver">
            <xdr:nvSpPr>
              <xdr:cNvPr id="2571" name="Fv_J">
                <a:extLst>
                  <a:ext uri="{FF2B5EF4-FFF2-40B4-BE49-F238E27FC236}">
                    <a16:creationId xmlns:a16="http://schemas.microsoft.com/office/drawing/2014/main" id="{819D11F8-DCE7-1F28-A063-6085BFF282E0}"/>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7A6BD8AF-EFBD-4A85-AF1B-1A7A02A70876}"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2519" name="Cargas JK">
              <a:extLst>
                <a:ext uri="{FF2B5EF4-FFF2-40B4-BE49-F238E27FC236}">
                  <a16:creationId xmlns:a16="http://schemas.microsoft.com/office/drawing/2014/main" id="{B7857628-8346-A2D9-DE3E-BC988CE2D2F0}"/>
                </a:ext>
              </a:extLst>
            </xdr:cNvPr>
            <xdr:cNvGrpSpPr/>
          </xdr:nvGrpSpPr>
          <xdr:grpSpPr>
            <a:xfrm>
              <a:off x="2480415" y="6975218"/>
              <a:ext cx="1010670" cy="1350584"/>
              <a:chOff x="8551199" y="7797030"/>
              <a:chExt cx="1014255" cy="1353377"/>
            </a:xfrm>
          </xdr:grpSpPr>
          <xdr:sp macro="" textlink="AS25">
            <xdr:nvSpPr>
              <xdr:cNvPr id="2556" name="qJK">
                <a:extLst>
                  <a:ext uri="{FF2B5EF4-FFF2-40B4-BE49-F238E27FC236}">
                    <a16:creationId xmlns:a16="http://schemas.microsoft.com/office/drawing/2014/main" id="{FDC97370-5A0D-8650-8D96-A4DE6BD57277}"/>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878A490-C0BD-4EC2-8BAD-321DA1AD869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JK_Ver">
            <xdr:nvSpPr>
              <xdr:cNvPr id="2557" name="q_JK">
                <a:extLst>
                  <a:ext uri="{FF2B5EF4-FFF2-40B4-BE49-F238E27FC236}">
                    <a16:creationId xmlns:a16="http://schemas.microsoft.com/office/drawing/2014/main" id="{130A6618-91DC-7799-1CE6-EF798F394FCA}"/>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51202CD-4A48-452C-9387-3854B3FE1054}"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6">
            <xdr:nvSpPr>
              <xdr:cNvPr id="2558" name="MzK">
                <a:extLst>
                  <a:ext uri="{FF2B5EF4-FFF2-40B4-BE49-F238E27FC236}">
                    <a16:creationId xmlns:a16="http://schemas.microsoft.com/office/drawing/2014/main" id="{733C07A2-EE83-4072-8769-DC9A1184443E}"/>
                  </a:ext>
                </a:extLst>
              </xdr:cNvPr>
              <xdr:cNvSpPr txBox="1"/>
            </xdr:nvSpPr>
            <xdr:spPr>
              <a:xfrm>
                <a:off x="8894333" y="8485079"/>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0CAA6A0F-0909-4EA4-857D-5514B29DC2B5}"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K_Ver">
            <xdr:nvSpPr>
              <xdr:cNvPr id="2559" name="Mz_K">
                <a:extLst>
                  <a:ext uri="{FF2B5EF4-FFF2-40B4-BE49-F238E27FC236}">
                    <a16:creationId xmlns:a16="http://schemas.microsoft.com/office/drawing/2014/main" id="{16A5CB73-EC7D-09C5-CB60-776A8F62DBA0}"/>
                  </a:ext>
                </a:extLst>
              </xdr:cNvPr>
              <xdr:cNvSpPr txBox="1"/>
            </xdr:nvSpPr>
            <xdr:spPr>
              <a:xfrm rot="16200000">
                <a:off x="8667084" y="8817831"/>
                <a:ext cx="523045" cy="142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r"/>
                <a:fld id="{34900774-0551-4F62-A129-A94D05E482FA}" type="TxLink">
                  <a:rPr lang="en-US" sz="900" b="1" i="0" u="none" strike="noStrike">
                    <a:solidFill>
                      <a:srgbClr val="00B050"/>
                    </a:solidFill>
                    <a:latin typeface="Calibri"/>
                    <a:ea typeface="Calibri"/>
                    <a:cs typeface="Calibri"/>
                  </a:rPr>
                  <a:pPr algn="r"/>
                  <a:t> </a:t>
                </a:fld>
                <a:endParaRPr lang="es-ES" sz="1400" b="1">
                  <a:solidFill>
                    <a:srgbClr val="0070C0"/>
                  </a:solidFill>
                </a:endParaRPr>
              </a:p>
            </xdr:txBody>
          </xdr:sp>
          <xdr:sp macro="" textlink="AM26">
            <xdr:nvSpPr>
              <xdr:cNvPr id="2560" name="FhK">
                <a:extLst>
                  <a:ext uri="{FF2B5EF4-FFF2-40B4-BE49-F238E27FC236}">
                    <a16:creationId xmlns:a16="http://schemas.microsoft.com/office/drawing/2014/main" id="{AB13F344-76F8-75CA-23FC-453934DF4054}"/>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B76B718-3AE2-47BB-8E7F-089133AB52F9}"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K_Ver">
            <xdr:nvSpPr>
              <xdr:cNvPr id="2561" name="Fh_K">
                <a:extLst>
                  <a:ext uri="{FF2B5EF4-FFF2-40B4-BE49-F238E27FC236}">
                    <a16:creationId xmlns:a16="http://schemas.microsoft.com/office/drawing/2014/main" id="{00EAB79D-21E9-6102-AAE1-7CF51376D51B}"/>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DE8E969-1B3B-46D0-9F88-F631E62A3BB6}"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26">
            <xdr:nvSpPr>
              <xdr:cNvPr id="2562" name="FvK">
                <a:extLst>
                  <a:ext uri="{FF2B5EF4-FFF2-40B4-BE49-F238E27FC236}">
                    <a16:creationId xmlns:a16="http://schemas.microsoft.com/office/drawing/2014/main" id="{FA94A5EC-28F9-0360-C2D0-05FF3A00D15D}"/>
                  </a:ext>
                </a:extLst>
              </xdr:cNvPr>
              <xdr:cNvSpPr txBox="1"/>
            </xdr:nvSpPr>
            <xdr:spPr>
              <a:xfrm>
                <a:off x="8930995" y="8483258"/>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B8FC98F-F0D8-4FD6-BE10-87D1017FDCE4}"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K_Ver">
            <xdr:nvSpPr>
              <xdr:cNvPr id="2563" name="Fv_K">
                <a:extLst>
                  <a:ext uri="{FF2B5EF4-FFF2-40B4-BE49-F238E27FC236}">
                    <a16:creationId xmlns:a16="http://schemas.microsoft.com/office/drawing/2014/main" id="{62F4605C-D2ED-8C0F-3273-4004E9AE9B1C}"/>
                  </a:ext>
                </a:extLst>
              </xdr:cNvPr>
              <xdr:cNvSpPr txBox="1"/>
            </xdr:nvSpPr>
            <xdr:spPr>
              <a:xfrm>
                <a:off x="9106888" y="8495254"/>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852F8CE-1E78-42E9-BF17-8D453FD96FEC}"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nvGrpSpPr>
            <xdr:cNvPr id="2520" name="Cargas KL">
              <a:extLst>
                <a:ext uri="{FF2B5EF4-FFF2-40B4-BE49-F238E27FC236}">
                  <a16:creationId xmlns:a16="http://schemas.microsoft.com/office/drawing/2014/main" id="{5BF34B27-4BAB-42A7-B7CF-99513EFEBCCC}"/>
                </a:ext>
              </a:extLst>
            </xdr:cNvPr>
            <xdr:cNvGrpSpPr/>
          </xdr:nvGrpSpPr>
          <xdr:grpSpPr>
            <a:xfrm rot="5400000">
              <a:off x="3103620" y="7220409"/>
              <a:ext cx="240938" cy="657254"/>
              <a:chOff x="8720523" y="7797030"/>
              <a:chExt cx="240717" cy="660478"/>
            </a:xfrm>
          </xdr:grpSpPr>
          <xdr:sp macro="" textlink="AS26">
            <xdr:nvSpPr>
              <xdr:cNvPr id="2554" name="qKL">
                <a:extLst>
                  <a:ext uri="{FF2B5EF4-FFF2-40B4-BE49-F238E27FC236}">
                    <a16:creationId xmlns:a16="http://schemas.microsoft.com/office/drawing/2014/main" id="{25C341B8-2AE6-572C-7F62-73F5AF8A2448}"/>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4A70D39E-4F9C-4039-ADE9-405E2EA52A86}"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KL_Ver">
            <xdr:nvSpPr>
              <xdr:cNvPr id="2555" name="q_KL">
                <a:extLst>
                  <a:ext uri="{FF2B5EF4-FFF2-40B4-BE49-F238E27FC236}">
                    <a16:creationId xmlns:a16="http://schemas.microsoft.com/office/drawing/2014/main" id="{B93DD29E-E9EC-CAA1-EFF7-E141D14F5F8C}"/>
                  </a:ext>
                </a:extLst>
              </xdr:cNvPr>
              <xdr:cNvSpPr txBox="1"/>
            </xdr:nvSpPr>
            <xdr:spPr>
              <a:xfrm rot="16200000">
                <a:off x="8485766"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381E1F8-4458-4533-9979-5C9433271833}"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grpSp>
        <xdr:grpSp>
          <xdr:nvGrpSpPr>
            <xdr:cNvPr id="2521" name="Cargas LM">
              <a:extLst>
                <a:ext uri="{FF2B5EF4-FFF2-40B4-BE49-F238E27FC236}">
                  <a16:creationId xmlns:a16="http://schemas.microsoft.com/office/drawing/2014/main" id="{8B26E2D1-E7F4-12F5-6A43-E20BA1CA09AA}"/>
                </a:ext>
              </a:extLst>
            </xdr:cNvPr>
            <xdr:cNvGrpSpPr/>
          </xdr:nvGrpSpPr>
          <xdr:grpSpPr>
            <a:xfrm rot="5400000">
              <a:off x="3312430" y="6858539"/>
              <a:ext cx="561300" cy="1308498"/>
              <a:chOff x="8523476" y="7797030"/>
              <a:chExt cx="559680" cy="1316601"/>
            </a:xfrm>
          </xdr:grpSpPr>
          <xdr:sp macro="" textlink="AS27">
            <xdr:nvSpPr>
              <xdr:cNvPr id="2546" name="qLM">
                <a:extLst>
                  <a:ext uri="{FF2B5EF4-FFF2-40B4-BE49-F238E27FC236}">
                    <a16:creationId xmlns:a16="http://schemas.microsoft.com/office/drawing/2014/main" id="{C1F05516-B83D-EBFE-9823-F3AE907D3BD8}"/>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7F380F7D-7253-4583-9828-5048E5274F6B}"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LM_Ver">
            <xdr:nvSpPr>
              <xdr:cNvPr id="2547" name="q_LM">
                <a:extLst>
                  <a:ext uri="{FF2B5EF4-FFF2-40B4-BE49-F238E27FC236}">
                    <a16:creationId xmlns:a16="http://schemas.microsoft.com/office/drawing/2014/main" id="{9E12C0E9-47F7-0AE9-A076-288824C15356}"/>
                  </a:ext>
                </a:extLst>
              </xdr:cNvPr>
              <xdr:cNvSpPr txBox="1"/>
            </xdr:nvSpPr>
            <xdr:spPr>
              <a:xfrm rot="16200000">
                <a:off x="8487614"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31D4001-1F36-4A5A-BBAD-F95534749EC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7">
            <xdr:nvSpPr>
              <xdr:cNvPr id="2548" name="MzL">
                <a:extLst>
                  <a:ext uri="{FF2B5EF4-FFF2-40B4-BE49-F238E27FC236}">
                    <a16:creationId xmlns:a16="http://schemas.microsoft.com/office/drawing/2014/main" id="{F463E6AE-AFB7-924A-EC9F-ECA9CE59CA81}"/>
                  </a:ext>
                </a:extLst>
              </xdr:cNvPr>
              <xdr:cNvSpPr txBox="1"/>
            </xdr:nvSpPr>
            <xdr:spPr>
              <a:xfrm>
                <a:off x="8970544" y="8530405"/>
                <a:ext cx="88537" cy="141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26A32F5-D1C0-40BD-9137-6979847C7537}"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L_Ver">
            <xdr:nvSpPr>
              <xdr:cNvPr id="2549" name="Mz_L">
                <a:extLst>
                  <a:ext uri="{FF2B5EF4-FFF2-40B4-BE49-F238E27FC236}">
                    <a16:creationId xmlns:a16="http://schemas.microsoft.com/office/drawing/2014/main" id="{9E16234C-2D34-3A49-8C74-EE2AD3E92923}"/>
                  </a:ext>
                </a:extLst>
              </xdr:cNvPr>
              <xdr:cNvSpPr txBox="1"/>
            </xdr:nvSpPr>
            <xdr:spPr>
              <a:xfrm rot="16200000">
                <a:off x="8749513" y="8779988"/>
                <a:ext cx="525969" cy="141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E8D1245-6858-4F22-A39E-9FF9DC956F33}"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7">
            <xdr:nvSpPr>
              <xdr:cNvPr id="2550" name="FhL">
                <a:extLst>
                  <a:ext uri="{FF2B5EF4-FFF2-40B4-BE49-F238E27FC236}">
                    <a16:creationId xmlns:a16="http://schemas.microsoft.com/office/drawing/2014/main" id="{DBBD39E2-8D9D-8C2B-C803-D6755C67C450}"/>
                  </a:ext>
                </a:extLst>
              </xdr:cNvPr>
              <xdr:cNvSpPr txBox="1"/>
            </xdr:nvSpPr>
            <xdr:spPr>
              <a:xfrm rot="16200000">
                <a:off x="8500880" y="8405542"/>
                <a:ext cx="199484" cy="140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B56C9F00-BEFD-4ADC-88E5-B3B076AEDD71}"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L_Ver">
            <xdr:nvSpPr>
              <xdr:cNvPr id="2551" name="Fh_L">
                <a:extLst>
                  <a:ext uri="{FF2B5EF4-FFF2-40B4-BE49-F238E27FC236}">
                    <a16:creationId xmlns:a16="http://schemas.microsoft.com/office/drawing/2014/main" id="{E08D3946-1C4C-5648-459A-FEA26129DE38}"/>
                  </a:ext>
                </a:extLst>
              </xdr:cNvPr>
              <xdr:cNvSpPr txBox="1"/>
            </xdr:nvSpPr>
            <xdr:spPr>
              <a:xfrm rot="16200000">
                <a:off x="8309336" y="8750623"/>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A58FB8D9-FEAF-4F4E-9463-4E44D93C5756}"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7">
            <xdr:nvSpPr>
              <xdr:cNvPr id="2552" name="FvL">
                <a:extLst>
                  <a:ext uri="{FF2B5EF4-FFF2-40B4-BE49-F238E27FC236}">
                    <a16:creationId xmlns:a16="http://schemas.microsoft.com/office/drawing/2014/main" id="{09FAE5D8-93E2-F04B-2104-7B22837AA70F}"/>
                  </a:ext>
                </a:extLst>
              </xdr:cNvPr>
              <xdr:cNvSpPr txBox="1"/>
            </xdr:nvSpPr>
            <xdr:spPr>
              <a:xfrm rot="16200000">
                <a:off x="8568202" y="8411220"/>
                <a:ext cx="253553" cy="140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1F43AB7-C44D-4CA0-B4A4-F64161874985}"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L_Ver">
            <xdr:nvSpPr>
              <xdr:cNvPr id="2553" name="Fv_L">
                <a:extLst>
                  <a:ext uri="{FF2B5EF4-FFF2-40B4-BE49-F238E27FC236}">
                    <a16:creationId xmlns:a16="http://schemas.microsoft.com/office/drawing/2014/main" id="{D83CDAA6-869E-2D28-31A3-F9F8D255FD46}"/>
                  </a:ext>
                </a:extLst>
              </xdr:cNvPr>
              <xdr:cNvSpPr txBox="1"/>
            </xdr:nvSpPr>
            <xdr:spPr>
              <a:xfrm rot="16200000">
                <a:off x="8466392" y="8705656"/>
                <a:ext cx="461406" cy="125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B5C76FBD-1F79-4AA9-8DE6-A6FB1E03D44C}"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522" name="Cargas MN">
              <a:extLst>
                <a:ext uri="{FF2B5EF4-FFF2-40B4-BE49-F238E27FC236}">
                  <a16:creationId xmlns:a16="http://schemas.microsoft.com/office/drawing/2014/main" id="{0B399982-CD9B-98E1-F408-7DD6BA9F5446}"/>
                </a:ext>
              </a:extLst>
            </xdr:cNvPr>
            <xdr:cNvGrpSpPr/>
          </xdr:nvGrpSpPr>
          <xdr:grpSpPr>
            <a:xfrm>
              <a:off x="3658777" y="7222793"/>
              <a:ext cx="2082964" cy="565595"/>
              <a:chOff x="3658777" y="7222793"/>
              <a:chExt cx="2082964" cy="565595"/>
            </a:xfrm>
          </xdr:grpSpPr>
          <xdr:sp macro="" textlink="AS28">
            <xdr:nvSpPr>
              <xdr:cNvPr id="2532" name="qMN">
                <a:extLst>
                  <a:ext uri="{FF2B5EF4-FFF2-40B4-BE49-F238E27FC236}">
                    <a16:creationId xmlns:a16="http://schemas.microsoft.com/office/drawing/2014/main" id="{7E5D3D76-26A6-8FA8-E4ED-54BA6E18108C}"/>
                  </a:ext>
                </a:extLst>
              </xdr:cNvPr>
              <xdr:cNvSpPr txBox="1"/>
            </xdr:nvSpPr>
            <xdr:spPr>
              <a:xfrm>
                <a:off x="4285527" y="7530394"/>
                <a:ext cx="654770" cy="141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87CEEE-3714-471B-A5D7-29D7F9E3DA90}"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MN_Ver">
            <xdr:nvSpPr>
              <xdr:cNvPr id="2533" name="q_MN">
                <a:extLst>
                  <a:ext uri="{FF2B5EF4-FFF2-40B4-BE49-F238E27FC236}">
                    <a16:creationId xmlns:a16="http://schemas.microsoft.com/office/drawing/2014/main" id="{D087813F-C31C-1A69-00EB-B2BB7ECEF5B1}"/>
                  </a:ext>
                </a:extLst>
              </xdr:cNvPr>
              <xdr:cNvSpPr txBox="1"/>
            </xdr:nvSpPr>
            <xdr:spPr>
              <a:xfrm>
                <a:off x="4334598" y="7432117"/>
                <a:ext cx="605696" cy="141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2C75CE3A-B64D-4FE1-B7D0-5F32E6590A6C}"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28">
            <xdr:nvSpPr>
              <xdr:cNvPr id="2534" name="MzM">
                <a:extLst>
                  <a:ext uri="{FF2B5EF4-FFF2-40B4-BE49-F238E27FC236}">
                    <a16:creationId xmlns:a16="http://schemas.microsoft.com/office/drawing/2014/main" id="{0C2C271F-0C6F-B47D-41EA-EB0CA90B0BDD}"/>
                  </a:ext>
                </a:extLst>
              </xdr:cNvPr>
              <xdr:cNvSpPr txBox="1"/>
            </xdr:nvSpPr>
            <xdr:spPr>
              <a:xfrm>
                <a:off x="4324462" y="7647400"/>
                <a:ext cx="88380" cy="140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02C45D4-FC32-47D0-8A0A-58B7C2C8E44F}"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M_Ver">
            <xdr:nvSpPr>
              <xdr:cNvPr id="2535" name="Mz_M">
                <a:extLst>
                  <a:ext uri="{FF2B5EF4-FFF2-40B4-BE49-F238E27FC236}">
                    <a16:creationId xmlns:a16="http://schemas.microsoft.com/office/drawing/2014/main" id="{F8E23DF7-7DB4-FD98-521F-3DD32D3EEC43}"/>
                  </a:ext>
                </a:extLst>
              </xdr:cNvPr>
              <xdr:cNvSpPr txBox="1"/>
            </xdr:nvSpPr>
            <xdr:spPr>
              <a:xfrm>
                <a:off x="4356696" y="7639439"/>
                <a:ext cx="522002" cy="141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82973E1B-B189-4C8F-894F-BD10E7918C4C}"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AM28">
            <xdr:nvSpPr>
              <xdr:cNvPr id="2536" name="FhM">
                <a:extLst>
                  <a:ext uri="{FF2B5EF4-FFF2-40B4-BE49-F238E27FC236}">
                    <a16:creationId xmlns:a16="http://schemas.microsoft.com/office/drawing/2014/main" id="{F7A618AD-5D87-DE24-028F-67CC7B35923F}"/>
                  </a:ext>
                </a:extLst>
              </xdr:cNvPr>
              <xdr:cNvSpPr txBox="1"/>
            </xdr:nvSpPr>
            <xdr:spPr>
              <a:xfrm>
                <a:off x="4168588" y="7239619"/>
                <a:ext cx="197760" cy="140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D3055E9E-D0B3-49FA-A34C-C91A13EF0734}"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M_Ver">
            <xdr:nvSpPr>
              <xdr:cNvPr id="2537" name="Fh_M">
                <a:extLst>
                  <a:ext uri="{FF2B5EF4-FFF2-40B4-BE49-F238E27FC236}">
                    <a16:creationId xmlns:a16="http://schemas.microsoft.com/office/drawing/2014/main" id="{BDA33012-6ACD-59F3-EB15-8A9B37429F3F}"/>
                  </a:ext>
                </a:extLst>
              </xdr:cNvPr>
              <xdr:cNvSpPr txBox="1"/>
            </xdr:nvSpPr>
            <xdr:spPr>
              <a:xfrm>
                <a:off x="3658777" y="7232633"/>
                <a:ext cx="548456" cy="125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6BF2EFCD-9E60-48A2-9450-4ECA37518971}"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8">
            <xdr:nvSpPr>
              <xdr:cNvPr id="2538" name="FvM">
                <a:extLst>
                  <a:ext uri="{FF2B5EF4-FFF2-40B4-BE49-F238E27FC236}">
                    <a16:creationId xmlns:a16="http://schemas.microsoft.com/office/drawing/2014/main" id="{7AB14206-E228-4BFC-2465-9B6E1BD0895B}"/>
                  </a:ext>
                </a:extLst>
              </xdr:cNvPr>
              <xdr:cNvSpPr txBox="1"/>
            </xdr:nvSpPr>
            <xdr:spPr>
              <a:xfrm>
                <a:off x="4136136" y="7334231"/>
                <a:ext cx="251362" cy="140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EEC0D37E-AB83-45A5-820D-A39EE0CD5FD8}"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M_Ver">
            <xdr:nvSpPr>
              <xdr:cNvPr id="2539" name="Fv_M">
                <a:extLst>
                  <a:ext uri="{FF2B5EF4-FFF2-40B4-BE49-F238E27FC236}">
                    <a16:creationId xmlns:a16="http://schemas.microsoft.com/office/drawing/2014/main" id="{E01676CF-8F18-1002-7055-C251195C97D4}"/>
                  </a:ext>
                </a:extLst>
              </xdr:cNvPr>
              <xdr:cNvSpPr txBox="1"/>
            </xdr:nvSpPr>
            <xdr:spPr>
              <a:xfrm>
                <a:off x="3748501" y="7343725"/>
                <a:ext cx="457419" cy="126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E8FF13EB-0A24-46FF-AF13-73586002FD51}"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sp macro="" textlink="$AP$29">
            <xdr:nvSpPr>
              <xdr:cNvPr id="2540" name="MzN">
                <a:extLst>
                  <a:ext uri="{FF2B5EF4-FFF2-40B4-BE49-F238E27FC236}">
                    <a16:creationId xmlns:a16="http://schemas.microsoft.com/office/drawing/2014/main" id="{D6556FD4-63A8-944C-CBC4-03A534981156}"/>
                  </a:ext>
                </a:extLst>
              </xdr:cNvPr>
              <xdr:cNvSpPr txBox="1"/>
            </xdr:nvSpPr>
            <xdr:spPr>
              <a:xfrm>
                <a:off x="5105960" y="7597303"/>
                <a:ext cx="88447" cy="14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32610BC-A3A3-4CCA-9D76-BED97BF3FA54}"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N_Ver">
            <xdr:nvSpPr>
              <xdr:cNvPr id="2541" name="Mz_N">
                <a:extLst>
                  <a:ext uri="{FF2B5EF4-FFF2-40B4-BE49-F238E27FC236}">
                    <a16:creationId xmlns:a16="http://schemas.microsoft.com/office/drawing/2014/main" id="{F2E9A6AA-6BDC-A401-74CB-8B9C4719C44A}"/>
                  </a:ext>
                </a:extLst>
              </xdr:cNvPr>
              <xdr:cNvSpPr txBox="1"/>
            </xdr:nvSpPr>
            <xdr:spPr>
              <a:xfrm>
                <a:off x="5216547" y="7590811"/>
                <a:ext cx="525194" cy="140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B319484A-F446-4ACF-B725-7800B1314F65}"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29">
            <xdr:nvSpPr>
              <xdr:cNvPr id="2542" name="FhN">
                <a:extLst>
                  <a:ext uri="{FF2B5EF4-FFF2-40B4-BE49-F238E27FC236}">
                    <a16:creationId xmlns:a16="http://schemas.microsoft.com/office/drawing/2014/main" id="{2BCCEE76-985E-1E84-6CDD-548C79E1585B}"/>
                  </a:ext>
                </a:extLst>
              </xdr:cNvPr>
              <xdr:cNvSpPr txBox="1"/>
            </xdr:nvSpPr>
            <xdr:spPr>
              <a:xfrm>
                <a:off x="4853008" y="7229768"/>
                <a:ext cx="197912" cy="140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73DBAFD-0A46-4335-A7C3-3A49CC69437E}"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N_Ver">
            <xdr:nvSpPr>
              <xdr:cNvPr id="2543" name="Fh_N">
                <a:extLst>
                  <a:ext uri="{FF2B5EF4-FFF2-40B4-BE49-F238E27FC236}">
                    <a16:creationId xmlns:a16="http://schemas.microsoft.com/office/drawing/2014/main" id="{889A16EB-3130-89D2-DCF3-985AFCF8EE1D}"/>
                  </a:ext>
                </a:extLst>
              </xdr:cNvPr>
              <xdr:cNvSpPr txBox="1"/>
            </xdr:nvSpPr>
            <xdr:spPr>
              <a:xfrm>
                <a:off x="4342808" y="7222793"/>
                <a:ext cx="548875" cy="125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D3B0745-CFEA-4692-97DD-2E559DE0327D}" type="TxLink">
                  <a:rPr lang="en-US" sz="900" b="1" i="0" u="none" strike="noStrike">
                    <a:solidFill>
                      <a:srgbClr val="7030A0"/>
                    </a:solidFill>
                    <a:latin typeface="Calibri"/>
                    <a:ea typeface="Calibri"/>
                    <a:cs typeface="Calibri"/>
                  </a:rPr>
                  <a:pPr algn="r"/>
                  <a:t> </a:t>
                </a:fld>
                <a:endParaRPr lang="es-ES" sz="1400" b="1">
                  <a:solidFill>
                    <a:srgbClr val="0070C0"/>
                  </a:solidFill>
                </a:endParaRPr>
              </a:p>
            </xdr:txBody>
          </xdr:sp>
          <xdr:sp macro="" textlink="$AJ$29">
            <xdr:nvSpPr>
              <xdr:cNvPr id="2544" name="FvN">
                <a:extLst>
                  <a:ext uri="{FF2B5EF4-FFF2-40B4-BE49-F238E27FC236}">
                    <a16:creationId xmlns:a16="http://schemas.microsoft.com/office/drawing/2014/main" id="{14200C9F-B330-6F58-8056-D37F2A55DB80}"/>
                  </a:ext>
                </a:extLst>
              </xdr:cNvPr>
              <xdr:cNvSpPr txBox="1"/>
            </xdr:nvSpPr>
            <xdr:spPr>
              <a:xfrm>
                <a:off x="4820531" y="7324234"/>
                <a:ext cx="251554" cy="140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14B6E298-37C4-4CA9-AFB5-5F49318645AB}"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N_Ver">
            <xdr:nvSpPr>
              <xdr:cNvPr id="2545" name="Fv_N">
                <a:extLst>
                  <a:ext uri="{FF2B5EF4-FFF2-40B4-BE49-F238E27FC236}">
                    <a16:creationId xmlns:a16="http://schemas.microsoft.com/office/drawing/2014/main" id="{28CB1D6F-B124-9185-234B-31BDF6AFF838}"/>
                  </a:ext>
                </a:extLst>
              </xdr:cNvPr>
              <xdr:cNvSpPr txBox="1"/>
            </xdr:nvSpPr>
            <xdr:spPr>
              <a:xfrm>
                <a:off x="4432600" y="7333713"/>
                <a:ext cx="457768" cy="125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fld id="{7FC53ABC-44E8-49BC-9E81-8A9CB3D86355}" type="TxLink">
                  <a:rPr lang="en-US" sz="900" b="1" i="0" u="none" strike="noStrike">
                    <a:solidFill>
                      <a:srgbClr val="C65911"/>
                    </a:solidFill>
                    <a:latin typeface="Calibri"/>
                    <a:ea typeface="Calibri"/>
                    <a:cs typeface="Calibri"/>
                  </a:rPr>
                  <a:pPr algn="r"/>
                  <a:t> </a:t>
                </a:fld>
                <a:endParaRPr lang="es-ES" sz="1400" b="1">
                  <a:solidFill>
                    <a:srgbClr val="0070C0"/>
                  </a:solidFill>
                </a:endParaRPr>
              </a:p>
            </xdr:txBody>
          </xdr:sp>
        </xdr:grpSp>
        <xdr:grpSp>
          <xdr:nvGrpSpPr>
            <xdr:cNvPr id="2523" name="Cargas MO">
              <a:extLst>
                <a:ext uri="{FF2B5EF4-FFF2-40B4-BE49-F238E27FC236}">
                  <a16:creationId xmlns:a16="http://schemas.microsoft.com/office/drawing/2014/main" id="{70039DF3-22BE-58A4-7302-130EB8E4E583}"/>
                </a:ext>
              </a:extLst>
            </xdr:cNvPr>
            <xdr:cNvGrpSpPr/>
          </xdr:nvGrpSpPr>
          <xdr:grpSpPr>
            <a:xfrm>
              <a:off x="3862905" y="7689469"/>
              <a:ext cx="1080867" cy="961617"/>
              <a:chOff x="8551199" y="7797030"/>
              <a:chExt cx="1084444" cy="965611"/>
            </a:xfrm>
          </xdr:grpSpPr>
          <xdr:sp macro="" textlink="AS29">
            <xdr:nvSpPr>
              <xdr:cNvPr id="2524" name="qMO">
                <a:extLst>
                  <a:ext uri="{FF2B5EF4-FFF2-40B4-BE49-F238E27FC236}">
                    <a16:creationId xmlns:a16="http://schemas.microsoft.com/office/drawing/2014/main" id="{B8485187-FF7A-B5A6-8951-0B5BD4509138}"/>
                  </a:ext>
                </a:extLst>
              </xdr:cNvPr>
              <xdr:cNvSpPr txBox="1"/>
            </xdr:nvSpPr>
            <xdr:spPr>
              <a:xfrm rot="16200000">
                <a:off x="8560561" y="8056828"/>
                <a:ext cx="660478" cy="14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9E2EBB96-4CB5-4D6D-A76A-11658466F42F}"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q_MO_Ver">
            <xdr:nvSpPr>
              <xdr:cNvPr id="2525" name="q_MO">
                <a:extLst>
                  <a:ext uri="{FF2B5EF4-FFF2-40B4-BE49-F238E27FC236}">
                    <a16:creationId xmlns:a16="http://schemas.microsoft.com/office/drawing/2014/main" id="{D83EAE8B-111D-9AF6-C743-ED2912E59428}"/>
                  </a:ext>
                </a:extLst>
              </xdr:cNvPr>
              <xdr:cNvSpPr txBox="1"/>
            </xdr:nvSpPr>
            <xdr:spPr>
              <a:xfrm rot="16200000">
                <a:off x="8485763" y="8031790"/>
                <a:ext cx="610976" cy="141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07377C93-E7B7-4C52-908D-C4093FACD511}" type="TxLink">
                  <a:rPr lang="en-US" sz="900" b="1" i="0" u="none" strike="noStrike">
                    <a:solidFill>
                      <a:srgbClr val="4472C4"/>
                    </a:solidFill>
                    <a:latin typeface="Calibri"/>
                    <a:ea typeface="Calibri"/>
                    <a:cs typeface="Calibri"/>
                  </a:rPr>
                  <a:pPr algn="ctr"/>
                  <a:t> </a:t>
                </a:fld>
                <a:endParaRPr lang="es-ES" sz="1400" b="1">
                  <a:solidFill>
                    <a:srgbClr val="0070C0"/>
                  </a:solidFill>
                </a:endParaRPr>
              </a:p>
            </xdr:txBody>
          </xdr:sp>
          <xdr:sp macro="" textlink="$AP$30">
            <xdr:nvSpPr>
              <xdr:cNvPr id="2526" name="MzO">
                <a:extLst>
                  <a:ext uri="{FF2B5EF4-FFF2-40B4-BE49-F238E27FC236}">
                    <a16:creationId xmlns:a16="http://schemas.microsoft.com/office/drawing/2014/main" id="{301A06E5-96A7-A4E5-C66A-A71C845D7F6E}"/>
                  </a:ext>
                </a:extLst>
              </xdr:cNvPr>
              <xdr:cNvSpPr txBox="1"/>
            </xdr:nvSpPr>
            <xdr:spPr>
              <a:xfrm>
                <a:off x="9005676" y="8447719"/>
                <a:ext cx="88601" cy="1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F5D49496-A385-4982-A938-88D3BBF4D491}" type="TxLink">
                  <a:rPr lang="en-US" sz="900" b="1" i="0" u="none" strike="noStrike">
                    <a:solidFill>
                      <a:srgbClr val="00B050"/>
                    </a:solidFill>
                    <a:latin typeface="Calibri"/>
                    <a:ea typeface="Calibri"/>
                    <a:cs typeface="Calibri"/>
                  </a:rPr>
                  <a:pPr algn="ctr"/>
                  <a:t> </a:t>
                </a:fld>
                <a:endParaRPr lang="es-ES" sz="1400" b="1">
                  <a:solidFill>
                    <a:srgbClr val="0070C0"/>
                  </a:solidFill>
                </a:endParaRPr>
              </a:p>
            </xdr:txBody>
          </xdr:sp>
          <xdr:sp macro="" textlink="Mz_O_Ver">
            <xdr:nvSpPr>
              <xdr:cNvPr id="2527" name="Mz_O">
                <a:extLst>
                  <a:ext uri="{FF2B5EF4-FFF2-40B4-BE49-F238E27FC236}">
                    <a16:creationId xmlns:a16="http://schemas.microsoft.com/office/drawing/2014/main" id="{87227ED5-C3FD-B02F-75BC-DD921C3D22E8}"/>
                  </a:ext>
                </a:extLst>
              </xdr:cNvPr>
              <xdr:cNvSpPr txBox="1"/>
            </xdr:nvSpPr>
            <xdr:spPr>
              <a:xfrm>
                <a:off x="9112300" y="8444149"/>
                <a:ext cx="523343" cy="142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l"/>
                <a:fld id="{8C5E0CC2-CD71-42DA-B001-2609ED9D7E2E}" type="TxLink">
                  <a:rPr lang="en-US" sz="900" b="1" i="0" u="none" strike="noStrike">
                    <a:solidFill>
                      <a:srgbClr val="00B050"/>
                    </a:solidFill>
                    <a:latin typeface="Calibri"/>
                    <a:ea typeface="Calibri"/>
                    <a:cs typeface="Calibri"/>
                  </a:rPr>
                  <a:pPr algn="l"/>
                  <a:t> </a:t>
                </a:fld>
                <a:endParaRPr lang="es-ES" sz="1400" b="1">
                  <a:solidFill>
                    <a:srgbClr val="0070C0"/>
                  </a:solidFill>
                </a:endParaRPr>
              </a:p>
            </xdr:txBody>
          </xdr:sp>
          <xdr:sp macro="" textlink="$AM$30">
            <xdr:nvSpPr>
              <xdr:cNvPr id="2528" name="FhO">
                <a:extLst>
                  <a:ext uri="{FF2B5EF4-FFF2-40B4-BE49-F238E27FC236}">
                    <a16:creationId xmlns:a16="http://schemas.microsoft.com/office/drawing/2014/main" id="{AA076AB3-19DE-C918-A100-E8BD1B6FFB73}"/>
                  </a:ext>
                </a:extLst>
              </xdr:cNvPr>
              <xdr:cNvSpPr txBox="1"/>
            </xdr:nvSpPr>
            <xdr:spPr>
              <a:xfrm>
                <a:off x="8621548" y="8405112"/>
                <a:ext cx="198257" cy="141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3AFA1BF3-E53D-4173-8D2D-F7C6D86AD4B2}"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Fh_O_Ver">
            <xdr:nvSpPr>
              <xdr:cNvPr id="2529" name="Fh_O">
                <a:extLst>
                  <a:ext uri="{FF2B5EF4-FFF2-40B4-BE49-F238E27FC236}">
                    <a16:creationId xmlns:a16="http://schemas.microsoft.com/office/drawing/2014/main" id="{12EEAC26-6B5A-0992-C1AE-4CA599A6DD2D}"/>
                  </a:ext>
                </a:extLst>
              </xdr:cNvPr>
              <xdr:cNvSpPr txBox="1"/>
            </xdr:nvSpPr>
            <xdr:spPr>
              <a:xfrm rot="16200000">
                <a:off x="8337059" y="8423544"/>
                <a:ext cx="553237" cy="1249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108DAA69-A8B3-4482-BAB7-7FD432377AB9}" type="TxLink">
                  <a:rPr lang="en-US" sz="900" b="1" i="0" u="none" strike="noStrike">
                    <a:solidFill>
                      <a:srgbClr val="7030A0"/>
                    </a:solidFill>
                    <a:latin typeface="Calibri"/>
                    <a:ea typeface="Calibri"/>
                    <a:cs typeface="Calibri"/>
                  </a:rPr>
                  <a:pPr algn="ctr"/>
                  <a:t> </a:t>
                </a:fld>
                <a:endParaRPr lang="es-ES" sz="1400" b="1">
                  <a:solidFill>
                    <a:srgbClr val="0070C0"/>
                  </a:solidFill>
                </a:endParaRPr>
              </a:p>
            </xdr:txBody>
          </xdr:sp>
          <xdr:sp macro="" textlink="$AJ$30">
            <xdr:nvSpPr>
              <xdr:cNvPr id="2530" name="FvO">
                <a:extLst>
                  <a:ext uri="{FF2B5EF4-FFF2-40B4-BE49-F238E27FC236}">
                    <a16:creationId xmlns:a16="http://schemas.microsoft.com/office/drawing/2014/main" id="{7C933985-2BE4-21EA-0F74-0A33DB91D191}"/>
                  </a:ext>
                </a:extLst>
              </xdr:cNvPr>
              <xdr:cNvSpPr txBox="1"/>
            </xdr:nvSpPr>
            <xdr:spPr>
              <a:xfrm>
                <a:off x="8828170" y="8526374"/>
                <a:ext cx="251993" cy="141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fld id="{A9ADC053-6E5B-46EF-9238-E3DD7CAA8103}" type="TxLink">
                  <a:rPr lang="en-US" sz="900" b="1" i="0" u="none" strike="noStrike">
                    <a:solidFill>
                      <a:srgbClr val="C65911"/>
                    </a:solidFill>
                    <a:latin typeface="Calibri"/>
                    <a:ea typeface="Calibri"/>
                    <a:cs typeface="Calibri"/>
                  </a:rPr>
                  <a:pPr algn="ctr"/>
                  <a:t> </a:t>
                </a:fld>
                <a:endParaRPr lang="es-ES" sz="1400" b="1">
                  <a:solidFill>
                    <a:srgbClr val="0070C0"/>
                  </a:solidFill>
                </a:endParaRPr>
              </a:p>
            </xdr:txBody>
          </xdr:sp>
          <xdr:sp macro="" textlink="Fv_O_Ver">
            <xdr:nvSpPr>
              <xdr:cNvPr id="2531" name="Fv_O">
                <a:extLst>
                  <a:ext uri="{FF2B5EF4-FFF2-40B4-BE49-F238E27FC236}">
                    <a16:creationId xmlns:a16="http://schemas.microsoft.com/office/drawing/2014/main" id="{06914626-BBE7-99EE-AE51-00FB851E5651}"/>
                  </a:ext>
                </a:extLst>
              </xdr:cNvPr>
              <xdr:cNvSpPr txBox="1"/>
            </xdr:nvSpPr>
            <xdr:spPr>
              <a:xfrm>
                <a:off x="9004063" y="8538370"/>
                <a:ext cx="458566" cy="126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380D4BED-91F2-43AC-A28B-DC9EC1DC2884}" type="TxLink">
                  <a:rPr lang="en-US" sz="900" b="1" i="0" u="none" strike="noStrike">
                    <a:solidFill>
                      <a:srgbClr val="C65911"/>
                    </a:solidFill>
                    <a:latin typeface="Calibri"/>
                    <a:ea typeface="Calibri"/>
                    <a:cs typeface="Calibri"/>
                  </a:rPr>
                  <a:pPr algn="l"/>
                  <a:t> </a:t>
                </a:fld>
                <a:endParaRPr lang="es-ES" sz="1400" b="1">
                  <a:solidFill>
                    <a:srgbClr val="0070C0"/>
                  </a:solidFill>
                </a:endParaRPr>
              </a:p>
            </xdr:txBody>
          </xdr:sp>
        </xdr:grpSp>
      </xdr:grpSp>
      <xdr:grpSp>
        <xdr:nvGrpSpPr>
          <xdr:cNvPr id="2494" name="Angulo Alfa">
            <a:extLst>
              <a:ext uri="{FF2B5EF4-FFF2-40B4-BE49-F238E27FC236}">
                <a16:creationId xmlns:a16="http://schemas.microsoft.com/office/drawing/2014/main" id="{BEF9B407-FDA1-9403-A1FD-D8BE23DE6350}"/>
              </a:ext>
            </a:extLst>
          </xdr:cNvPr>
          <xdr:cNvGrpSpPr/>
        </xdr:nvGrpSpPr>
        <xdr:grpSpPr>
          <a:xfrm>
            <a:off x="860678" y="6741781"/>
            <a:ext cx="451560" cy="265974"/>
            <a:chOff x="862489" y="6727450"/>
            <a:chExt cx="450250" cy="264977"/>
          </a:xfrm>
        </xdr:grpSpPr>
        <xdr:sp macro="" textlink="$Y$30">
          <xdr:nvSpPr>
            <xdr:cNvPr id="2507" name="Angulo">
              <a:extLst>
                <a:ext uri="{FF2B5EF4-FFF2-40B4-BE49-F238E27FC236}">
                  <a16:creationId xmlns:a16="http://schemas.microsoft.com/office/drawing/2014/main" id="{0A9E93FE-FDB4-016C-82B1-84F4CBBFA1EA}"/>
                </a:ext>
              </a:extLst>
            </xdr:cNvPr>
            <xdr:cNvSpPr txBox="1"/>
          </xdr:nvSpPr>
          <xdr:spPr>
            <a:xfrm>
              <a:off x="862489" y="6727450"/>
              <a:ext cx="450250" cy="26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210AAF03-5701-40A2-A5B8-6B8238FFACD3}" type="TxLink">
                <a:rPr lang="en-US" sz="2000" b="1" i="0" u="none" strike="noStrike">
                  <a:solidFill>
                    <a:srgbClr val="FF0000"/>
                  </a:solidFill>
                  <a:latin typeface="Calibri"/>
                  <a:ea typeface="Calibri"/>
                  <a:cs typeface="Calibri"/>
                </a:rPr>
                <a:pPr algn="l"/>
                <a:t> </a:t>
              </a:fld>
              <a:endParaRPr lang="es-ES" sz="1400" b="1">
                <a:solidFill>
                  <a:srgbClr val="0070C0"/>
                </a:solidFill>
              </a:endParaRPr>
            </a:p>
          </xdr:txBody>
        </xdr:sp>
        <xdr:sp macro="" textlink="$Z$30">
          <xdr:nvSpPr>
            <xdr:cNvPr id="2508" name="alfa">
              <a:extLst>
                <a:ext uri="{FF2B5EF4-FFF2-40B4-BE49-F238E27FC236}">
                  <a16:creationId xmlns:a16="http://schemas.microsoft.com/office/drawing/2014/main" id="{308FB260-C182-38F6-8DC8-4F2E46154A90}"/>
                </a:ext>
              </a:extLst>
            </xdr:cNvPr>
            <xdr:cNvSpPr txBox="1"/>
          </xdr:nvSpPr>
          <xdr:spPr>
            <a:xfrm>
              <a:off x="1036287" y="6749862"/>
              <a:ext cx="267133" cy="134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C9BDEA95-A4A8-4FFB-903D-9EB8563E233E}" type="TxLink">
                <a:rPr lang="el-GR" sz="12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nvGrpSpPr>
          <xdr:cNvPr id="2495" name="ARTICULACIONES">
            <a:extLst>
              <a:ext uri="{FF2B5EF4-FFF2-40B4-BE49-F238E27FC236}">
                <a16:creationId xmlns:a16="http://schemas.microsoft.com/office/drawing/2014/main" id="{711C0201-FE82-5C9F-2DB1-3C35D4ADC023}"/>
              </a:ext>
            </a:extLst>
          </xdr:cNvPr>
          <xdr:cNvGrpSpPr/>
        </xdr:nvGrpSpPr>
        <xdr:grpSpPr>
          <a:xfrm>
            <a:off x="753821" y="6170130"/>
            <a:ext cx="3569463" cy="1568163"/>
            <a:chOff x="749415" y="6163234"/>
            <a:chExt cx="3563526" cy="1586696"/>
          </a:xfrm>
        </xdr:grpSpPr>
        <xdr:sp macro="" textlink="$AG$16">
          <xdr:nvSpPr>
            <xdr:cNvPr id="2496" name="Art B">
              <a:extLst>
                <a:ext uri="{FF2B5EF4-FFF2-40B4-BE49-F238E27FC236}">
                  <a16:creationId xmlns:a16="http://schemas.microsoft.com/office/drawing/2014/main" id="{4CE234DA-EAEF-AE13-9A53-D2DBCFB1278B}"/>
                </a:ext>
              </a:extLst>
            </xdr:cNvPr>
            <xdr:cNvSpPr txBox="1"/>
          </xdr:nvSpPr>
          <xdr:spPr>
            <a:xfrm>
              <a:off x="753495" y="7563966"/>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5261C836-5578-410E-97DF-33A7480B7FE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17">
          <xdr:nvSpPr>
            <xdr:cNvPr id="2497" name="Art C">
              <a:extLst>
                <a:ext uri="{FF2B5EF4-FFF2-40B4-BE49-F238E27FC236}">
                  <a16:creationId xmlns:a16="http://schemas.microsoft.com/office/drawing/2014/main" id="{9FC1BC53-71B5-6A70-5CAF-06F530161CD8}"/>
                </a:ext>
              </a:extLst>
            </xdr:cNvPr>
            <xdr:cNvSpPr txBox="1"/>
          </xdr:nvSpPr>
          <xdr:spPr>
            <a:xfrm>
              <a:off x="749415" y="6884181"/>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2F1D0E98-0684-4855-AF8C-4CB59ED771C7}"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18">
          <xdr:nvSpPr>
            <xdr:cNvPr id="2498" name="Art D">
              <a:extLst>
                <a:ext uri="{FF2B5EF4-FFF2-40B4-BE49-F238E27FC236}">
                  <a16:creationId xmlns:a16="http://schemas.microsoft.com/office/drawing/2014/main" id="{97FFD159-0946-9591-730E-9B73093727D1}"/>
                </a:ext>
              </a:extLst>
            </xdr:cNvPr>
            <xdr:cNvSpPr txBox="1"/>
          </xdr:nvSpPr>
          <xdr:spPr>
            <a:xfrm>
              <a:off x="755281" y="6169577"/>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A1FB3DC2-34AD-4057-9440-10810AEC74AE}"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0">
          <xdr:nvSpPr>
            <xdr:cNvPr id="2499" name="Art E">
              <a:extLst>
                <a:ext uri="{FF2B5EF4-FFF2-40B4-BE49-F238E27FC236}">
                  <a16:creationId xmlns:a16="http://schemas.microsoft.com/office/drawing/2014/main" id="{64120DFC-1169-1162-3A78-675AC8316062}"/>
                </a:ext>
              </a:extLst>
            </xdr:cNvPr>
            <xdr:cNvSpPr txBox="1"/>
          </xdr:nvSpPr>
          <xdr:spPr>
            <a:xfrm>
              <a:off x="1465341" y="616323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8C08764A-A674-48BC-B14C-7D1E34BECA60}"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1">
          <xdr:nvSpPr>
            <xdr:cNvPr id="2500" name="Art F">
              <a:extLst>
                <a:ext uri="{FF2B5EF4-FFF2-40B4-BE49-F238E27FC236}">
                  <a16:creationId xmlns:a16="http://schemas.microsoft.com/office/drawing/2014/main" id="{F45E67F6-DE0B-3ED0-AD02-4FC44BC72053}"/>
                </a:ext>
              </a:extLst>
            </xdr:cNvPr>
            <xdr:cNvSpPr txBox="1"/>
          </xdr:nvSpPr>
          <xdr:spPr>
            <a:xfrm>
              <a:off x="2122486" y="616616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657B6657-2CC1-441C-B588-3ED29E92F58C}"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2">
          <xdr:nvSpPr>
            <xdr:cNvPr id="2501" name="Art G">
              <a:extLst>
                <a:ext uri="{FF2B5EF4-FFF2-40B4-BE49-F238E27FC236}">
                  <a16:creationId xmlns:a16="http://schemas.microsoft.com/office/drawing/2014/main" id="{13105F69-B139-FF1D-0CD9-04FDF7D0B993}"/>
                </a:ext>
              </a:extLst>
            </xdr:cNvPr>
            <xdr:cNvSpPr txBox="1"/>
          </xdr:nvSpPr>
          <xdr:spPr>
            <a:xfrm>
              <a:off x="2844754" y="6169248"/>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1CD3132-A964-42F1-B6A6-FAF91695822E}"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3">
          <xdr:nvSpPr>
            <xdr:cNvPr id="2502" name="Art H">
              <a:extLst>
                <a:ext uri="{FF2B5EF4-FFF2-40B4-BE49-F238E27FC236}">
                  <a16:creationId xmlns:a16="http://schemas.microsoft.com/office/drawing/2014/main" id="{B8C14193-215E-0745-7D7F-0EB38DC49D91}"/>
                </a:ext>
              </a:extLst>
            </xdr:cNvPr>
            <xdr:cNvSpPr txBox="1"/>
          </xdr:nvSpPr>
          <xdr:spPr>
            <a:xfrm>
              <a:off x="3534467" y="616858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7E167C35-7AE0-4A7A-BE56-FFDF78EA021C}"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5">
          <xdr:nvSpPr>
            <xdr:cNvPr id="2503" name="Art J">
              <a:extLst>
                <a:ext uri="{FF2B5EF4-FFF2-40B4-BE49-F238E27FC236}">
                  <a16:creationId xmlns:a16="http://schemas.microsoft.com/office/drawing/2014/main" id="{4BAE81A0-50B3-39C3-546F-93B2D3E93B06}"/>
                </a:ext>
              </a:extLst>
            </xdr:cNvPr>
            <xdr:cNvSpPr txBox="1"/>
          </xdr:nvSpPr>
          <xdr:spPr>
            <a:xfrm>
              <a:off x="2844268" y="690713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4734AA95-2095-4FAA-A3D0-C73B1DB42529}"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6">
          <xdr:nvSpPr>
            <xdr:cNvPr id="2504" name="Art K">
              <a:extLst>
                <a:ext uri="{FF2B5EF4-FFF2-40B4-BE49-F238E27FC236}">
                  <a16:creationId xmlns:a16="http://schemas.microsoft.com/office/drawing/2014/main" id="{5261B535-27D6-8D12-1417-154CFA0610A5}"/>
                </a:ext>
              </a:extLst>
            </xdr:cNvPr>
            <xdr:cNvSpPr txBox="1"/>
          </xdr:nvSpPr>
          <xdr:spPr>
            <a:xfrm>
              <a:off x="2854199" y="7584634"/>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370C1C4B-2892-4F2C-AA26-510BD5923892}"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7">
          <xdr:nvSpPr>
            <xdr:cNvPr id="2505" name="Art L">
              <a:extLst>
                <a:ext uri="{FF2B5EF4-FFF2-40B4-BE49-F238E27FC236}">
                  <a16:creationId xmlns:a16="http://schemas.microsoft.com/office/drawing/2014/main" id="{15355C4D-FD30-18C6-DD0A-2205A56D5A03}"/>
                </a:ext>
              </a:extLst>
            </xdr:cNvPr>
            <xdr:cNvSpPr txBox="1"/>
          </xdr:nvSpPr>
          <xdr:spPr>
            <a:xfrm>
              <a:off x="3511345" y="7590488"/>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D560F498-F0C5-4A06-97E6-C437BBB5B325}"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sp macro="" textlink="$AG$28">
          <xdr:nvSpPr>
            <xdr:cNvPr id="2506" name="Art M">
              <a:extLst>
                <a:ext uri="{FF2B5EF4-FFF2-40B4-BE49-F238E27FC236}">
                  <a16:creationId xmlns:a16="http://schemas.microsoft.com/office/drawing/2014/main" id="{FC480040-DA06-9F5D-A395-EEB8240FABA4}"/>
                </a:ext>
              </a:extLst>
            </xdr:cNvPr>
            <xdr:cNvSpPr txBox="1"/>
          </xdr:nvSpPr>
          <xdr:spPr>
            <a:xfrm>
              <a:off x="4229550" y="7592273"/>
              <a:ext cx="83391" cy="157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fld id="{ED3C7B47-106A-441D-A9AE-7CF103E31916}" type="TxLink">
                <a:rPr lang="en-US" sz="1100" b="1" i="0" u="none" strike="noStrike">
                  <a:solidFill>
                    <a:srgbClr val="FF0000"/>
                  </a:solidFill>
                  <a:latin typeface="Calibri"/>
                  <a:ea typeface="Calibri"/>
                  <a:cs typeface="Calibri"/>
                </a:rPr>
                <a:pPr algn="ctr"/>
                <a:t> </a:t>
              </a:fld>
              <a:endParaRPr lang="es-ES" sz="1100" b="1">
                <a:solidFill>
                  <a:srgbClr val="FF0000"/>
                </a:solidFill>
              </a:endParaRPr>
            </a:p>
          </xdr:txBody>
        </xdr:sp>
      </xdr:grpSp>
    </xdr:grp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603813</xdr:colOff>
      <xdr:row>3</xdr:row>
      <xdr:rowOff>8383</xdr:rowOff>
    </xdr:from>
    <xdr:ext cx="637095" cy="344453"/>
    <xdr:sp macro="[0]!Datos_Fijos_Generar" textlink="">
      <xdr:nvSpPr>
        <xdr:cNvPr id="2" name="Macro Generar DATOS">
          <a:extLst>
            <a:ext uri="{FF2B5EF4-FFF2-40B4-BE49-F238E27FC236}">
              <a16:creationId xmlns:a16="http://schemas.microsoft.com/office/drawing/2014/main" id="{7D104BB0-A7E9-4280-8AC2-BFEAFFE5AC5D}"/>
            </a:ext>
          </a:extLst>
        </xdr:cNvPr>
        <xdr:cNvSpPr/>
      </xdr:nvSpPr>
      <xdr:spPr>
        <a:xfrm>
          <a:off x="603813" y="554483"/>
          <a:ext cx="637095" cy="344453"/>
        </a:xfrm>
        <a:prstGeom prst="rect">
          <a:avLst/>
        </a:prstGeom>
        <a:solidFill>
          <a:schemeClr val="accent2"/>
        </a:solidFill>
        <a:ln>
          <a:solidFill>
            <a:srgbClr val="0058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spAutoFit/>
        </a:bodyPr>
        <a:lstStyle/>
        <a:p>
          <a:pPr algn="ctr"/>
          <a:r>
            <a:rPr lang="es-ES" sz="1100" b="1"/>
            <a:t>Generar DATOS</a:t>
          </a:r>
        </a:p>
      </xdr:txBody>
    </xdr:sp>
    <xdr:clientData/>
  </xdr:oneCellAnchor>
  <xdr:oneCellAnchor>
    <xdr:from>
      <xdr:col>1</xdr:col>
      <xdr:colOff>1266394</xdr:colOff>
      <xdr:row>3</xdr:row>
      <xdr:rowOff>9893</xdr:rowOff>
    </xdr:from>
    <xdr:ext cx="637095" cy="344453"/>
    <xdr:sp macro="[0]!Datos_Fijos_Borrar" textlink="">
      <xdr:nvSpPr>
        <xdr:cNvPr id="3" name="Macro Borrar DATOS">
          <a:extLst>
            <a:ext uri="{FF2B5EF4-FFF2-40B4-BE49-F238E27FC236}">
              <a16:creationId xmlns:a16="http://schemas.microsoft.com/office/drawing/2014/main" id="{D160D7A4-1255-4FC6-8EB9-339733F11744}"/>
            </a:ext>
          </a:extLst>
        </xdr:cNvPr>
        <xdr:cNvSpPr/>
      </xdr:nvSpPr>
      <xdr:spPr>
        <a:xfrm>
          <a:off x="1266394" y="555993"/>
          <a:ext cx="637095" cy="344453"/>
        </a:xfrm>
        <a:prstGeom prst="rect">
          <a:avLst/>
        </a:prstGeom>
        <a:solidFill>
          <a:schemeClr val="accent2"/>
        </a:solidFill>
        <a:ln>
          <a:solidFill>
            <a:srgbClr val="0058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spAutoFit/>
        </a:bodyPr>
        <a:lstStyle/>
        <a:p>
          <a:pPr algn="ctr"/>
          <a:r>
            <a:rPr lang="es-ES" sz="1100" b="1"/>
            <a:t>Borrar DATOS</a:t>
          </a:r>
        </a:p>
      </xdr:txBody>
    </xdr:sp>
    <xdr:clientData/>
  </xdr:oneCellAnchor>
</xdr:wsDr>
</file>

<file path=xl/richData/_rels/richValueRel.xml.rels><?xml version="1.0" encoding="UTF-8" standalone="yes"?>
<Relationships xmlns="http://schemas.openxmlformats.org/package/2006/relationships"><Relationship Id="rId117" Type="http://schemas.openxmlformats.org/officeDocument/2006/relationships/image" Target="../media/image117.png"/><Relationship Id="rId21" Type="http://schemas.openxmlformats.org/officeDocument/2006/relationships/image" Target="../media/image21.png"/><Relationship Id="rId63" Type="http://schemas.openxmlformats.org/officeDocument/2006/relationships/image" Target="../media/image63.png"/><Relationship Id="rId159" Type="http://schemas.openxmlformats.org/officeDocument/2006/relationships/image" Target="../media/image159.png"/><Relationship Id="rId170" Type="http://schemas.openxmlformats.org/officeDocument/2006/relationships/image" Target="../media/image170.png"/><Relationship Id="rId226" Type="http://schemas.openxmlformats.org/officeDocument/2006/relationships/image" Target="../media/image22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53" Type="http://schemas.openxmlformats.org/officeDocument/2006/relationships/image" Target="../media/image53.png"/><Relationship Id="rId74" Type="http://schemas.openxmlformats.org/officeDocument/2006/relationships/image" Target="../media/image74.png"/><Relationship Id="rId128" Type="http://schemas.openxmlformats.org/officeDocument/2006/relationships/image" Target="../media/image128.png"/><Relationship Id="rId149" Type="http://schemas.openxmlformats.org/officeDocument/2006/relationships/image" Target="../media/image149.png"/><Relationship Id="rId5" Type="http://schemas.openxmlformats.org/officeDocument/2006/relationships/image" Target="../media/image5.png"/><Relationship Id="rId95" Type="http://schemas.openxmlformats.org/officeDocument/2006/relationships/image" Target="../media/image95.png"/><Relationship Id="rId160" Type="http://schemas.openxmlformats.org/officeDocument/2006/relationships/image" Target="../media/image160.png"/><Relationship Id="rId181" Type="http://schemas.openxmlformats.org/officeDocument/2006/relationships/image" Target="../media/image181.png"/><Relationship Id="rId216" Type="http://schemas.openxmlformats.org/officeDocument/2006/relationships/image" Target="../media/image216.png"/><Relationship Id="rId237" Type="http://schemas.openxmlformats.org/officeDocument/2006/relationships/image" Target="../media/image237.png"/><Relationship Id="rId258" Type="http://schemas.openxmlformats.org/officeDocument/2006/relationships/image" Target="../media/image258.png"/><Relationship Id="rId22" Type="http://schemas.openxmlformats.org/officeDocument/2006/relationships/image" Target="../media/image22.png"/><Relationship Id="rId43" Type="http://schemas.openxmlformats.org/officeDocument/2006/relationships/image" Target="../media/image43.png"/><Relationship Id="rId64" Type="http://schemas.openxmlformats.org/officeDocument/2006/relationships/image" Target="../media/image64.png"/><Relationship Id="rId118" Type="http://schemas.openxmlformats.org/officeDocument/2006/relationships/image" Target="../media/image118.png"/><Relationship Id="rId139" Type="http://schemas.openxmlformats.org/officeDocument/2006/relationships/image" Target="../media/image139.png"/><Relationship Id="rId85" Type="http://schemas.openxmlformats.org/officeDocument/2006/relationships/image" Target="../media/image85.png"/><Relationship Id="rId150" Type="http://schemas.openxmlformats.org/officeDocument/2006/relationships/image" Target="../media/image150.png"/><Relationship Id="rId171" Type="http://schemas.openxmlformats.org/officeDocument/2006/relationships/image" Target="../media/image171.png"/><Relationship Id="rId192" Type="http://schemas.openxmlformats.org/officeDocument/2006/relationships/image" Target="../media/image192.png"/><Relationship Id="rId206" Type="http://schemas.openxmlformats.org/officeDocument/2006/relationships/image" Target="../media/image206.png"/><Relationship Id="rId227" Type="http://schemas.openxmlformats.org/officeDocument/2006/relationships/image" Target="../media/image227.png"/><Relationship Id="rId248" Type="http://schemas.openxmlformats.org/officeDocument/2006/relationships/image" Target="../media/image248.png"/><Relationship Id="rId12" Type="http://schemas.openxmlformats.org/officeDocument/2006/relationships/image" Target="../media/image12.png"/><Relationship Id="rId33" Type="http://schemas.openxmlformats.org/officeDocument/2006/relationships/image" Target="../media/image33.png"/><Relationship Id="rId108" Type="http://schemas.openxmlformats.org/officeDocument/2006/relationships/image" Target="../media/image108.png"/><Relationship Id="rId129" Type="http://schemas.openxmlformats.org/officeDocument/2006/relationships/image" Target="../media/image129.png"/><Relationship Id="rId54" Type="http://schemas.openxmlformats.org/officeDocument/2006/relationships/image" Target="../media/image54.png"/><Relationship Id="rId75" Type="http://schemas.openxmlformats.org/officeDocument/2006/relationships/image" Target="../media/image75.png"/><Relationship Id="rId96" Type="http://schemas.openxmlformats.org/officeDocument/2006/relationships/image" Target="../media/image96.png"/><Relationship Id="rId140" Type="http://schemas.openxmlformats.org/officeDocument/2006/relationships/image" Target="../media/image140.png"/><Relationship Id="rId161" Type="http://schemas.openxmlformats.org/officeDocument/2006/relationships/image" Target="../media/image161.png"/><Relationship Id="rId182" Type="http://schemas.openxmlformats.org/officeDocument/2006/relationships/image" Target="../media/image182.png"/><Relationship Id="rId217" Type="http://schemas.openxmlformats.org/officeDocument/2006/relationships/image" Target="../media/image217.png"/><Relationship Id="rId6" Type="http://schemas.openxmlformats.org/officeDocument/2006/relationships/image" Target="../media/image6.png"/><Relationship Id="rId238" Type="http://schemas.openxmlformats.org/officeDocument/2006/relationships/image" Target="../media/image238.png"/><Relationship Id="rId259" Type="http://schemas.openxmlformats.org/officeDocument/2006/relationships/image" Target="../media/image259.png"/><Relationship Id="rId23" Type="http://schemas.openxmlformats.org/officeDocument/2006/relationships/image" Target="../media/image23.png"/><Relationship Id="rId119" Type="http://schemas.openxmlformats.org/officeDocument/2006/relationships/image" Target="../media/image119.png"/><Relationship Id="rId44" Type="http://schemas.openxmlformats.org/officeDocument/2006/relationships/image" Target="../media/image44.png"/><Relationship Id="rId65" Type="http://schemas.openxmlformats.org/officeDocument/2006/relationships/image" Target="../media/image65.png"/><Relationship Id="rId86" Type="http://schemas.openxmlformats.org/officeDocument/2006/relationships/image" Target="../media/image86.png"/><Relationship Id="rId130" Type="http://schemas.openxmlformats.org/officeDocument/2006/relationships/image" Target="../media/image130.png"/><Relationship Id="rId151" Type="http://schemas.openxmlformats.org/officeDocument/2006/relationships/image" Target="../media/image151.png"/><Relationship Id="rId172" Type="http://schemas.openxmlformats.org/officeDocument/2006/relationships/image" Target="../media/image172.png"/><Relationship Id="rId193" Type="http://schemas.openxmlformats.org/officeDocument/2006/relationships/image" Target="../media/image193.png"/><Relationship Id="rId207" Type="http://schemas.openxmlformats.org/officeDocument/2006/relationships/image" Target="../media/image207.png"/><Relationship Id="rId228" Type="http://schemas.openxmlformats.org/officeDocument/2006/relationships/image" Target="../media/image228.png"/><Relationship Id="rId249" Type="http://schemas.openxmlformats.org/officeDocument/2006/relationships/image" Target="../media/image249.png"/><Relationship Id="rId13" Type="http://schemas.openxmlformats.org/officeDocument/2006/relationships/image" Target="../media/image13.png"/><Relationship Id="rId109" Type="http://schemas.openxmlformats.org/officeDocument/2006/relationships/image" Target="../media/image109.png"/><Relationship Id="rId260" Type="http://schemas.openxmlformats.org/officeDocument/2006/relationships/image" Target="../media/image260.png"/><Relationship Id="rId34" Type="http://schemas.openxmlformats.org/officeDocument/2006/relationships/image" Target="../media/image34.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20" Type="http://schemas.openxmlformats.org/officeDocument/2006/relationships/image" Target="../media/image120.png"/><Relationship Id="rId141" Type="http://schemas.openxmlformats.org/officeDocument/2006/relationships/image" Target="../media/image141.png"/><Relationship Id="rId7" Type="http://schemas.openxmlformats.org/officeDocument/2006/relationships/image" Target="../media/image7.png"/><Relationship Id="rId162" Type="http://schemas.openxmlformats.org/officeDocument/2006/relationships/image" Target="../media/image162.png"/><Relationship Id="rId183" Type="http://schemas.openxmlformats.org/officeDocument/2006/relationships/image" Target="../media/image183.png"/><Relationship Id="rId218" Type="http://schemas.openxmlformats.org/officeDocument/2006/relationships/image" Target="../media/image218.png"/><Relationship Id="rId239" Type="http://schemas.openxmlformats.org/officeDocument/2006/relationships/image" Target="../media/image239.png"/><Relationship Id="rId250" Type="http://schemas.openxmlformats.org/officeDocument/2006/relationships/image" Target="../media/image250.png"/><Relationship Id="rId24" Type="http://schemas.openxmlformats.org/officeDocument/2006/relationships/image" Target="../media/image24.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31" Type="http://schemas.openxmlformats.org/officeDocument/2006/relationships/image" Target="../media/image131.png"/><Relationship Id="rId152" Type="http://schemas.openxmlformats.org/officeDocument/2006/relationships/image" Target="../media/image152.png"/><Relationship Id="rId173" Type="http://schemas.openxmlformats.org/officeDocument/2006/relationships/image" Target="../media/image173.png"/><Relationship Id="rId194" Type="http://schemas.openxmlformats.org/officeDocument/2006/relationships/image" Target="../media/image194.png"/><Relationship Id="rId208" Type="http://schemas.openxmlformats.org/officeDocument/2006/relationships/image" Target="../media/image208.png"/><Relationship Id="rId229" Type="http://schemas.openxmlformats.org/officeDocument/2006/relationships/image" Target="../media/image229.png"/><Relationship Id="rId240" Type="http://schemas.openxmlformats.org/officeDocument/2006/relationships/image" Target="../media/image240.png"/><Relationship Id="rId261" Type="http://schemas.openxmlformats.org/officeDocument/2006/relationships/image" Target="../media/image261.png"/><Relationship Id="rId14" Type="http://schemas.openxmlformats.org/officeDocument/2006/relationships/image" Target="../media/image14.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8" Type="http://schemas.openxmlformats.org/officeDocument/2006/relationships/image" Target="../media/image8.png"/><Relationship Id="rId98" Type="http://schemas.openxmlformats.org/officeDocument/2006/relationships/image" Target="../media/image98.png"/><Relationship Id="rId121" Type="http://schemas.openxmlformats.org/officeDocument/2006/relationships/image" Target="../media/image121.png"/><Relationship Id="rId142" Type="http://schemas.openxmlformats.org/officeDocument/2006/relationships/image" Target="../media/image142.png"/><Relationship Id="rId163" Type="http://schemas.openxmlformats.org/officeDocument/2006/relationships/image" Target="../media/image163.png"/><Relationship Id="rId184" Type="http://schemas.openxmlformats.org/officeDocument/2006/relationships/image" Target="../media/image184.png"/><Relationship Id="rId219" Type="http://schemas.openxmlformats.org/officeDocument/2006/relationships/image" Target="../media/image219.png"/><Relationship Id="rId230" Type="http://schemas.openxmlformats.org/officeDocument/2006/relationships/image" Target="../media/image230.png"/><Relationship Id="rId251" Type="http://schemas.openxmlformats.org/officeDocument/2006/relationships/image" Target="../media/image251.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7.png"/><Relationship Id="rId88" Type="http://schemas.openxmlformats.org/officeDocument/2006/relationships/image" Target="../media/image88.png"/><Relationship Id="rId111" Type="http://schemas.openxmlformats.org/officeDocument/2006/relationships/image" Target="../media/image111.png"/><Relationship Id="rId132" Type="http://schemas.openxmlformats.org/officeDocument/2006/relationships/image" Target="../media/image132.png"/><Relationship Id="rId153" Type="http://schemas.openxmlformats.org/officeDocument/2006/relationships/image" Target="../media/image153.png"/><Relationship Id="rId174" Type="http://schemas.openxmlformats.org/officeDocument/2006/relationships/image" Target="../media/image174.png"/><Relationship Id="rId195" Type="http://schemas.openxmlformats.org/officeDocument/2006/relationships/image" Target="../media/image195.png"/><Relationship Id="rId209" Type="http://schemas.openxmlformats.org/officeDocument/2006/relationships/image" Target="../media/image209.png"/><Relationship Id="rId220" Type="http://schemas.openxmlformats.org/officeDocument/2006/relationships/image" Target="../media/image220.png"/><Relationship Id="rId241" Type="http://schemas.openxmlformats.org/officeDocument/2006/relationships/image" Target="../media/image241.png"/><Relationship Id="rId15" Type="http://schemas.openxmlformats.org/officeDocument/2006/relationships/image" Target="../media/image15.png"/><Relationship Id="rId36" Type="http://schemas.openxmlformats.org/officeDocument/2006/relationships/image" Target="../media/image36.png"/><Relationship Id="rId57" Type="http://schemas.openxmlformats.org/officeDocument/2006/relationships/image" Target="../media/image57.png"/><Relationship Id="rId262" Type="http://schemas.openxmlformats.org/officeDocument/2006/relationships/image" Target="../media/image262.png"/><Relationship Id="rId78" Type="http://schemas.openxmlformats.org/officeDocument/2006/relationships/image" Target="../media/image78.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43" Type="http://schemas.openxmlformats.org/officeDocument/2006/relationships/image" Target="../media/image143.png"/><Relationship Id="rId164" Type="http://schemas.openxmlformats.org/officeDocument/2006/relationships/image" Target="../media/image164.png"/><Relationship Id="rId185" Type="http://schemas.openxmlformats.org/officeDocument/2006/relationships/image" Target="../media/image185.png"/><Relationship Id="rId9" Type="http://schemas.openxmlformats.org/officeDocument/2006/relationships/image" Target="../media/image9.png"/><Relationship Id="rId210" Type="http://schemas.openxmlformats.org/officeDocument/2006/relationships/image" Target="../media/image210.png"/><Relationship Id="rId26" Type="http://schemas.openxmlformats.org/officeDocument/2006/relationships/image" Target="../media/image26.png"/><Relationship Id="rId231" Type="http://schemas.openxmlformats.org/officeDocument/2006/relationships/image" Target="../media/image231.png"/><Relationship Id="rId252" Type="http://schemas.openxmlformats.org/officeDocument/2006/relationships/image" Target="../media/image252.png"/><Relationship Id="rId47" Type="http://schemas.openxmlformats.org/officeDocument/2006/relationships/image" Target="../media/image47.png"/><Relationship Id="rId68" Type="http://schemas.openxmlformats.org/officeDocument/2006/relationships/image" Target="../media/image68.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54" Type="http://schemas.openxmlformats.org/officeDocument/2006/relationships/image" Target="../media/image154.png"/><Relationship Id="rId175" Type="http://schemas.openxmlformats.org/officeDocument/2006/relationships/image" Target="../media/image175.png"/><Relationship Id="rId196" Type="http://schemas.openxmlformats.org/officeDocument/2006/relationships/image" Target="../media/image196.png"/><Relationship Id="rId200" Type="http://schemas.openxmlformats.org/officeDocument/2006/relationships/image" Target="../media/image200.png"/><Relationship Id="rId16" Type="http://schemas.openxmlformats.org/officeDocument/2006/relationships/image" Target="../media/image16.png"/><Relationship Id="rId221" Type="http://schemas.openxmlformats.org/officeDocument/2006/relationships/image" Target="../media/image221.png"/><Relationship Id="rId242" Type="http://schemas.openxmlformats.org/officeDocument/2006/relationships/image" Target="../media/image242.png"/><Relationship Id="rId263" Type="http://schemas.openxmlformats.org/officeDocument/2006/relationships/image" Target="../media/image263.png"/><Relationship Id="rId37" Type="http://schemas.openxmlformats.org/officeDocument/2006/relationships/image" Target="../media/image37.png"/><Relationship Id="rId58" Type="http://schemas.openxmlformats.org/officeDocument/2006/relationships/image" Target="../media/image58.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44" Type="http://schemas.openxmlformats.org/officeDocument/2006/relationships/image" Target="../media/image144.png"/><Relationship Id="rId90" Type="http://schemas.openxmlformats.org/officeDocument/2006/relationships/image" Target="../media/image90.png"/><Relationship Id="rId165" Type="http://schemas.openxmlformats.org/officeDocument/2006/relationships/image" Target="../media/image165.png"/><Relationship Id="rId186" Type="http://schemas.openxmlformats.org/officeDocument/2006/relationships/image" Target="../media/image186.png"/><Relationship Id="rId211" Type="http://schemas.openxmlformats.org/officeDocument/2006/relationships/image" Target="../media/image211.png"/><Relationship Id="rId232" Type="http://schemas.openxmlformats.org/officeDocument/2006/relationships/image" Target="../media/image232.png"/><Relationship Id="rId253" Type="http://schemas.openxmlformats.org/officeDocument/2006/relationships/image" Target="../media/image253.png"/><Relationship Id="rId27" Type="http://schemas.openxmlformats.org/officeDocument/2006/relationships/image" Target="../media/image27.png"/><Relationship Id="rId48" Type="http://schemas.openxmlformats.org/officeDocument/2006/relationships/image" Target="../media/image48.png"/><Relationship Id="rId69" Type="http://schemas.openxmlformats.org/officeDocument/2006/relationships/image" Target="../media/image69.png"/><Relationship Id="rId113" Type="http://schemas.openxmlformats.org/officeDocument/2006/relationships/image" Target="../media/image113.png"/><Relationship Id="rId134" Type="http://schemas.openxmlformats.org/officeDocument/2006/relationships/image" Target="../media/image134.png"/><Relationship Id="rId80" Type="http://schemas.openxmlformats.org/officeDocument/2006/relationships/image" Target="../media/image80.png"/><Relationship Id="rId155" Type="http://schemas.openxmlformats.org/officeDocument/2006/relationships/image" Target="../media/image155.png"/><Relationship Id="rId176" Type="http://schemas.openxmlformats.org/officeDocument/2006/relationships/image" Target="../media/image176.png"/><Relationship Id="rId197" Type="http://schemas.openxmlformats.org/officeDocument/2006/relationships/image" Target="../media/image197.png"/><Relationship Id="rId201" Type="http://schemas.openxmlformats.org/officeDocument/2006/relationships/image" Target="../media/image201.png"/><Relationship Id="rId222" Type="http://schemas.openxmlformats.org/officeDocument/2006/relationships/image" Target="../media/image222.png"/><Relationship Id="rId243" Type="http://schemas.openxmlformats.org/officeDocument/2006/relationships/image" Target="../media/image243.png"/><Relationship Id="rId264" Type="http://schemas.openxmlformats.org/officeDocument/2006/relationships/image" Target="../media/image264.png"/><Relationship Id="rId17" Type="http://schemas.openxmlformats.org/officeDocument/2006/relationships/image" Target="../media/image17.png"/><Relationship Id="rId38" Type="http://schemas.openxmlformats.org/officeDocument/2006/relationships/image" Target="../media/image38.png"/><Relationship Id="rId59" Type="http://schemas.openxmlformats.org/officeDocument/2006/relationships/image" Target="../media/image59.png"/><Relationship Id="rId103" Type="http://schemas.openxmlformats.org/officeDocument/2006/relationships/image" Target="../media/image103.png"/><Relationship Id="rId124" Type="http://schemas.openxmlformats.org/officeDocument/2006/relationships/image" Target="../media/image124.png"/><Relationship Id="rId70" Type="http://schemas.openxmlformats.org/officeDocument/2006/relationships/image" Target="../media/image70.png"/><Relationship Id="rId91" Type="http://schemas.openxmlformats.org/officeDocument/2006/relationships/image" Target="../media/image91.png"/><Relationship Id="rId145" Type="http://schemas.openxmlformats.org/officeDocument/2006/relationships/image" Target="../media/image145.png"/><Relationship Id="rId166" Type="http://schemas.openxmlformats.org/officeDocument/2006/relationships/image" Target="../media/image166.png"/><Relationship Id="rId187" Type="http://schemas.openxmlformats.org/officeDocument/2006/relationships/image" Target="../media/image187.png"/><Relationship Id="rId1" Type="http://schemas.openxmlformats.org/officeDocument/2006/relationships/image" Target="../media/image1.png"/><Relationship Id="rId212" Type="http://schemas.openxmlformats.org/officeDocument/2006/relationships/image" Target="../media/image212.png"/><Relationship Id="rId233" Type="http://schemas.openxmlformats.org/officeDocument/2006/relationships/image" Target="../media/image233.png"/><Relationship Id="rId254" Type="http://schemas.openxmlformats.org/officeDocument/2006/relationships/image" Target="../media/image254.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png"/><Relationship Id="rId60" Type="http://schemas.openxmlformats.org/officeDocument/2006/relationships/image" Target="../media/image60.png"/><Relationship Id="rId81" Type="http://schemas.openxmlformats.org/officeDocument/2006/relationships/image" Target="../media/image81.png"/><Relationship Id="rId135" Type="http://schemas.openxmlformats.org/officeDocument/2006/relationships/image" Target="../media/image135.png"/><Relationship Id="rId156" Type="http://schemas.openxmlformats.org/officeDocument/2006/relationships/image" Target="../media/image156.png"/><Relationship Id="rId177" Type="http://schemas.openxmlformats.org/officeDocument/2006/relationships/image" Target="../media/image177.png"/><Relationship Id="rId198" Type="http://schemas.openxmlformats.org/officeDocument/2006/relationships/image" Target="../media/image198.png"/><Relationship Id="rId202" Type="http://schemas.openxmlformats.org/officeDocument/2006/relationships/image" Target="../media/image202.png"/><Relationship Id="rId223" Type="http://schemas.openxmlformats.org/officeDocument/2006/relationships/image" Target="../media/image223.png"/><Relationship Id="rId244" Type="http://schemas.openxmlformats.org/officeDocument/2006/relationships/image" Target="../media/image244.png"/><Relationship Id="rId18" Type="http://schemas.openxmlformats.org/officeDocument/2006/relationships/image" Target="../media/image18.png"/><Relationship Id="rId39" Type="http://schemas.openxmlformats.org/officeDocument/2006/relationships/image" Target="../media/image39.png"/><Relationship Id="rId265" Type="http://schemas.openxmlformats.org/officeDocument/2006/relationships/image" Target="../media/image265.png"/><Relationship Id="rId50" Type="http://schemas.openxmlformats.org/officeDocument/2006/relationships/image" Target="../media/image50.png"/><Relationship Id="rId104" Type="http://schemas.openxmlformats.org/officeDocument/2006/relationships/image" Target="../media/image104.png"/><Relationship Id="rId125" Type="http://schemas.openxmlformats.org/officeDocument/2006/relationships/image" Target="../media/image125.png"/><Relationship Id="rId146" Type="http://schemas.openxmlformats.org/officeDocument/2006/relationships/image" Target="../media/image146.png"/><Relationship Id="rId167" Type="http://schemas.openxmlformats.org/officeDocument/2006/relationships/image" Target="../media/image167.png"/><Relationship Id="rId188" Type="http://schemas.openxmlformats.org/officeDocument/2006/relationships/image" Target="../media/image188.png"/><Relationship Id="rId71" Type="http://schemas.openxmlformats.org/officeDocument/2006/relationships/image" Target="../media/image71.png"/><Relationship Id="rId92" Type="http://schemas.openxmlformats.org/officeDocument/2006/relationships/image" Target="../media/image92.png"/><Relationship Id="rId213" Type="http://schemas.openxmlformats.org/officeDocument/2006/relationships/image" Target="../media/image213.png"/><Relationship Id="rId234" Type="http://schemas.openxmlformats.org/officeDocument/2006/relationships/image" Target="../media/image234.png"/><Relationship Id="rId2" Type="http://schemas.openxmlformats.org/officeDocument/2006/relationships/image" Target="../media/image2.png"/><Relationship Id="rId29" Type="http://schemas.openxmlformats.org/officeDocument/2006/relationships/image" Target="../media/image29.png"/><Relationship Id="rId255" Type="http://schemas.openxmlformats.org/officeDocument/2006/relationships/image" Target="../media/image255.png"/><Relationship Id="rId40" Type="http://schemas.openxmlformats.org/officeDocument/2006/relationships/image" Target="../media/image40.png"/><Relationship Id="rId115" Type="http://schemas.openxmlformats.org/officeDocument/2006/relationships/image" Target="../media/image115.png"/><Relationship Id="rId136" Type="http://schemas.openxmlformats.org/officeDocument/2006/relationships/image" Target="../media/image136.png"/><Relationship Id="rId157" Type="http://schemas.openxmlformats.org/officeDocument/2006/relationships/image" Target="../media/image157.png"/><Relationship Id="rId178" Type="http://schemas.openxmlformats.org/officeDocument/2006/relationships/image" Target="../media/image178.png"/><Relationship Id="rId61" Type="http://schemas.openxmlformats.org/officeDocument/2006/relationships/image" Target="../media/image61.png"/><Relationship Id="rId82" Type="http://schemas.openxmlformats.org/officeDocument/2006/relationships/image" Target="../media/image82.png"/><Relationship Id="rId199" Type="http://schemas.openxmlformats.org/officeDocument/2006/relationships/image" Target="../media/image199.png"/><Relationship Id="rId203" Type="http://schemas.openxmlformats.org/officeDocument/2006/relationships/image" Target="../media/image203.png"/><Relationship Id="rId19" Type="http://schemas.openxmlformats.org/officeDocument/2006/relationships/image" Target="../media/image19.png"/><Relationship Id="rId224" Type="http://schemas.openxmlformats.org/officeDocument/2006/relationships/image" Target="../media/image224.png"/><Relationship Id="rId245" Type="http://schemas.openxmlformats.org/officeDocument/2006/relationships/image" Target="../media/image245.png"/><Relationship Id="rId266" Type="http://schemas.openxmlformats.org/officeDocument/2006/relationships/image" Target="../media/image266.png"/><Relationship Id="rId30" Type="http://schemas.openxmlformats.org/officeDocument/2006/relationships/image" Target="../media/image30.png"/><Relationship Id="rId105" Type="http://schemas.openxmlformats.org/officeDocument/2006/relationships/image" Target="../media/image105.png"/><Relationship Id="rId126" Type="http://schemas.openxmlformats.org/officeDocument/2006/relationships/image" Target="../media/image126.png"/><Relationship Id="rId147" Type="http://schemas.openxmlformats.org/officeDocument/2006/relationships/image" Target="../media/image147.png"/><Relationship Id="rId168" Type="http://schemas.openxmlformats.org/officeDocument/2006/relationships/image" Target="../media/image168.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189" Type="http://schemas.openxmlformats.org/officeDocument/2006/relationships/image" Target="../media/image189.png"/><Relationship Id="rId3" Type="http://schemas.openxmlformats.org/officeDocument/2006/relationships/image" Target="../media/image3.png"/><Relationship Id="rId214" Type="http://schemas.openxmlformats.org/officeDocument/2006/relationships/image" Target="../media/image214.png"/><Relationship Id="rId235" Type="http://schemas.openxmlformats.org/officeDocument/2006/relationships/image" Target="../media/image235.png"/><Relationship Id="rId256" Type="http://schemas.openxmlformats.org/officeDocument/2006/relationships/image" Target="../media/image256.png"/><Relationship Id="rId116" Type="http://schemas.openxmlformats.org/officeDocument/2006/relationships/image" Target="../media/image116.png"/><Relationship Id="rId137" Type="http://schemas.openxmlformats.org/officeDocument/2006/relationships/image" Target="../media/image137.png"/><Relationship Id="rId158" Type="http://schemas.openxmlformats.org/officeDocument/2006/relationships/image" Target="../media/image158.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png"/><Relationship Id="rId83" Type="http://schemas.openxmlformats.org/officeDocument/2006/relationships/image" Target="../media/image83.png"/><Relationship Id="rId179" Type="http://schemas.openxmlformats.org/officeDocument/2006/relationships/image" Target="../media/image179.png"/><Relationship Id="rId190" Type="http://schemas.openxmlformats.org/officeDocument/2006/relationships/image" Target="../media/image190.png"/><Relationship Id="rId204" Type="http://schemas.openxmlformats.org/officeDocument/2006/relationships/image" Target="../media/image204.png"/><Relationship Id="rId225" Type="http://schemas.openxmlformats.org/officeDocument/2006/relationships/image" Target="../media/image225.png"/><Relationship Id="rId246" Type="http://schemas.openxmlformats.org/officeDocument/2006/relationships/image" Target="../media/image246.png"/><Relationship Id="rId106" Type="http://schemas.openxmlformats.org/officeDocument/2006/relationships/image" Target="../media/image106.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52" Type="http://schemas.openxmlformats.org/officeDocument/2006/relationships/image" Target="../media/image52.png"/><Relationship Id="rId73" Type="http://schemas.openxmlformats.org/officeDocument/2006/relationships/image" Target="../media/image73.png"/><Relationship Id="rId94" Type="http://schemas.openxmlformats.org/officeDocument/2006/relationships/image" Target="../media/image94.png"/><Relationship Id="rId148" Type="http://schemas.openxmlformats.org/officeDocument/2006/relationships/image" Target="../media/image148.png"/><Relationship Id="rId169" Type="http://schemas.openxmlformats.org/officeDocument/2006/relationships/image" Target="../media/image169.png"/><Relationship Id="rId4" Type="http://schemas.openxmlformats.org/officeDocument/2006/relationships/image" Target="../media/image4.png"/><Relationship Id="rId180" Type="http://schemas.openxmlformats.org/officeDocument/2006/relationships/image" Target="../media/image180.png"/><Relationship Id="rId215" Type="http://schemas.openxmlformats.org/officeDocument/2006/relationships/image" Target="../media/image215.png"/><Relationship Id="rId236" Type="http://schemas.openxmlformats.org/officeDocument/2006/relationships/image" Target="../media/image236.png"/><Relationship Id="rId257" Type="http://schemas.openxmlformats.org/officeDocument/2006/relationships/image" Target="../media/image257.png"/><Relationship Id="rId42" Type="http://schemas.openxmlformats.org/officeDocument/2006/relationships/image" Target="../media/image42.png"/><Relationship Id="rId84" Type="http://schemas.openxmlformats.org/officeDocument/2006/relationships/image" Target="../media/image84.png"/><Relationship Id="rId138" Type="http://schemas.openxmlformats.org/officeDocument/2006/relationships/image" Target="../media/image138.png"/><Relationship Id="rId191" Type="http://schemas.openxmlformats.org/officeDocument/2006/relationships/image" Target="../media/image191.png"/><Relationship Id="rId205" Type="http://schemas.openxmlformats.org/officeDocument/2006/relationships/image" Target="../media/image205.png"/><Relationship Id="rId247" Type="http://schemas.openxmlformats.org/officeDocument/2006/relationships/image" Target="../media/image247.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66">
  <rv s="0">
    <v>0</v>
    <v>5</v>
  </rv>
  <rv s="1">
    <v>1</v>
    <v>5</v>
    <v>C:\Users\milag\Desktop\0.TEMPORALES\MV\0. IMAGENES\0. DIAGRAMAS - 1 BARRA\0. DIAGRAMAS - 1 BARRA - GIRADOS\AXIL (N)\N_G CERO CERO.png</v>
  </rv>
  <rv s="1">
    <v>2</v>
    <v>5</v>
    <v>C:\Users\milag\Desktop\0.TEMPORALES\MV\0. IMAGENES\0. DIAGRAMAS - 1 BARRA\0. DIAGRAMAS - 1 BARRA\AXIL (N)\N POS POS.png</v>
  </rv>
  <rv s="1">
    <v>3</v>
    <v>5</v>
    <v>C:\Users\milag\Desktop\0.TEMPORALES\MV\0. IMAGENES\0. DIAGRAMAS - 1 BARRA\0. DIAGRAMAS - 1 BARRA - GIRADOS\AXIL (N)\N_G POS POS.png</v>
  </rv>
  <rv s="1">
    <v>4</v>
    <v>5</v>
    <v>C:\Users\milag\Desktop\0.TEMPORALES\MV\0. IMAGENES\0. DIAGRAMAS - 1 BARRA\0. DIAGRAMAS - 1 BARRA - GIRADOS\AXIL (N) Dcha\N_GI POS POS.png</v>
  </rv>
  <rv s="1">
    <v>5</v>
    <v>5</v>
    <v>C:\Users\milag\Desktop\0.TEMPORALES\MV\0. IMAGENES\0. DIAGRAMAS - 1 BARRA\0. DIAGRAMAS - 1 BARRA\AXIL (N)\N NEG NEG.png</v>
  </rv>
  <rv s="1">
    <v>6</v>
    <v>5</v>
    <v>C:\Users\milag\Desktop\0.TEMPORALES\MV\0. IMAGENES\0. DIAGRAMAS - 1 BARRA\0. DIAGRAMAS - 1 BARRA - GIRADOS\AXIL (N)\N_G NEG NEG.png</v>
  </rv>
  <rv s="1">
    <v>7</v>
    <v>5</v>
    <v>C:\Users\milag\Desktop\0.TEMPORALES\MV\0. IMAGENES\0. DIAGRAMAS - 1 BARRA\0. DIAGRAMAS - 1 BARRA - GIRADOS\AXIL (N) Dcha\N_GI NEG NEG.png</v>
  </rv>
  <rv s="1">
    <v>8</v>
    <v>5</v>
    <v>C:\Users\milag\Desktop\0.TEMPORALES\MV\0. IMAGENES\0. DIAGRAMAS - 1 BARRA\0. DIAGRAMAS - 1 BARRA\AXIL (N)\N NEG CERO.png</v>
  </rv>
  <rv s="1">
    <v>9</v>
    <v>5</v>
    <v>C:\Users\milag\Desktop\0.TEMPORALES\MV\0. IMAGENES\0. DIAGRAMAS - 1 BARRA\0. DIAGRAMAS - 1 BARRA - GIRADOS\AXIL (N)\N_G NEG CERO.png</v>
  </rv>
  <rv s="1">
    <v>10</v>
    <v>5</v>
    <v>C:\Users\milag\Desktop\0.TEMPORALES\MV\0. IMAGENES\0. DIAGRAMAS - 1 BARRA\0. DIAGRAMAS - 1 BARRA - GIRADOS\AXIL (N) Dcha\N_GI NEG CERO.png</v>
  </rv>
  <rv s="1">
    <v>11</v>
    <v>5</v>
    <v>C:\Users\milag\Desktop\0.TEMPORALES\MV\0. IMAGENES\0. DIAGRAMAS - 1 BARRA\0. DIAGRAMAS - 1 BARRA\AXIL (N)\N POS CERO.png</v>
  </rv>
  <rv s="1">
    <v>12</v>
    <v>5</v>
    <v>C:\Users\milag\Desktop\0.TEMPORALES\MV\0. IMAGENES\0. DIAGRAMAS - 1 BARRA\0. DIAGRAMAS - 1 BARRA - GIRADOS\AXIL (N)\N_G POS CERO.png</v>
  </rv>
  <rv s="1">
    <v>13</v>
    <v>5</v>
    <v>C:\Users\milag\Desktop\0.TEMPORALES\MV\0. IMAGENES\0. DIAGRAMAS - 1 BARRA\0. DIAGRAMAS - 1 BARRA - GIRADOS\AXIL (N) Dcha\N_GI POS CERO.png</v>
  </rv>
  <rv s="1">
    <v>14</v>
    <v>5</v>
    <v>C:\Users\milag\Desktop\0.TEMPORALES\MV\0. IMAGENES\0. DIAGRAMAS - 1 BARRA\0. DIAGRAMAS - 1 BARRA\AXIL (N)\N CERO NEG.png</v>
  </rv>
  <rv s="1">
    <v>15</v>
    <v>5</v>
    <v>C:\Users\milag\Desktop\0.TEMPORALES\MV\0. IMAGENES\0. DIAGRAMAS - 1 BARRA\0. DIAGRAMAS - 1 BARRA - GIRADOS\AXIL (N)\N_G CERO NEG.png</v>
  </rv>
  <rv s="1">
    <v>16</v>
    <v>5</v>
    <v>C:\Users\milag\Desktop\0.TEMPORALES\MV\0. IMAGENES\0. DIAGRAMAS - 1 BARRA\0. DIAGRAMAS - 1 BARRA - GIRADOS\AXIL (N) Dcha\N_GI CERO NEG.png</v>
  </rv>
  <rv s="1">
    <v>17</v>
    <v>5</v>
    <v>C:\Users\milag\Desktop\0.TEMPORALES\MV\0. IMAGENES\0. DIAGRAMAS - 1 BARRA\0. DIAGRAMAS - 1 BARRA\AXIL (N)\N CERO POS.png</v>
  </rv>
  <rv s="1">
    <v>18</v>
    <v>5</v>
    <v>C:\Users\milag\Desktop\0.TEMPORALES\MV\0. IMAGENES\0. DIAGRAMAS - 1 BARRA\0. DIAGRAMAS - 1 BARRA - GIRADOS\AXIL (N)\N_G CERO POS.png</v>
  </rv>
  <rv s="1">
    <v>19</v>
    <v>5</v>
    <v>C:\Users\milag\Desktop\0.TEMPORALES\MV\0. IMAGENES\0. DIAGRAMAS - 1 BARRA\0. DIAGRAMAS - 1 BARRA - GIRADOS\AXIL (N) Dcha\N_GI CERO POS.png</v>
  </rv>
  <rv s="1">
    <v>20</v>
    <v>5</v>
    <v>C:\Users\milag\Desktop\0.TEMPORALES\MV\0. IMAGENES\0. DIAGRAMAS - 1 BARRA\0. DIAGRAMAS - 1 BARRA\AXIL (N)\N POS NEG.png</v>
  </rv>
  <rv s="1">
    <v>21</v>
    <v>5</v>
    <v>C:\Users\milag\Desktop\0.TEMPORALES\MV\0. IMAGENES\0. DIAGRAMAS - 1 BARRA\0. DIAGRAMAS - 1 BARRA - GIRADOS\AXIL (N)\N_G POS NEG MAX_MIN.png</v>
  </rv>
  <rv s="1">
    <v>22</v>
    <v>5</v>
    <v>C:\Users\milag\Desktop\0.TEMPORALES\MV\0. IMAGENES\0. DIAGRAMAS - 1 BARRA\0. DIAGRAMAS - 1 BARRA - GIRADOS\AXIL (N) Dcha\N_GI POS NEG MAX_MIN.png</v>
  </rv>
  <rv s="1">
    <v>23</v>
    <v>5</v>
    <v>C:\Users\milag\Desktop\0.TEMPORALES\MV\0. IMAGENES\0. DIAGRAMAS - 1 BARRA\0. DIAGRAMAS - 1 BARRA\AXIL (N)\N NEG POS.png</v>
  </rv>
  <rv s="1">
    <v>24</v>
    <v>5</v>
    <v>C:\Users\milag\Desktop\0.TEMPORALES\MV\0. IMAGENES\0. DIAGRAMAS - 1 BARRA\0. DIAGRAMAS - 1 BARRA - GIRADOS\AXIL (N)\N_G NEG POS MIN_MAX.png</v>
  </rv>
  <rv s="1">
    <v>25</v>
    <v>5</v>
    <v>C:\Users\milag\Desktop\0.TEMPORALES\MV\0. IMAGENES\0. DIAGRAMAS - 1 BARRA\0. DIAGRAMAS - 1 BARRA - GIRADOS\AXIL (N) Dcha\N_GI NEG POS MIN_MAX.png</v>
  </rv>
  <rv s="1">
    <v>26</v>
    <v>5</v>
    <v>C:\Users\milag\Desktop\0.TEMPORALES\MV\0. IMAGENES\0. DIAGRAMAS - 1 BARRA\0. DIAGRAMAS - 1 BARRA\AXIL (N)\N POS POS MIN_MAX.png</v>
  </rv>
  <rv s="1">
    <v>27</v>
    <v>5</v>
    <v>C:\Users\milag\Desktop\0.TEMPORALES\MV\0. IMAGENES\0. DIAGRAMAS - 1 BARRA\0. DIAGRAMAS - 1 BARRA - GIRADOS\AXIL (N)\N_G POS POS MIN_MAX.png</v>
  </rv>
  <rv s="1">
    <v>28</v>
    <v>5</v>
    <v>C:\Users\milag\Desktop\0.TEMPORALES\MV\0. IMAGENES\0. DIAGRAMAS - 1 BARRA\0. DIAGRAMAS - 1 BARRA - GIRADOS\AXIL (N) Dcha\N_GI POS POS MIN_MAX.png</v>
  </rv>
  <rv s="1">
    <v>29</v>
    <v>5</v>
    <v>C:\Users\milag\Desktop\0.TEMPORALES\MV\0. IMAGENES\0. DIAGRAMAS - 1 BARRA\0. DIAGRAMAS - 1 BARRA\AXIL (N)\N POS POS MAX_MIN.png</v>
  </rv>
  <rv s="1">
    <v>30</v>
    <v>5</v>
    <v>C:\Users\milag\Desktop\0.TEMPORALES\MV\0. IMAGENES\0. DIAGRAMAS - 1 BARRA\0. DIAGRAMAS - 1 BARRA - GIRADOS\AXIL (N)\N_G POS POS MAX_MIN.png</v>
  </rv>
  <rv s="1">
    <v>31</v>
    <v>5</v>
    <v>C:\Users\milag\Desktop\0.TEMPORALES\MV\0. IMAGENES\0. DIAGRAMAS - 1 BARRA\0. DIAGRAMAS - 1 BARRA - GIRADOS\AXIL (N) Dcha\N_GI POS POS MAX_MIN.png</v>
  </rv>
  <rv s="1">
    <v>32</v>
    <v>5</v>
    <v>C:\Users\milag\Desktop\0.TEMPORALES\MV\0. IMAGENES\0. DIAGRAMAS - 1 BARRA\0. DIAGRAMAS - 1 BARRA\AXIL (N)\N NEG NEG MIN_MAX.png</v>
  </rv>
  <rv s="1">
    <v>33</v>
    <v>5</v>
    <v>C:\Users\milag\Desktop\0.TEMPORALES\MV\0. IMAGENES\0. DIAGRAMAS - 1 BARRA\0. DIAGRAMAS - 1 BARRA - GIRADOS\AXIL (N)\N_G NEG NEG MIN_MAX.png</v>
  </rv>
  <rv s="1">
    <v>34</v>
    <v>5</v>
    <v>C:\Users\milag\Desktop\0.TEMPORALES\MV\0. IMAGENES\0. DIAGRAMAS - 1 BARRA\0. DIAGRAMAS - 1 BARRA - GIRADOS\AXIL (N) Dcha\N_GI NEG NEG MIN_MAX.png</v>
  </rv>
  <rv s="1">
    <v>35</v>
    <v>5</v>
    <v>C:\Users\milag\Desktop\0.TEMPORALES\MV\0. IMAGENES\0. DIAGRAMAS - 1 BARRA\0. DIAGRAMAS - 1 BARRA\AXIL (N)\N NEG NEG MAX_MIN.png</v>
  </rv>
  <rv s="1">
    <v>36</v>
    <v>5</v>
    <v>C:\Users\milag\Desktop\0.TEMPORALES\MV\0. IMAGENES\0. DIAGRAMAS - 1 BARRA\0. DIAGRAMAS - 1 BARRA - GIRADOS\AXIL (N)\N_G NEG NEG MAX_MIN.png</v>
  </rv>
  <rv s="1">
    <v>37</v>
    <v>5</v>
    <v>C:\Users\milag\Desktop\0.TEMPORALES\MV\0. IMAGENES\0. DIAGRAMAS - 1 BARRA\0. DIAGRAMAS - 1 BARRA - GIRADOS\AXIL (N) Dcha\N_GI NEG NEG MAX_MIN.png</v>
  </rv>
  <rv s="1">
    <v>38</v>
    <v>5</v>
    <v>C:\Users\milag\Desktop\0.TEMPORALES\MV\0. IMAGENES\0. DIAGRAMAS - 1 BARRA\0. DIAGRAMAS - 1 BARRA - GIRADOS\CORTANTE (V)\V POS POS.png</v>
  </rv>
  <rv s="1">
    <v>39</v>
    <v>5</v>
    <v>C:\Users\milag\Desktop\0.TEMPORALES\MV\0. IMAGENES\0. DIAGRAMAS - 1 BARRA\0. DIAGRAMAS - 1 BARRA - GIRADOS\CORTANTE (V)\V POS POS.png</v>
  </rv>
  <rv s="1">
    <v>40</v>
    <v>5</v>
    <v>C:\Users\milag\Desktop\0.TEMPORALES\MV\0. IMAGENES\0. DIAGRAMAS - 1 BARRA\0. DIAGRAMAS - 1 BARRA - GIRADOS\CORTANTE (V)\V POS POS.png</v>
  </rv>
  <rv s="1">
    <v>41</v>
    <v>5</v>
    <v>C:\Users\milag\Desktop\0.TEMPORALES\MV\0. IMAGENES\0. DIAGRAMAS - 1 BARRA\0. DIAGRAMAS - 1 BARRA - GIRADOS\CORTANTE (V)\V NEG NEG.png</v>
  </rv>
  <rv s="1">
    <v>42</v>
    <v>5</v>
    <v>C:\Users\milag\Desktop\0.TEMPORALES\MV\0. IMAGENES\0. DIAGRAMAS - 1 BARRA\0. DIAGRAMAS - 1 BARRA - GIRADOS\CORTANTE (V)\V NEG NEG.png</v>
  </rv>
  <rv s="1">
    <v>43</v>
    <v>5</v>
    <v>C:\Users\milag\Desktop\0.TEMPORALES\MV\0. IMAGENES\0. DIAGRAMAS - 1 BARRA\0. DIAGRAMAS - 1 BARRA - GIRADOS\CORTANTE (V)\V NEG NEG.png</v>
  </rv>
  <rv s="1">
    <v>44</v>
    <v>5</v>
    <v>C:\Users\milag\Desktop\0.TEMPORALES\MV\0. IMAGENES\0. DIAGRAMAS - 1 BARRA\0. DIAGRAMAS - 1 BARRA - GIRADOS\CORTANTE (V)\V POS CERO.png</v>
  </rv>
  <rv s="1">
    <v>45</v>
    <v>5</v>
    <v>C:\Users\milag\Desktop\0.TEMPORALES\MV\0. IMAGENES\0. DIAGRAMAS - 1 BARRA\0. DIAGRAMAS - 1 BARRA - GIRADOS\CORTANTE (V)\V POS CERO.png</v>
  </rv>
  <rv s="1">
    <v>46</v>
    <v>5</v>
    <v>C:\Users\milag\Desktop\0.TEMPORALES\MV\0. IMAGENES\0. DIAGRAMAS - 1 BARRA\0. DIAGRAMAS - 1 BARRA - GIRADOS\CORTANTE (V)\V POS CERO.png</v>
  </rv>
  <rv s="1">
    <v>47</v>
    <v>5</v>
    <v>C:\Users\milag\Desktop\0.TEMPORALES\MV\0. IMAGENES\0. DIAGRAMAS - 1 BARRA\0. DIAGRAMAS - 1 BARRA - GIRADOS\CORTANTE (V)\V NEG CERO.png</v>
  </rv>
  <rv s="1">
    <v>48</v>
    <v>5</v>
    <v>C:\Users\milag\Desktop\0.TEMPORALES\MV\0. IMAGENES\0. DIAGRAMAS - 1 BARRA\0. DIAGRAMAS - 1 BARRA - GIRADOS\CORTANTE (V)\V NEG CERO.png</v>
  </rv>
  <rv s="1">
    <v>49</v>
    <v>5</v>
    <v>C:\Users\milag\Desktop\0.TEMPORALES\MV\0. IMAGENES\0. DIAGRAMAS - 1 BARRA\0. DIAGRAMAS - 1 BARRA - GIRADOS\CORTANTE (V)\V NEG CERO.png</v>
  </rv>
  <rv s="1">
    <v>50</v>
    <v>5</v>
    <v>C:\Users\milag\Desktop\0.TEMPORALES\MV\0. IMAGENES\0. DIAGRAMAS - 1 BARRA\0. DIAGRAMAS - 1 BARRA - GIRADOS\CORTANTE (V)\V CERO POS.png</v>
  </rv>
  <rv s="1">
    <v>51</v>
    <v>5</v>
    <v>C:\Users\milag\Desktop\0.TEMPORALES\MV\0. IMAGENES\0. DIAGRAMAS - 1 BARRA\0. DIAGRAMAS - 1 BARRA - GIRADOS\CORTANTE (V)\V CERO POS.png</v>
  </rv>
  <rv s="1">
    <v>52</v>
    <v>5</v>
    <v>C:\Users\milag\Desktop\0.TEMPORALES\MV\0. IMAGENES\0. DIAGRAMAS - 1 BARRA\0. DIAGRAMAS - 1 BARRA - GIRADOS\CORTANTE (V)\V CERO POS.png</v>
  </rv>
  <rv s="1">
    <v>53</v>
    <v>5</v>
    <v>C:\Users\milag\Desktop\0.TEMPORALES\MV\0. IMAGENES\0. DIAGRAMAS - 1 BARRA\0. DIAGRAMAS - 1 BARRA - GIRADOS\CORTANTE (V)\V CERO NEG.png</v>
  </rv>
  <rv s="1">
    <v>54</v>
    <v>5</v>
    <v>C:\Users\milag\Desktop\0.TEMPORALES\MV\0. IMAGENES\0. DIAGRAMAS - 1 BARRA\0. DIAGRAMAS - 1 BARRA - GIRADOS\CORTANTE (V)\V CERO NEG.png</v>
  </rv>
  <rv s="1">
    <v>55</v>
    <v>5</v>
    <v>C:\Users\milag\Desktop\0.TEMPORALES\MV\0. IMAGENES\0. DIAGRAMAS - 1 BARRA\0. DIAGRAMAS - 1 BARRA - GIRADOS\CORTANTE (V)\V CERO NEG.png</v>
  </rv>
  <rv s="1">
    <v>56</v>
    <v>5</v>
    <v>C:\Users\milag\Desktop\0.TEMPORALES\MV\0. IMAGENES\0. DIAGRAMAS - 1 BARRA\0. DIAGRAMAS - 1 BARRA - GIRADOS\CORTANTE (V)\V POS POS MAX_MIN.png</v>
  </rv>
  <rv s="1">
    <v>57</v>
    <v>5</v>
    <v>C:\Users\milag\Desktop\0.TEMPORALES\MV\0. IMAGENES\0. DIAGRAMAS - 1 BARRA\0. DIAGRAMAS - 1 BARRA - GIRADOS\CORTANTE (V)\V POS POS MAX_MIN.png</v>
  </rv>
  <rv s="1">
    <v>58</v>
    <v>5</v>
    <v>C:\Users\milag\Desktop\0.TEMPORALES\MV\0. IMAGENES\0. DIAGRAMAS - 1 BARRA\0. DIAGRAMAS - 1 BARRA - GIRADOS\CORTANTE (V)\V POS POS MAX_MIN.png</v>
  </rv>
  <rv s="1">
    <v>59</v>
    <v>5</v>
    <v>C:\Users\milag\Desktop\0.TEMPORALES\MV\0. IMAGENES\0. DIAGRAMAS - 1 BARRA\0. DIAGRAMAS - 1 BARRA - GIRADOS\CORTANTE (V)\V NEG NEG MAX_MIN.png</v>
  </rv>
  <rv s="1">
    <v>60</v>
    <v>5</v>
    <v>C:\Users\milag\Desktop\0.TEMPORALES\MV\0. IMAGENES\0. DIAGRAMAS - 1 BARRA\0. DIAGRAMAS - 1 BARRA - GIRADOS\CORTANTE (V)\V NEG NEG MAX_MIN.png</v>
  </rv>
  <rv s="1">
    <v>61</v>
    <v>5</v>
    <v>C:\Users\milag\Desktop\0.TEMPORALES\MV\0. IMAGENES\0. DIAGRAMAS - 1 BARRA\0. DIAGRAMAS - 1 BARRA - GIRADOS\CORTANTE (V)\V NEG NEG MAX_MIN.png</v>
  </rv>
  <rv s="1">
    <v>62</v>
    <v>5</v>
    <v>C:\Users\milag\Desktop\0.TEMPORALES\MV\0. IMAGENES\0. DIAGRAMAS - 1 BARRA\0. DIAGRAMAS - 1 BARRA - GIRADOS\CORTANTE (V)\V POS POS MIN_MAX.png</v>
  </rv>
  <rv s="1">
    <v>63</v>
    <v>5</v>
    <v>C:\Users\milag\Desktop\0.TEMPORALES\MV\0. IMAGENES\0. DIAGRAMAS - 1 BARRA\0. DIAGRAMAS - 1 BARRA - GIRADOS\CORTANTE (V)\V POS POS MIN_MAX.png</v>
  </rv>
  <rv s="1">
    <v>64</v>
    <v>5</v>
    <v>C:\Users\milag\Desktop\0.TEMPORALES\MV\0. IMAGENES\0. DIAGRAMAS - 1 BARRA\0. DIAGRAMAS - 1 BARRA - GIRADOS\CORTANTE (V)\V POS POS MIN_MAX.png</v>
  </rv>
  <rv s="1">
    <v>65</v>
    <v>5</v>
    <v>C:\Users\milag\Desktop\0.TEMPORALES\MV\0. IMAGENES\0. DIAGRAMAS - 1 BARRA\0. DIAGRAMAS - 1 BARRA - GIRADOS\CORTANTE (V)\V NEG NEG MIN_MAX.png</v>
  </rv>
  <rv s="1">
    <v>66</v>
    <v>5</v>
    <v>C:\Users\milag\Desktop\0.TEMPORALES\MV\0. IMAGENES\0. DIAGRAMAS - 1 BARRA\0. DIAGRAMAS - 1 BARRA - GIRADOS\CORTANTE (V)\V NEG NEG MIN_MAX.png</v>
  </rv>
  <rv s="1">
    <v>67</v>
    <v>5</v>
    <v>C:\Users\milag\Desktop\0.TEMPORALES\MV\0. IMAGENES\0. DIAGRAMAS - 1 BARRA\0. DIAGRAMAS - 1 BARRA - GIRADOS\CORTANTE (V)\V NEG NEG MIN_MAX.png</v>
  </rv>
  <rv s="1">
    <v>68</v>
    <v>5</v>
    <v>C:\Users\milag\Desktop\0.TEMPORALES\MV\0. IMAGENES\0. DIAGRAMAS - 1 BARRA\0. DIAGRAMAS - 1 BARRA - GIRADOS\CORTANTE (V)\V POS NEG MAX_MIN.png</v>
  </rv>
  <rv s="1">
    <v>69</v>
    <v>5</v>
    <v>C:\Users\milag\Desktop\0.TEMPORALES\MV\0. IMAGENES\0. DIAGRAMAS - 1 BARRA\0. DIAGRAMAS - 1 BARRA - GIRADOS\CORTANTE (V)\V POS NEG MAX_MIN.png</v>
  </rv>
  <rv s="1">
    <v>70</v>
    <v>5</v>
    <v>C:\Users\milag\Desktop\0.TEMPORALES\MV\0. IMAGENES\0. DIAGRAMAS - 1 BARRA\0. DIAGRAMAS - 1 BARRA - GIRADOS\CORTANTE (V)\V POS NEG MAX_MIN.png</v>
  </rv>
  <rv s="1">
    <v>71</v>
    <v>5</v>
    <v>C:\Users\milag\Desktop\0.TEMPORALES\MV\0. IMAGENES\0. DIAGRAMAS - 1 BARRA\0. DIAGRAMAS - 1 BARRA - GIRADOS\CORTANTE (V)\V NEG POS MIN_MAX.png</v>
  </rv>
  <rv s="1">
    <v>72</v>
    <v>5</v>
    <v>C:\Users\milag\Desktop\0.TEMPORALES\MV\0. IMAGENES\0. DIAGRAMAS - 1 BARRA\0. DIAGRAMAS - 1 BARRA - GIRADOS\CORTANTE (V)\V NEG POS MIN_MAX.png</v>
  </rv>
  <rv s="1">
    <v>73</v>
    <v>5</v>
    <v>C:\Users\milag\Desktop\0.TEMPORALES\MV\0. IMAGENES\0. DIAGRAMAS - 1 BARRA\0. DIAGRAMAS - 1 BARRA - GIRADOS\CORTANTE (V)\V NEG POS MIN_MAX.png</v>
  </rv>
  <rv s="1">
    <v>74</v>
    <v>5</v>
    <v>C:\Users\milag\Desktop\0.TEMPORALES\MV\0. IMAGENES\0. DIAGRAMAS - 1 BARRA\0. DIAGRAMAS - 1 BARRA - GIRADOS\MOMENTO (M)\M POS POS.png</v>
  </rv>
  <rv s="1">
    <v>75</v>
    <v>5</v>
    <v>C:\Users\milag\Desktop\0.TEMPORALES\MV\0. IMAGENES\0. DIAGRAMAS - 1 BARRA\0. DIAGRAMAS - 1 BARRA - GIRADOS\MOMENTO (M)\M POS POS.png</v>
  </rv>
  <rv s="1">
    <v>76</v>
    <v>5</v>
    <v>C:\Users\milag\Desktop\0.TEMPORALES\MV\0. IMAGENES\0. DIAGRAMAS - 1 BARRA\0. DIAGRAMAS - 1 BARRA - GIRADOS\MOMENTO (M)\M POS POS.png</v>
  </rv>
  <rv s="1">
    <v>77</v>
    <v>5</v>
    <v>C:\Users\milag\Desktop\0.TEMPORALES\MV\0. IMAGENES\0. DIAGRAMAS - 1 BARRA\0. DIAGRAMAS - 1 BARRA - GIRADOS\MOMENTO (M)\M NEG NEG.png</v>
  </rv>
  <rv s="1">
    <v>78</v>
    <v>5</v>
    <v>C:\Users\milag\Desktop\0.TEMPORALES\MV\0. IMAGENES\0. DIAGRAMAS - 1 BARRA\0. DIAGRAMAS - 1 BARRA - GIRADOS\MOMENTO (M)\M NEG NEG.png</v>
  </rv>
  <rv s="1">
    <v>79</v>
    <v>5</v>
    <v>C:\Users\milag\Desktop\0.TEMPORALES\MV\0. IMAGENES\0. DIAGRAMAS - 1 BARRA\0. DIAGRAMAS - 1 BARRA - GIRADOS\MOMENTO (M)\M NEG NEG.png</v>
  </rv>
  <rv s="1">
    <v>80</v>
    <v>5</v>
    <v>C:\Users\milag\Desktop\0.TEMPORALES\MV\0. IMAGENES\0. DIAGRAMAS - 1 BARRA\0. DIAGRAMAS - 1 BARRA - GIRADOS\MOMENTO (M)\M POS CERO.png</v>
  </rv>
  <rv s="1">
    <v>81</v>
    <v>5</v>
    <v>C:\Users\milag\Desktop\0.TEMPORALES\MV\0. IMAGENES\0. DIAGRAMAS - 1 BARRA\0. DIAGRAMAS - 1 BARRA - GIRADOS\MOMENTO (M)\M POS CERO.png</v>
  </rv>
  <rv s="1">
    <v>82</v>
    <v>5</v>
    <v>C:\Users\milag\Desktop\0.TEMPORALES\MV\0. IMAGENES\0. DIAGRAMAS - 1 BARRA\0. DIAGRAMAS - 1 BARRA - GIRADOS\MOMENTO (M)\M POS CERO.png</v>
  </rv>
  <rv s="1">
    <v>83</v>
    <v>5</v>
    <v>C:\Users\milag\Desktop\0.TEMPORALES\MV\0. IMAGENES\0. DIAGRAMAS - 1 BARRA\0. DIAGRAMAS - 1 BARRA - GIRADOS\MOMENTO (M)\M NEG CERO.png</v>
  </rv>
  <rv s="1">
    <v>84</v>
    <v>5</v>
    <v>C:\Users\milag\Desktop\0.TEMPORALES\MV\0. IMAGENES\0. DIAGRAMAS - 1 BARRA\0. DIAGRAMAS - 1 BARRA - GIRADOS\MOMENTO (M)\M NEG CERO.png</v>
  </rv>
  <rv s="1">
    <v>85</v>
    <v>5</v>
    <v>C:\Users\milag\Desktop\0.TEMPORALES\MV\0. IMAGENES\0. DIAGRAMAS - 1 BARRA\0. DIAGRAMAS - 1 BARRA - GIRADOS\MOMENTO (M)\M NEG CERO.png</v>
  </rv>
  <rv s="1">
    <v>86</v>
    <v>5</v>
    <v>C:\Users\milag\Desktop\0.TEMPORALES\MV\0. IMAGENES\0. DIAGRAMAS - 1 BARRA\0. DIAGRAMAS - 1 BARRA - GIRADOS\MOMENTO (M)\M CERO POS.png</v>
  </rv>
  <rv s="1">
    <v>87</v>
    <v>5</v>
    <v>C:\Users\milag\Desktop\0.TEMPORALES\MV\0. IMAGENES\0. DIAGRAMAS - 1 BARRA\0. DIAGRAMAS - 1 BARRA - GIRADOS\MOMENTO (M)\M CERO POS.png</v>
  </rv>
  <rv s="1">
    <v>88</v>
    <v>5</v>
    <v>C:\Users\milag\Desktop\0.TEMPORALES\MV\0. IMAGENES\0. DIAGRAMAS - 1 BARRA\0. DIAGRAMAS - 1 BARRA - GIRADOS\MOMENTO (M)\M CERO POS.png</v>
  </rv>
  <rv s="1">
    <v>89</v>
    <v>5</v>
    <v>C:\Users\milag\Desktop\0.TEMPORALES\MV\0. IMAGENES\0. DIAGRAMAS - 1 BARRA\0. DIAGRAMAS - 1 BARRA - GIRADOS\MOMENTO (M)\M CERO NEG.png</v>
  </rv>
  <rv s="1">
    <v>90</v>
    <v>5</v>
    <v>C:\Users\milag\Desktop\0.TEMPORALES\MV\0. IMAGENES\0. DIAGRAMAS - 1 BARRA\0. DIAGRAMAS - 1 BARRA - GIRADOS\MOMENTO (M)\M CERO NEG.png</v>
  </rv>
  <rv s="1">
    <v>91</v>
    <v>5</v>
    <v>C:\Users\milag\Desktop\0.TEMPORALES\MV\0. IMAGENES\0. DIAGRAMAS - 1 BARRA\0. DIAGRAMAS - 1 BARRA - GIRADOS\MOMENTO (M)\M CERO NEG.png</v>
  </rv>
  <rv s="1">
    <v>92</v>
    <v>5</v>
    <v>C:\Users\milag\Desktop\0.TEMPORALES\MV\0. IMAGENES\0. DIAGRAMAS - 1 BARRA\0. DIAGRAMAS - 1 BARRA - GIRADOS\MOMENTO (M)\M POS POS MAX_MIN.png</v>
  </rv>
  <rv s="1">
    <v>93</v>
    <v>5</v>
    <v>C:\Users\milag\Desktop\0.TEMPORALES\MV\0. IMAGENES\0. DIAGRAMAS - 1 BARRA\0. DIAGRAMAS - 1 BARRA - GIRADOS\MOMENTO (M)\M POS POS MAX_MIN.png</v>
  </rv>
  <rv s="1">
    <v>94</v>
    <v>5</v>
    <v>C:\Users\milag\Desktop\0.TEMPORALES\MV\0. IMAGENES\0. DIAGRAMAS - 1 BARRA\0. DIAGRAMAS - 1 BARRA - GIRADOS\MOMENTO (M)\M POS POS MAX_MIN.png</v>
  </rv>
  <rv s="1">
    <v>95</v>
    <v>5</v>
    <v>C:\Users\milag\Desktop\0.TEMPORALES\MV\0. IMAGENES\0. DIAGRAMAS - 1 BARRA\0. DIAGRAMAS - 1 BARRA - GIRADOS\MOMENTO (M)\M NEG NEG MIN_MAX.png</v>
  </rv>
  <rv s="1">
    <v>96</v>
    <v>5</v>
    <v>C:\Users\milag\Desktop\0.TEMPORALES\MV\0. IMAGENES\0. DIAGRAMAS - 1 BARRA\0. DIAGRAMAS - 1 BARRA - GIRADOS\MOMENTO (M)\M NEG NEG MIN_MAX.png</v>
  </rv>
  <rv s="1">
    <v>97</v>
    <v>5</v>
    <v>C:\Users\milag\Desktop\0.TEMPORALES\MV\0. IMAGENES\0. DIAGRAMAS - 1 BARRA\0. DIAGRAMAS - 1 BARRA - GIRADOS\MOMENTO (M)\M NEG NEG MIN_MAX.png</v>
  </rv>
  <rv s="1">
    <v>98</v>
    <v>5</v>
    <v>C:\Users\milag\Desktop\0.TEMPORALES\MV\0. IMAGENES\0. DIAGRAMAS - 1 BARRA\0. DIAGRAMAS - 1 BARRA - GIRADOS\MOMENTO (M)\M POS POS MIN_MAX.png</v>
  </rv>
  <rv s="1">
    <v>99</v>
    <v>5</v>
    <v>C:\Users\milag\Desktop\0.TEMPORALES\MV\0. IMAGENES\0. DIAGRAMAS - 1 BARRA\0. DIAGRAMAS - 1 BARRA - GIRADOS\MOMENTO (M)\M POS POS MIN_MAX.png</v>
  </rv>
  <rv s="1">
    <v>100</v>
    <v>5</v>
    <v>C:\Users\milag\Desktop\0.TEMPORALES\MV\0. IMAGENES\0. DIAGRAMAS - 1 BARRA\0. DIAGRAMAS - 1 BARRA - GIRADOS\MOMENTO (M)\M POS POS MIN_MAX.png</v>
  </rv>
  <rv s="1">
    <v>101</v>
    <v>5</v>
    <v>C:\Users\milag\Desktop\0.TEMPORALES\MV\0. IMAGENES\0. DIAGRAMAS - 1 BARRA\0. DIAGRAMAS - 1 BARRA - GIRADOS\MOMENTO (M)\M NEG NEG MAX_MIN.png</v>
  </rv>
  <rv s="1">
    <v>102</v>
    <v>5</v>
    <v>C:\Users\milag\Desktop\0.TEMPORALES\MV\0. IMAGENES\0. DIAGRAMAS - 1 BARRA\0. DIAGRAMAS - 1 BARRA - GIRADOS\MOMENTO (M)\M NEG NEG MAX_MIN.png</v>
  </rv>
  <rv s="1">
    <v>103</v>
    <v>5</v>
    <v>C:\Users\milag\Desktop\0.TEMPORALES\MV\0. IMAGENES\0. DIAGRAMAS - 1 BARRA\0. DIAGRAMAS - 1 BARRA - GIRADOS\MOMENTO (M)\M NEG NEG MAX_MIN.png</v>
  </rv>
  <rv s="1">
    <v>104</v>
    <v>5</v>
    <v>C:\Users\milag\Desktop\0.TEMPORALES\MV\0. IMAGENES\0. DIAGRAMAS - 1 BARRA\0. DIAGRAMAS - 1 BARRA - GIRADOS\MOMENTO (M)\M POS NEG MAX_MIN.png</v>
  </rv>
  <rv s="1">
    <v>105</v>
    <v>5</v>
    <v>C:\Users\milag\Desktop\0.TEMPORALES\MV\0. IMAGENES\0. DIAGRAMAS - 1 BARRA\0. DIAGRAMAS - 1 BARRA - GIRADOS\MOMENTO (M)\M POS NEG MAX_MIN.png</v>
  </rv>
  <rv s="1">
    <v>106</v>
    <v>5</v>
    <v>C:\Users\milag\Desktop\0.TEMPORALES\MV\0. IMAGENES\0. DIAGRAMAS - 1 BARRA\0. DIAGRAMAS - 1 BARRA - GIRADOS\MOMENTO (M)\M POS NEG MAX_MIN.png</v>
  </rv>
  <rv s="1">
    <v>107</v>
    <v>5</v>
    <v>C:\Users\milag\Desktop\0.TEMPORALES\MV\0. IMAGENES\0. DIAGRAMAS - 1 BARRA\0. DIAGRAMAS - 1 BARRA - GIRADOS\MOMENTO (M)\M NEG POS MIN_MAX.png</v>
  </rv>
  <rv s="1">
    <v>108</v>
    <v>5</v>
    <v>C:\Users\milag\Desktop\0.TEMPORALES\MV\0. IMAGENES\0. DIAGRAMAS - 1 BARRA\0. DIAGRAMAS - 1 BARRA - GIRADOS\MOMENTO (M)\M NEG POS MIN_MAX.png</v>
  </rv>
  <rv s="1">
    <v>109</v>
    <v>5</v>
    <v>C:\Users\milag\Desktop\0.TEMPORALES\MV\0. IMAGENES\0. DIAGRAMAS - 1 BARRA\0. DIAGRAMAS - 1 BARRA - GIRADOS\MOMENTO (M)\M NEG POS MIN_MAX.png</v>
  </rv>
  <rv s="0">
    <v>110</v>
    <v>5</v>
  </rv>
  <rv s="0">
    <v>111</v>
    <v>5</v>
  </rv>
  <rv s="1">
    <v>112</v>
    <v>5</v>
    <v>C:\Users\milag\Desktop\0.TEMPORALES\MV\0. IMAGENES\0. DIAGRAMAS - 1 BARRA\0. DIAGRAMAS - 1 BARRA - GIRADOS\MOMENTO (M)\M CERO NEG POS_MAX.png</v>
  </rv>
  <rv s="1">
    <v>113</v>
    <v>5</v>
    <v>C:\Users\milag\Desktop\0.TEMPORALES\MV\0. IMAGENES\0. DIAGRAMAS - 1 BARRA\0. DIAGRAMAS - 1 BARRA - GIRADOS\MOMENTO (M)\M CERO POS NEG_MIN.png</v>
  </rv>
  <rv s="1">
    <v>114</v>
    <v>5</v>
    <v>C:\Users\milag\Desktop\0.TEMPORALES\MV\0. IMAGENES\0. DIAGRAMAS - 1 BARRA\0. DIAGRAMAS - 1 BARRA - GIRADOS\MOMENTO (M)\M CERO POS NEG_MIN.png</v>
  </rv>
  <rv s="1">
    <v>115</v>
    <v>5</v>
    <v>C:\Users\milag\Desktop\0.TEMPORALES\MV\0. IMAGENES\0. DIAGRAMAS - 1 BARRA\0. DIAGRAMAS - 1 BARRA - GIRADOS\MOMENTO (M)\M CERO POS NEG_MIN.png</v>
  </rv>
  <rv s="1">
    <v>116</v>
    <v>5</v>
    <v>C:\Users\milag\Desktop\0.TEMPORALES\MV\0. IMAGENES\0. DIAGRAMAS - 1 BARRA\0. DIAGRAMAS - 1 BARRA - GIRADOS\MOMENTO (M)\M POS CERO NEG_MIN.png</v>
  </rv>
  <rv s="1">
    <v>117</v>
    <v>5</v>
    <v>C:\Users\milag\Desktop\0.TEMPORALES\MV\0. IMAGENES\0. DIAGRAMAS - 1 BARRA\0. DIAGRAMAS - 1 BARRA - GIRADOS\MOMENTO (M)\M POS CERO NEG_MIN.png</v>
  </rv>
  <rv s="1">
    <v>118</v>
    <v>5</v>
    <v>C:\Users\milag\Desktop\0.TEMPORALES\MV\0. IMAGENES\0. DIAGRAMAS - 1 BARRA\0. DIAGRAMAS - 1 BARRA - GIRADOS\MOMENTO (M)\M POS CERO NEG_MIN.png</v>
  </rv>
  <rv s="1">
    <v>119</v>
    <v>5</v>
    <v>C:\Users\milag\Desktop\0.TEMPORALES\MV\0. IMAGENES\0. DIAGRAMAS - 1 BARRA\0. DIAGRAMAS - 1 BARRA - GIRADOS\MOMENTO (M)\M NEG CERO POS_MAX.png</v>
  </rv>
  <rv s="1">
    <v>120</v>
    <v>5</v>
    <v>C:\Users\milag\Desktop\0.TEMPORALES\MV\0. IMAGENES\0. DIAGRAMAS - 1 BARRA\0. DIAGRAMAS - 1 BARRA - GIRADOS\MOMENTO (M)\M NEG CERO POS_MAX.png</v>
  </rv>
  <rv s="1">
    <v>121</v>
    <v>5</v>
    <v>C:\Users\milag\Desktop\0.TEMPORALES\MV\0. IMAGENES\0. DIAGRAMAS - 1 BARRA\0. DIAGRAMAS - 1 BARRA - GIRADOS\MOMENTO (M)\M NEG CERO POS_MAX.png</v>
  </rv>
  <rv s="1">
    <v>122</v>
    <v>5</v>
    <v>C:\Users\milag\Desktop\0.TEMPORALES\MV\0. IMAGENES\0. DIAGRAMAS - 1 BARRA\0. DIAGRAMAS - 1 BARRA - GIRADOS\MOMENTO (M)\M CERO NEG M_0.png</v>
  </rv>
  <rv s="1">
    <v>123</v>
    <v>5</v>
    <v>C:\Users\milag\Desktop\0.TEMPORALES\MV\0. IMAGENES\0. DIAGRAMAS - 1 BARRA\0. DIAGRAMAS - 1 BARRA - GIRADOS\MOMENTO (M)\M CERO NEG M_0.png</v>
  </rv>
  <rv s="1">
    <v>124</v>
    <v>5</v>
    <v>C:\Users\milag\Desktop\0.TEMPORALES\MV\0. IMAGENES\0. DIAGRAMAS - 1 BARRA\0. DIAGRAMAS - 1 BARRA - GIRADOS\MOMENTO (M)\M CERO NEG M_0.png</v>
  </rv>
  <rv s="1">
    <v>125</v>
    <v>5</v>
    <v>C:\Users\milag\Desktop\0.TEMPORALES\MV\0. IMAGENES\0. DIAGRAMAS - 1 BARRA\0. DIAGRAMAS - 1 BARRA - GIRADOS\MOMENTO (M)\M CERO POS M_0.png</v>
  </rv>
  <rv s="1">
    <v>126</v>
    <v>5</v>
    <v>C:\Users\milag\Desktop\0.TEMPORALES\MV\0. IMAGENES\0. DIAGRAMAS - 1 BARRA\0. DIAGRAMAS - 1 BARRA - GIRADOS\MOMENTO (M)\M CERO POS M_0.png</v>
  </rv>
  <rv s="1">
    <v>127</v>
    <v>5</v>
    <v>C:\Users\milag\Desktop\0.TEMPORALES\MV\0. IMAGENES\0. DIAGRAMAS - 1 BARRA\0. DIAGRAMAS - 1 BARRA - GIRADOS\MOMENTO (M)\M CERO POS M_0.png</v>
  </rv>
  <rv s="1">
    <v>128</v>
    <v>5</v>
    <v>C:\Users\milag\Desktop\0.TEMPORALES\MV\0. IMAGENES\0. DIAGRAMAS - 1 BARRA\0. DIAGRAMAS - 1 BARRA - GIRADOS\MOMENTO (M)\M POS CERO M_L.png</v>
  </rv>
  <rv s="1">
    <v>129</v>
    <v>5</v>
    <v>C:\Users\milag\Desktop\0.TEMPORALES\MV\0. IMAGENES\0. DIAGRAMAS - 1 BARRA\0. DIAGRAMAS - 1 BARRA - GIRADOS\MOMENTO (M)\M POS CERO M_L.png</v>
  </rv>
  <rv s="1">
    <v>130</v>
    <v>5</v>
    <v>C:\Users\milag\Desktop\0.TEMPORALES\MV\0. IMAGENES\0. DIAGRAMAS - 1 BARRA\0. DIAGRAMAS - 1 BARRA - GIRADOS\MOMENTO (M)\M POS CERO M_L.png</v>
  </rv>
  <rv s="1">
    <v>131</v>
    <v>5</v>
    <v>C:\Users\milag\Desktop\0.TEMPORALES\MV\0. IMAGENES\0. DIAGRAMAS - 1 BARRA\0. DIAGRAMAS - 1 BARRA - GIRADOS\MOMENTO (M)\M NEG CERO M_L.png</v>
  </rv>
  <rv s="1">
    <v>132</v>
    <v>5</v>
    <v>C:\Users\milag\Desktop\0.TEMPORALES\MV\0. IMAGENES\0. DIAGRAMAS - 1 BARRA\0. DIAGRAMAS - 1 BARRA - GIRADOS\MOMENTO (M)\M NEG CERO M_L.png</v>
  </rv>
  <rv s="1">
    <v>133</v>
    <v>5</v>
    <v>C:\Users\milag\Desktop\0.TEMPORALES\MV\0. IMAGENES\0. DIAGRAMAS - 1 BARRA\0. DIAGRAMAS - 1 BARRA - GIRADOS\MOMENTO (M)\M NEG CERO M_L.png</v>
  </rv>
  <rv s="1">
    <v>134</v>
    <v>5</v>
    <v>C:\Users\milag\Desktop\0.TEMPORALES\MV\0. IMAGENES\0. DIAGRAMAS - 1 BARRA\0. DIAGRAMAS - 1 BARRA - GIRADOS\MOMENTO (M)\M CERO POS M_L.png</v>
  </rv>
  <rv s="1">
    <v>135</v>
    <v>5</v>
    <v>C:\Users\milag\Desktop\0.TEMPORALES\MV\0. IMAGENES\0. DIAGRAMAS - 1 BARRA\0. DIAGRAMAS - 1 BARRA - GIRADOS\MOMENTO (M)\M CERO POS M_L.png</v>
  </rv>
  <rv s="1">
    <v>136</v>
    <v>5</v>
    <v>C:\Users\milag\Desktop\0.TEMPORALES\MV\0. IMAGENES\0. DIAGRAMAS - 1 BARRA\0. DIAGRAMAS - 1 BARRA - GIRADOS\MOMENTO (M)\M CERO POS M_L.png</v>
  </rv>
  <rv s="1">
    <v>137</v>
    <v>5</v>
    <v>C:\Users\milag\Desktop\0.TEMPORALES\MV\0. IMAGENES\0. DIAGRAMAS - 1 BARRA\0. DIAGRAMAS - 1 BARRA - GIRADOS\MOMENTO (M)\M CERO NEG M_L.png</v>
  </rv>
  <rv s="1">
    <v>138</v>
    <v>5</v>
    <v>C:\Users\milag\Desktop\0.TEMPORALES\MV\0. IMAGENES\0. DIAGRAMAS - 1 BARRA\0. DIAGRAMAS - 1 BARRA - GIRADOS\MOMENTO (M)\M CERO NEG M_L.png</v>
  </rv>
  <rv s="1">
    <v>139</v>
    <v>5</v>
    <v>C:\Users\milag\Desktop\0.TEMPORALES\MV\0. IMAGENES\0. DIAGRAMAS - 1 BARRA\0. DIAGRAMAS - 1 BARRA - GIRADOS\MOMENTO (M)\M CERO NEG M_L.png</v>
  </rv>
  <rv s="1">
    <v>140</v>
    <v>5</v>
    <v>C:\Users\milag\Desktop\0.TEMPORALES\MV\0. IMAGENES\0. DIAGRAMAS - 1 BARRA\0. DIAGRAMAS - 1 BARRA - GIRADOS\MOMENTO (M)\M POS CERO M_0.png</v>
  </rv>
  <rv s="1">
    <v>141</v>
    <v>5</v>
    <v>C:\Users\milag\Desktop\0.TEMPORALES\MV\0. IMAGENES\0. DIAGRAMAS - 1 BARRA\0. DIAGRAMAS - 1 BARRA - GIRADOS\MOMENTO (M)\M POS CERO M_0.png</v>
  </rv>
  <rv s="1">
    <v>142</v>
    <v>5</v>
    <v>C:\Users\milag\Desktop\0.TEMPORALES\MV\0. IMAGENES\0. DIAGRAMAS - 1 BARRA\0. DIAGRAMAS - 1 BARRA - GIRADOS\MOMENTO (M)\M POS CERO M_0.png</v>
  </rv>
  <rv s="1">
    <v>143</v>
    <v>5</v>
    <v>C:\Users\milag\Desktop\0.TEMPORALES\MV\0. IMAGENES\0. DIAGRAMAS - 1 BARRA\0. DIAGRAMAS - 1 BARRA - GIRADOS\MOMENTO (M)\M NEG CERO M_0.png</v>
  </rv>
  <rv s="1">
    <v>144</v>
    <v>5</v>
    <v>C:\Users\milag\Desktop\0.TEMPORALES\MV\0. IMAGENES\0. DIAGRAMAS - 1 BARRA\0. DIAGRAMAS - 1 BARRA - GIRADOS\MOMENTO (M)\M NEG CERO M_0.png</v>
  </rv>
  <rv s="1">
    <v>145</v>
    <v>5</v>
    <v>C:\Users\milag\Desktop\0.TEMPORALES\MV\0. IMAGENES\0. DIAGRAMAS - 1 BARRA\0. DIAGRAMAS - 1 BARRA - GIRADOS\MOMENTO (M)\M NEG CERO M_0.png</v>
  </rv>
  <rv s="1">
    <v>146</v>
    <v>5</v>
    <v>C:\Users\milag\Desktop\0.TEMPORALES\MV\0. IMAGENES\0. DIAGRAMAS - 1 BARRA\0. DIAGRAMAS - 1 BARRA - GIRADOS\MOMENTO (M)\M CERO CERO POS_MAX.png</v>
  </rv>
  <rv s="1">
    <v>147</v>
    <v>5</v>
    <v>C:\Users\milag\Desktop\0.TEMPORALES\MV\0. IMAGENES\0. DIAGRAMAS - 1 BARRA\0. DIAGRAMAS - 1 BARRA - GIRADOS\MOMENTO (M)\M CERO CERO POS_MAX.png</v>
  </rv>
  <rv s="1">
    <v>148</v>
    <v>5</v>
    <v>C:\Users\milag\Desktop\0.TEMPORALES\MV\0. IMAGENES\0. DIAGRAMAS - 1 BARRA\0. DIAGRAMAS - 1 BARRA - GIRADOS\MOMENTO (M)\M CERO CERO POS_MAX.png</v>
  </rv>
  <rv s="1">
    <v>149</v>
    <v>5</v>
    <v>C:\Users\milag\Desktop\0.TEMPORALES\MV\0. IMAGENES\0. DIAGRAMAS - 1 BARRA\0. DIAGRAMAS - 1 BARRA - GIRADOS\MOMENTO (M)\M CERO CERO NEG_MIN.png</v>
  </rv>
  <rv s="1">
    <v>150</v>
    <v>5</v>
    <v>C:\Users\milag\Desktop\0.TEMPORALES\MV\0. IMAGENES\0. DIAGRAMAS - 1 BARRA\0. DIAGRAMAS - 1 BARRA - GIRADOS\MOMENTO (M)\M CERO CERO NEG_MIN.png</v>
  </rv>
  <rv s="1">
    <v>151</v>
    <v>5</v>
    <v>C:\Users\milag\Desktop\0.TEMPORALES\MV\0. IMAGENES\0. DIAGRAMAS - 1 BARRA\0. DIAGRAMAS - 1 BARRA - GIRADOS\MOMENTO (M)\M CERO CERO NEG_MIN.png</v>
  </rv>
  <rv s="1">
    <v>152</v>
    <v>5</v>
    <v>C:\Users\milag\Desktop\0.TEMPORALES\MV\0. IMAGENES\0. DIAGRAMAS - 1 BARRA\0. DIAGRAMAS - 1 BARRA - GIRADOS\MOMENTO (M)\M POS POS MIN_MAX M_0.png</v>
  </rv>
  <rv s="1">
    <v>153</v>
    <v>5</v>
    <v>C:\Users\milag\Desktop\0.TEMPORALES\MV\0. IMAGENES\0. DIAGRAMAS - 1 BARRA\0. DIAGRAMAS - 1 BARRA - GIRADOS\MOMENTO (M)\M POS POS MIN_MAX M_0.png</v>
  </rv>
  <rv s="1">
    <v>154</v>
    <v>5</v>
    <v>C:\Users\milag\Desktop\0.TEMPORALES\MV\0. IMAGENES\0. DIAGRAMAS - 1 BARRA\0. DIAGRAMAS - 1 BARRA - GIRADOS\MOMENTO (M)\M POS POS MIN_MAX M_0.png</v>
  </rv>
  <rv s="1">
    <v>155</v>
    <v>5</v>
    <v>C:\Users\milag\Desktop\0.TEMPORALES\MV\0. IMAGENES\0. DIAGRAMAS - 1 BARRA\0. DIAGRAMAS - 1 BARRA - GIRADOS\MOMENTO (M)\M NEG NEG MAX_MIN M_0.png</v>
  </rv>
  <rv s="1">
    <v>156</v>
    <v>5</v>
    <v>C:\Users\milag\Desktop\0.TEMPORALES\MV\0. IMAGENES\0. DIAGRAMAS - 1 BARRA\0. DIAGRAMAS - 1 BARRA - GIRADOS\MOMENTO (M)\M NEG NEG MAX_MIN M_0.png</v>
  </rv>
  <rv s="1">
    <v>157</v>
    <v>5</v>
    <v>C:\Users\milag\Desktop\0.TEMPORALES\MV\0. IMAGENES\0. DIAGRAMAS - 1 BARRA\0. DIAGRAMAS - 1 BARRA - GIRADOS\MOMENTO (M)\M NEG NEG MAX_MIN M_0.png</v>
  </rv>
  <rv s="1">
    <v>158</v>
    <v>5</v>
    <v>C:\Users\milag\Desktop\0.TEMPORALES\MV\0. IMAGENES\0. DIAGRAMAS - 1 BARRA\0. DIAGRAMAS - 1 BARRA - GIRADOS\MOMENTO (M)\M POS POS MAX_MIN M_L.png</v>
  </rv>
  <rv s="1">
    <v>159</v>
    <v>5</v>
    <v>C:\Users\milag\Desktop\0.TEMPORALES\MV\0. IMAGENES\0. DIAGRAMAS - 1 BARRA\0. DIAGRAMAS - 1 BARRA - GIRADOS\MOMENTO (M)\M POS POS MAX_MIN M_L.png</v>
  </rv>
  <rv s="1">
    <v>160</v>
    <v>5</v>
    <v>C:\Users\milag\Desktop\0.TEMPORALES\MV\0. IMAGENES\0. DIAGRAMAS - 1 BARRA\0. DIAGRAMAS - 1 BARRA - GIRADOS\MOMENTO (M)\M POS POS MAX_MIN M_L.png</v>
  </rv>
  <rv s="1">
    <v>161</v>
    <v>5</v>
    <v>C:\Users\milag\Desktop\0.TEMPORALES\MV\0. IMAGENES\0. DIAGRAMAS - 1 BARRA\0. DIAGRAMAS - 1 BARRA - GIRADOS\MOMENTO (M)\M NEG NEG MIN_MAX M_L.png</v>
  </rv>
  <rv s="1">
    <v>162</v>
    <v>5</v>
    <v>C:\Users\milag\Desktop\0.TEMPORALES\MV\0. IMAGENES\0. DIAGRAMAS - 1 BARRA\0. DIAGRAMAS - 1 BARRA - GIRADOS\MOMENTO (M)\M NEG NEG MIN_MAX M_L.png</v>
  </rv>
  <rv s="1">
    <v>163</v>
    <v>5</v>
    <v>C:\Users\milag\Desktop\0.TEMPORALES\MV\0. IMAGENES\0. DIAGRAMAS - 1 BARRA\0. DIAGRAMAS - 1 BARRA - GIRADOS\MOMENTO (M)\M NEG NEG MIN_MAX M_L.png</v>
  </rv>
  <rv s="1">
    <v>164</v>
    <v>5</v>
    <v>C:\Users\milag\Desktop\0.TEMPORALES\MV\0. IMAGENES\0. DIAGRAMAS - 1 BARRA\0. DIAGRAMAS - 1 BARRA - GIRADOS\MOMENTO (M)\M POS POS MIN_MAX M_L.png</v>
  </rv>
  <rv s="1">
    <v>165</v>
    <v>5</v>
    <v>C:\Users\milag\Desktop\0.TEMPORALES\MV\0. IMAGENES\0. DIAGRAMAS - 1 BARRA\0. DIAGRAMAS - 1 BARRA - GIRADOS\MOMENTO (M)\M POS POS MIN_MAX M_L.png</v>
  </rv>
  <rv s="1">
    <v>166</v>
    <v>5</v>
    <v>C:\Users\milag\Desktop\0.TEMPORALES\MV\0. IMAGENES\0. DIAGRAMAS - 1 BARRA\0. DIAGRAMAS - 1 BARRA - GIRADOS\MOMENTO (M)\M POS POS MIN_MAX M_L.png</v>
  </rv>
  <rv s="1">
    <v>167</v>
    <v>5</v>
    <v>C:\Users\milag\Desktop\0.TEMPORALES\MV\0. IMAGENES\0. DIAGRAMAS - 1 BARRA\0. DIAGRAMAS - 1 BARRA - GIRADOS\MOMENTO (M)\M NEG NEG MAX_MIN M_L.png</v>
  </rv>
  <rv s="1">
    <v>168</v>
    <v>5</v>
    <v>C:\Users\milag\Desktop\0.TEMPORALES\MV\0. IMAGENES\0. DIAGRAMAS - 1 BARRA\0. DIAGRAMAS - 1 BARRA - GIRADOS\MOMENTO (M)\M NEG NEG MAX_MIN M_L.png</v>
  </rv>
  <rv s="1">
    <v>169</v>
    <v>5</v>
    <v>C:\Users\milag\Desktop\0.TEMPORALES\MV\0. IMAGENES\0. DIAGRAMAS - 1 BARRA\0. DIAGRAMAS - 1 BARRA - GIRADOS\MOMENTO (M)\M NEG NEG MAX_MIN M_L.png</v>
  </rv>
  <rv s="1">
    <v>170</v>
    <v>5</v>
    <v>C:\Users\milag\Desktop\0.TEMPORALES\MV\0. IMAGENES\0. DIAGRAMAS - 1 BARRA\0. DIAGRAMAS - 1 BARRA - GIRADOS\MOMENTO (M)\M NEG NEG MIN_MAX M_0.png</v>
  </rv>
  <rv s="1">
    <v>171</v>
    <v>5</v>
    <v>C:\Users\milag\Desktop\0.TEMPORALES\MV\0. IMAGENES\0. DIAGRAMAS - 1 BARRA\0. DIAGRAMAS - 1 BARRA - GIRADOS\MOMENTO (M)\M NEG NEG MIN_MAX M_0.png</v>
  </rv>
  <rv s="1">
    <v>172</v>
    <v>5</v>
    <v>C:\Users\milag\Desktop\0.TEMPORALES\MV\0. IMAGENES\0. DIAGRAMAS - 1 BARRA\0. DIAGRAMAS - 1 BARRA - GIRADOS\MOMENTO (M)\M NEG NEG MIN_MAX M_0.png</v>
  </rv>
  <rv s="1">
    <v>173</v>
    <v>5</v>
    <v>C:\Users\milag\Desktop\0.TEMPORALES\MV\0. IMAGENES\0. DIAGRAMAS - 1 BARRA\0. DIAGRAMAS - 1 BARRA - GIRADOS\MOMENTO (M)\M POS POS MAX_MIN M_0.png</v>
  </rv>
  <rv s="1">
    <v>174</v>
    <v>5</v>
    <v>C:\Users\milag\Desktop\0.TEMPORALES\MV\0. IMAGENES\0. DIAGRAMAS - 1 BARRA\0. DIAGRAMAS - 1 BARRA - GIRADOS\MOMENTO (M)\M POS POS MAX_MIN M_0.png</v>
  </rv>
  <rv s="1">
    <v>175</v>
    <v>5</v>
    <v>C:\Users\milag\Desktop\0.TEMPORALES\MV\0. IMAGENES\0. DIAGRAMAS - 1 BARRA\0. DIAGRAMAS - 1 BARRA - GIRADOS\MOMENTO (M)\M POS POS MAX_MIN M_0.png</v>
  </rv>
  <rv s="1">
    <v>176</v>
    <v>5</v>
    <v>C:\Users\milag\Desktop\0.TEMPORALES\MV\0. IMAGENES\0. DIAGRAMAS - 1 BARRA\0. DIAGRAMAS - 1 BARRA - GIRADOS\MOMENTO (M)\M POS POS MIN_MAX POS_MIN.png</v>
  </rv>
  <rv s="1">
    <v>177</v>
    <v>5</v>
    <v>C:\Users\milag\Desktop\0.TEMPORALES\MV\0. IMAGENES\0. DIAGRAMAS - 1 BARRA\0. DIAGRAMAS - 1 BARRA - GIRADOS\MOMENTO (M)\M POS POS MIN_MAX POS_MIN.png</v>
  </rv>
  <rv s="1">
    <v>178</v>
    <v>5</v>
    <v>C:\Users\milag\Desktop\0.TEMPORALES\MV\0. IMAGENES\0. DIAGRAMAS - 1 BARRA\0. DIAGRAMAS - 1 BARRA - GIRADOS\MOMENTO (M)\M POS POS MIN_MAX POS_MIN.png</v>
  </rv>
  <rv s="1">
    <v>179</v>
    <v>5</v>
    <v>C:\Users\milag\Desktop\0.TEMPORALES\MV\0. IMAGENES\0. DIAGRAMAS - 1 BARRA\0. DIAGRAMAS - 1 BARRA - GIRADOS\MOMENTO (M)\M NEG NEG MAX_MIN NEG_MAX.png</v>
  </rv>
  <rv s="1">
    <v>180</v>
    <v>5</v>
    <v>C:\Users\milag\Desktop\0.TEMPORALES\MV\0. IMAGENES\0. DIAGRAMAS - 1 BARRA\0. DIAGRAMAS - 1 BARRA - GIRADOS\MOMENTO (M)\M NEG NEG MAX_MIN NEG_MAX.png</v>
  </rv>
  <rv s="1">
    <v>181</v>
    <v>5</v>
    <v>C:\Users\milag\Desktop\0.TEMPORALES\MV\0. IMAGENES\0. DIAGRAMAS - 1 BARRA\0. DIAGRAMAS - 1 BARRA - GIRADOS\MOMENTO (M)\M NEG NEG MAX_MIN NEG_MAX.png</v>
  </rv>
  <rv s="1">
    <v>182</v>
    <v>5</v>
    <v>C:\Users\milag\Desktop\0.TEMPORALES\MV\0. IMAGENES\0. DIAGRAMAS - 1 BARRA\0. DIAGRAMAS - 1 BARRA - GIRADOS\MOMENTO (M)\M POS POS MAX_MIN POS_MIN.png</v>
  </rv>
  <rv s="1">
    <v>183</v>
    <v>5</v>
    <v>C:\Users\milag\Desktop\0.TEMPORALES\MV\0. IMAGENES\0. DIAGRAMAS - 1 BARRA\0. DIAGRAMAS - 1 BARRA - GIRADOS\MOMENTO (M)\M POS POS MAX_MIN POS_MIN.png</v>
  </rv>
  <rv s="1">
    <v>184</v>
    <v>5</v>
    <v>C:\Users\milag\Desktop\0.TEMPORALES\MV\0. IMAGENES\0. DIAGRAMAS - 1 BARRA\0. DIAGRAMAS - 1 BARRA - GIRADOS\MOMENTO (M)\M POS POS MAX_MIN POS_MIN.png</v>
  </rv>
  <rv s="1">
    <v>185</v>
    <v>5</v>
    <v>C:\Users\milag\Desktop\0.TEMPORALES\MV\0. IMAGENES\0. DIAGRAMAS - 1 BARRA\0. DIAGRAMAS - 1 BARRA - GIRADOS\MOMENTO (M)\M NEG NEG MIN_MAX NEG_MAX.png</v>
  </rv>
  <rv s="1">
    <v>186</v>
    <v>5</v>
    <v>C:\Users\milag\Desktop\0.TEMPORALES\MV\0. IMAGENES\0. DIAGRAMAS - 1 BARRA\0. DIAGRAMAS - 1 BARRA - GIRADOS\MOMENTO (M)\M NEG NEG MIN_MAX NEG_MAX.png</v>
  </rv>
  <rv s="1">
    <v>187</v>
    <v>5</v>
    <v>C:\Users\milag\Desktop\0.TEMPORALES\MV\0. IMAGENES\0. DIAGRAMAS - 1 BARRA\0. DIAGRAMAS - 1 BARRA - GIRADOS\MOMENTO (M)\M NEG NEG MIN_MAX NEG_MAX.png</v>
  </rv>
  <rv s="1">
    <v>188</v>
    <v>5</v>
    <v>C:\Users\milag\Desktop\0.TEMPORALES\MV\0. IMAGENES\0. DIAGRAMAS - 1 BARRA\0. DIAGRAMAS - 1 BARRA - GIRADOS\MOMENTO (M)\M POS POS MIN_MAX POS_MAX.png</v>
  </rv>
  <rv s="1">
    <v>189</v>
    <v>5</v>
    <v>C:\Users\milag\Desktop\0.TEMPORALES\MV\0. IMAGENES\0. DIAGRAMAS - 1 BARRA\0. DIAGRAMAS - 1 BARRA - GIRADOS\MOMENTO (M)\M POS POS MIN_MAX POS_MAX.png</v>
  </rv>
  <rv s="1">
    <v>190</v>
    <v>5</v>
    <v>C:\Users\milag\Desktop\0.TEMPORALES\MV\0. IMAGENES\0. DIAGRAMAS - 1 BARRA\0. DIAGRAMAS - 1 BARRA - GIRADOS\MOMENTO (M)\M POS POS MIN_MAX POS_MAX.png</v>
  </rv>
  <rv s="1">
    <v>191</v>
    <v>5</v>
    <v>C:\Users\milag\Desktop\0.TEMPORALES\MV\0. IMAGENES\0. DIAGRAMAS - 1 BARRA\0. DIAGRAMAS - 1 BARRA - GIRADOS\MOMENTO (M)\M NEG NEG MAX_MIN NEG_MIN.png</v>
  </rv>
  <rv s="1">
    <v>192</v>
    <v>5</v>
    <v>C:\Users\milag\Desktop\0.TEMPORALES\MV\0. IMAGENES\0. DIAGRAMAS - 1 BARRA\0. DIAGRAMAS - 1 BARRA - GIRADOS\MOMENTO (M)\M NEG NEG MAX_MIN NEG_MIN.png</v>
  </rv>
  <rv s="1">
    <v>193</v>
    <v>5</v>
    <v>C:\Users\milag\Desktop\0.TEMPORALES\MV\0. IMAGENES\0. DIAGRAMAS - 1 BARRA\0. DIAGRAMAS - 1 BARRA - GIRADOS\MOMENTO (M)\M NEG NEG MAX_MIN NEG_MIN.png</v>
  </rv>
  <rv s="1">
    <v>194</v>
    <v>5</v>
    <v>C:\Users\milag\Desktop\0.TEMPORALES\MV\0. IMAGENES\0. DIAGRAMAS - 1 BARRA\0. DIAGRAMAS - 1 BARRA - GIRADOS\MOMENTO (M)\M POS POS MAX_MIN POS_MAX.png</v>
  </rv>
  <rv s="1">
    <v>195</v>
    <v>5</v>
    <v>C:\Users\milag\Desktop\0.TEMPORALES\MV\0. IMAGENES\0. DIAGRAMAS - 1 BARRA\0. DIAGRAMAS - 1 BARRA - GIRADOS\MOMENTO (M)\M POS POS MAX_MIN POS_MAX.png</v>
  </rv>
  <rv s="1">
    <v>196</v>
    <v>5</v>
    <v>C:\Users\milag\Desktop\0.TEMPORALES\MV\0. IMAGENES\0. DIAGRAMAS - 1 BARRA\0. DIAGRAMAS - 1 BARRA - GIRADOS\MOMENTO (M)\M POS POS MAX_MIN POS_MAX.png</v>
  </rv>
  <rv s="1">
    <v>197</v>
    <v>5</v>
    <v>C:\Users\milag\Desktop\0.TEMPORALES\MV\0. IMAGENES\0. DIAGRAMAS - 1 BARRA\0. DIAGRAMAS - 1 BARRA - GIRADOS\MOMENTO (M)\M NEG NEG MIN_MAX NEG_MIN.png</v>
  </rv>
  <rv s="1">
    <v>198</v>
    <v>5</v>
    <v>C:\Users\milag\Desktop\0.TEMPORALES\MV\0. IMAGENES\0. DIAGRAMAS - 1 BARRA\0. DIAGRAMAS - 1 BARRA - GIRADOS\MOMENTO (M)\M NEG NEG MIN_MAX NEG_MIN.png</v>
  </rv>
  <rv s="1">
    <v>199</v>
    <v>5</v>
    <v>C:\Users\milag\Desktop\0.TEMPORALES\MV\0. IMAGENES\0. DIAGRAMAS - 1 BARRA\0. DIAGRAMAS - 1 BARRA - GIRADOS\MOMENTO (M)\M NEG NEG MIN_MAX NEG_MIN.png</v>
  </rv>
  <rv s="1">
    <v>200</v>
    <v>5</v>
    <v>C:\Users\milag\Desktop\0.TEMPORALES\MV\0. IMAGENES\0. DIAGRAMAS - 1 BARRA\0. DIAGRAMAS - 1 BARRA - GIRADOS\MOMENTO (M)\M CERO POS POS_MAX.png</v>
  </rv>
  <rv s="1">
    <v>201</v>
    <v>5</v>
    <v>C:\Users\milag\Desktop\0.TEMPORALES\MV\0. IMAGENES\0. DIAGRAMAS - 1 BARRA\0. DIAGRAMAS - 1 BARRA - GIRADOS\MOMENTO (M)\M CERO POS POS_MAX.png</v>
  </rv>
  <rv s="1">
    <v>202</v>
    <v>5</v>
    <v>C:\Users\milag\Desktop\0.TEMPORALES\MV\0. IMAGENES\0. DIAGRAMAS - 1 BARRA\0. DIAGRAMAS - 1 BARRA - GIRADOS\MOMENTO (M)\M CERO POS POS_MAX.png</v>
  </rv>
  <rv s="1">
    <v>203</v>
    <v>5</v>
    <v>C:\Users\milag\Desktop\0.TEMPORALES\MV\0. IMAGENES\0. DIAGRAMAS - 1 BARRA\0. DIAGRAMAS - 1 BARRA - GIRADOS\MOMENTO (M)\M CERO NEG NEG_MIN.png</v>
  </rv>
  <rv s="1">
    <v>204</v>
    <v>5</v>
    <v>C:\Users\milag\Desktop\0.TEMPORALES\MV\0. IMAGENES\0. DIAGRAMAS - 1 BARRA\0. DIAGRAMAS - 1 BARRA - GIRADOS\MOMENTO (M)\M CERO NEG NEG_MIN.png</v>
  </rv>
  <rv s="1">
    <v>205</v>
    <v>5</v>
    <v>C:\Users\milag\Desktop\0.TEMPORALES\MV\0. IMAGENES\0. DIAGRAMAS - 1 BARRA\0. DIAGRAMAS - 1 BARRA - GIRADOS\MOMENTO (M)\M CERO NEG NEG_MIN.png</v>
  </rv>
  <rv s="1">
    <v>206</v>
    <v>5</v>
    <v>C:\Users\milag\Desktop\0.TEMPORALES\MV\0. IMAGENES\0. DIAGRAMAS - 1 BARRA\0. DIAGRAMAS - 1 BARRA - GIRADOS\MOMENTO (M)\M POS CERO POS_MAX.png</v>
  </rv>
  <rv s="1">
    <v>207</v>
    <v>5</v>
    <v>C:\Users\milag\Desktop\0.TEMPORALES\MV\0. IMAGENES\0. DIAGRAMAS - 1 BARRA\0. DIAGRAMAS - 1 BARRA - GIRADOS\MOMENTO (M)\M POS CERO POS_MAX.png</v>
  </rv>
  <rv s="1">
    <v>208</v>
    <v>5</v>
    <v>C:\Users\milag\Desktop\0.TEMPORALES\MV\0. IMAGENES\0. DIAGRAMAS - 1 BARRA\0. DIAGRAMAS - 1 BARRA - GIRADOS\MOMENTO (M)\M POS CERO POS_MAX.png</v>
  </rv>
  <rv s="1">
    <v>209</v>
    <v>5</v>
    <v>C:\Users\milag\Desktop\0.TEMPORALES\MV\0. IMAGENES\0. DIAGRAMAS - 1 BARRA\0. DIAGRAMAS - 1 BARRA - GIRADOS\MOMENTO (M)\M NEG CERO NEG_MIN.png</v>
  </rv>
  <rv s="1">
    <v>210</v>
    <v>5</v>
    <v>C:\Users\milag\Desktop\0.TEMPORALES\MV\0. IMAGENES\0. DIAGRAMAS - 1 BARRA\0. DIAGRAMAS - 1 BARRA - GIRADOS\MOMENTO (M)\M NEG CERO NEG_MIN.png</v>
  </rv>
  <rv s="1">
    <v>211</v>
    <v>5</v>
    <v>C:\Users\milag\Desktop\0.TEMPORALES\MV\0. IMAGENES\0. DIAGRAMAS - 1 BARRA\0. DIAGRAMAS - 1 BARRA - GIRADOS\MOMENTO (M)\M NEG CERO NEG_MIN.png</v>
  </rv>
  <rv s="1">
    <v>212</v>
    <v>5</v>
    <v>C:\Users\milag\Desktop\0.TEMPORALES\MV\0. IMAGENES\0. DIAGRAMAS - 1 BARRA\0. DIAGRAMAS - 1 BARRA - GIRADOS\MOMENTO (M)\M POS NEG MAX_MIN POS_MAX.png</v>
  </rv>
  <rv s="1">
    <v>213</v>
    <v>5</v>
    <v>C:\Users\milag\Desktop\0.TEMPORALES\MV\0. IMAGENES\0. DIAGRAMAS - 1 BARRA\0. DIAGRAMAS - 1 BARRA - GIRADOS\MOMENTO (M)\M POS NEG MAX_MIN POS_MAX.png</v>
  </rv>
  <rv s="1">
    <v>214</v>
    <v>5</v>
    <v>C:\Users\milag\Desktop\0.TEMPORALES\MV\0. IMAGENES\0. DIAGRAMAS - 1 BARRA\0. DIAGRAMAS - 1 BARRA - GIRADOS\MOMENTO (M)\M POS NEG MAX_MIN POS_MAX.png</v>
  </rv>
  <rv s="1">
    <v>215</v>
    <v>5</v>
    <v>C:\Users\milag\Desktop\0.TEMPORALES\MV\0. IMAGENES\0. DIAGRAMAS - 1 BARRA\0. DIAGRAMAS - 1 BARRA - GIRADOS\MOMENTO (M)\M POS NEG MAX_MIN NEG_MIN.png</v>
  </rv>
  <rv s="1">
    <v>216</v>
    <v>5</v>
    <v>C:\Users\milag\Desktop\0.TEMPORALES\MV\0. IMAGENES\0. DIAGRAMAS - 1 BARRA\0. DIAGRAMAS - 1 BARRA - GIRADOS\MOMENTO (M)\M POS NEG MAX_MIN NEG_MIN.png</v>
  </rv>
  <rv s="1">
    <v>217</v>
    <v>5</v>
    <v>C:\Users\milag\Desktop\0.TEMPORALES\MV\0. IMAGENES\0. DIAGRAMAS - 1 BARRA\0. DIAGRAMAS - 1 BARRA - GIRADOS\MOMENTO (M)\M POS NEG MAX_MIN NEG_MIN.png</v>
  </rv>
  <rv s="1">
    <v>218</v>
    <v>5</v>
    <v>C:\Users\milag\Desktop\0.TEMPORALES\MV\0. IMAGENES\0. DIAGRAMAS - 1 BARRA\0. DIAGRAMAS - 1 BARRA - GIRADOS\MOMENTO (M)\M NEG POS MIN_MAX NEG_MIN.png</v>
  </rv>
  <rv s="1">
    <v>219</v>
    <v>5</v>
    <v>C:\Users\milag\Desktop\0.TEMPORALES\MV\0. IMAGENES\0. DIAGRAMAS - 1 BARRA\0. DIAGRAMAS - 1 BARRA - GIRADOS\MOMENTO (M)\M NEG POS MIN_MAX NEG_MIN.png</v>
  </rv>
  <rv s="1">
    <v>220</v>
    <v>5</v>
    <v>C:\Users\milag\Desktop\0.TEMPORALES\MV\0. IMAGENES\0. DIAGRAMAS - 1 BARRA\0. DIAGRAMAS - 1 BARRA - GIRADOS\MOMENTO (M)\M NEG POS MIN_MAX NEG_MIN.png</v>
  </rv>
  <rv s="1">
    <v>221</v>
    <v>5</v>
    <v>C:\Users\milag\Desktop\0.TEMPORALES\MV\0. IMAGENES\0. DIAGRAMAS - 1 BARRA\0. DIAGRAMAS - 1 BARRA - GIRADOS\MOMENTO (M)\M NEG POS MIN_MAX POS_MAX.png</v>
  </rv>
  <rv s="0">
    <v>222</v>
    <v>5</v>
  </rv>
  <rv s="1">
    <v>223</v>
    <v>5</v>
    <v>C:\Users\milag\Desktop\0.TEMPORALES\MV\0. IMAGENES\0. DIAGRAMAS - 1 BARRA\0. DIAGRAMAS - 1 BARRA - GIRADOS\MOMENTO (M)\M NEG POS MIN_MAX POS_MAX.png</v>
  </rv>
  <rv s="1">
    <v>224</v>
    <v>5</v>
    <v>C:\Users\milag\Desktop\0.TEMPORALES\MV\0. IMAGENES\0. DIAGRAMAS - 1 BARRA\0. DIAGRAMAS - 1 BARRA - GIRADOS\MOMENTO (M)\M POS NEG MAX_MIN M_L.png</v>
  </rv>
  <rv s="1">
    <v>225</v>
    <v>5</v>
    <v>C:\Users\milag\Desktop\0.TEMPORALES\MV\0. IMAGENES\0. DIAGRAMAS - 1 BARRA\0. DIAGRAMAS - 1 BARRA - GIRADOS\MOMENTO (M)\M POS NEG MAX_MIN M_L.png</v>
  </rv>
  <rv s="0">
    <v>226</v>
    <v>5</v>
  </rv>
  <rv s="1">
    <v>227</v>
    <v>5</v>
    <v>C:\Users\milag\Desktop\0.TEMPORALES\MV\0. IMAGENES\0. DIAGRAMAS - 1 BARRA\0. DIAGRAMAS - 1 BARRA - GIRADOS\MOMENTO (M)\M POS NEG MAX_MIN M_0.png</v>
  </rv>
  <rv s="1">
    <v>228</v>
    <v>5</v>
    <v>C:\Users\milag\Desktop\0.TEMPORALES\MV\0. IMAGENES\0. DIAGRAMAS - 1 BARRA\0. DIAGRAMAS - 1 BARRA - GIRADOS\MOMENTO (M)\M POS NEG MAX_MIN M_0.png</v>
  </rv>
  <rv s="1">
    <v>229</v>
    <v>5</v>
    <v>C:\Users\milag\Desktop\0.TEMPORALES\MV\0. IMAGENES\0. DIAGRAMAS - 1 BARRA\0. DIAGRAMAS - 1 BARRA - GIRADOS\MOMENTO (M)\M POS NEG MAX_MIN M_0.png</v>
  </rv>
  <rv s="1">
    <v>230</v>
    <v>5</v>
    <v>C:\Users\milag\Desktop\0.TEMPORALES\MV\0. IMAGENES\0. DIAGRAMAS - 1 BARRA\0. DIAGRAMAS - 1 BARRA - GIRADOS\MOMENTO (M)\M NEG POS MIN_MAX M_L.png</v>
  </rv>
  <rv s="1">
    <v>231</v>
    <v>5</v>
    <v>C:\Users\milag\Desktop\0.TEMPORALES\MV\0. IMAGENES\0. DIAGRAMAS - 1 BARRA\0. DIAGRAMAS - 1 BARRA - GIRADOS\MOMENTO (M)\M NEG POS MIN_MAX M_L.png</v>
  </rv>
  <rv s="1">
    <v>232</v>
    <v>5</v>
    <v>C:\Users\milag\Desktop\0.TEMPORALES\MV\0. IMAGENES\0. DIAGRAMAS - 1 BARRA\0. DIAGRAMAS - 1 BARRA - GIRADOS\MOMENTO (M)\M NEG POS MIN_MAX M_L.png</v>
  </rv>
  <rv s="1">
    <v>233</v>
    <v>5</v>
    <v>C:\Users\milag\Desktop\0.TEMPORALES\MV\0. IMAGENES\0. DIAGRAMAS - 1 BARRA\0. DIAGRAMAS - 1 BARRA - GIRADOS\MOMENTO (M)\M NEG POS MIN_MAX M_0.png</v>
  </rv>
  <rv s="1">
    <v>234</v>
    <v>5</v>
    <v>C:\Users\milag\Desktop\0.TEMPORALES\MV\0. IMAGENES\0. DIAGRAMAS - 1 BARRA\0. DIAGRAMAS - 1 BARRA - GIRADOS\MOMENTO (M)\M NEG POS MIN_MAX M_0.png</v>
  </rv>
  <rv s="1">
    <v>235</v>
    <v>5</v>
    <v>C:\Users\milag\Desktop\0.TEMPORALES\MV\0. IMAGENES\0. DIAGRAMAS - 1 BARRA\0. DIAGRAMAS - 1 BARRA - GIRADOS\MOMENTO (M)\M NEG POS MIN_MAX M_0.png</v>
  </rv>
  <rv s="1">
    <v>236</v>
    <v>5</v>
    <v>C:\Users\milag\Desktop\0.TEMPORALES\MV\0. IMAGENES\0. DIAGRAMAS - 1 BARRA\0. DIAGRAMAS - 1 BARRA - GIRADOS\MOMENTO (M)\M POS POS MIN_MAX NEG_MIN.png</v>
  </rv>
  <rv s="1">
    <v>237</v>
    <v>5</v>
    <v>C:\Users\milag\Desktop\0.TEMPORALES\MV\0. IMAGENES\0. DIAGRAMAS - 1 BARRA\0. DIAGRAMAS - 1 BARRA - GIRADOS\MOMENTO (M)\M POS POS MIN_MAX NEG_MIN.png</v>
  </rv>
  <rv s="1">
    <v>238</v>
    <v>5</v>
    <v>C:\Users\milag\Desktop\0.TEMPORALES\MV\0. IMAGENES\0. DIAGRAMAS - 1 BARRA\0. DIAGRAMAS - 1 BARRA - GIRADOS\MOMENTO (M)\M POS POS MIN_MAX NEG_MIN.png</v>
  </rv>
  <rv s="1">
    <v>239</v>
    <v>5</v>
    <v>C:\Users\milag\Desktop\0.TEMPORALES\MV\0. IMAGENES\0. DIAGRAMAS - 1 BARRA\0. DIAGRAMAS - 1 BARRA - GIRADOS\MOMENTO (M)\M POS POS MAX_MIN NEG_MIN.png</v>
  </rv>
  <rv s="1">
    <v>240</v>
    <v>5</v>
    <v>C:\Users\milag\Desktop\0.TEMPORALES\MV\0. IMAGENES\0. DIAGRAMAS - 1 BARRA\0. DIAGRAMAS - 1 BARRA - GIRADOS\MOMENTO (M)\M POS POS MAX_MIN NEG_MIN.png</v>
  </rv>
  <rv s="1">
    <v>241</v>
    <v>5</v>
    <v>C:\Users\milag\Desktop\0.TEMPORALES\MV\0. IMAGENES\0. DIAGRAMAS - 1 BARRA\0. DIAGRAMAS - 1 BARRA - GIRADOS\MOMENTO (M)\M POS POS MAX_MIN NEG_MIN.png</v>
  </rv>
  <rv s="1">
    <v>242</v>
    <v>5</v>
    <v>C:\Users\milag\Desktop\0.TEMPORALES\MV\0. IMAGENES\0. DIAGRAMAS - 1 BARRA\0. DIAGRAMAS - 1 BARRA - GIRADOS\MOMENTO (M)\M NEG NEG MIN_MAX POS_MAX.png</v>
  </rv>
  <rv s="1">
    <v>243</v>
    <v>5</v>
    <v>C:\Users\milag\Desktop\0.TEMPORALES\MV\0. IMAGENES\0. DIAGRAMAS - 1 BARRA\0. DIAGRAMAS - 1 BARRA - GIRADOS\MOMENTO (M)\M NEG NEG MIN_MAX POS_MAX.png</v>
  </rv>
  <rv s="1">
    <v>244</v>
    <v>5</v>
    <v>C:\Users\milag\Desktop\0.TEMPORALES\MV\0. IMAGENES\0. DIAGRAMAS - 1 BARRA\0. DIAGRAMAS - 1 BARRA - GIRADOS\MOMENTO (M)\M NEG NEG MIN_MAX POS_MAX.png</v>
  </rv>
  <rv s="1">
    <v>245</v>
    <v>5</v>
    <v>C:\Users\milag\Desktop\0.TEMPORALES\MV\0. IMAGENES\0. DIAGRAMAS - 1 BARRA\0. DIAGRAMAS - 1 BARRA - GIRADOS\MOMENTO (M)\M NEG NEG MAX_MIN POS_MAX.png</v>
  </rv>
  <rv s="1">
    <v>246</v>
    <v>5</v>
    <v>C:\Users\milag\Desktop\0.TEMPORALES\MV\0. IMAGENES\0. DIAGRAMAS - 1 BARRA\0. DIAGRAMAS - 1 BARRA - GIRADOS\MOMENTO (M)\M NEG NEG MAX_MIN POS_MAX.png</v>
  </rv>
  <rv s="1">
    <v>247</v>
    <v>5</v>
    <v>C:\Users\milag\Desktop\0.TEMPORALES\MV\0. IMAGENES\0. DIAGRAMAS - 1 BARRA\0. DIAGRAMAS - 1 BARRA - GIRADOS\MOMENTO (M)\M NEG NEG MAX_MIN POS_MAX.png</v>
  </rv>
  <rv s="1">
    <v>248</v>
    <v>5</v>
    <v>C:\Users\milag\Desktop\0.TEMPORALES\MV\0. IMAGENES\0. DIAGRAMAS - 1 BARRA\0. DIAGRAMAS - 1 BARRA - GIRADOS\MOMENTO (M)\M NEG NEG POS_MAX.png</v>
  </rv>
  <rv s="1">
    <v>249</v>
    <v>5</v>
    <v>C:\Users\milag\Desktop\0.TEMPORALES\MV\0. IMAGENES\0. DIAGRAMAS - 1 BARRA\0. DIAGRAMAS - 1 BARRA - GIRADOS\MOMENTO (M)\M NEG NEG POS_MAX.png</v>
  </rv>
  <rv s="1">
    <v>250</v>
    <v>5</v>
    <v>C:\Users\milag\Desktop\0.TEMPORALES\MV\0. IMAGENES\0. DIAGRAMAS - 1 BARRA\0. DIAGRAMAS - 1 BARRA - GIRADOS\MOMENTO (M)\M NEG NEG POS_MAX.png</v>
  </rv>
  <rv s="1">
    <v>251</v>
    <v>5</v>
    <v>C:\Users\milag\Desktop\0.TEMPORALES\MV\0. IMAGENES\0. DIAGRAMAS - 1 BARRA\0. DIAGRAMAS - 1 BARRA - GIRADOS\MOMENTO (M)\M POS POS NEG_MIN.png</v>
  </rv>
  <rv s="1">
    <v>252</v>
    <v>5</v>
    <v>C:\Users\milag\Desktop\0.TEMPORALES\MV\0. IMAGENES\0. DIAGRAMAS - 1 BARRA\0. DIAGRAMAS - 1 BARRA - GIRADOS\MOMENTO (M)\M POS POS NEG_MIN.png</v>
  </rv>
  <rv s="1">
    <v>253</v>
    <v>5</v>
    <v>C:\Users\milag\Desktop\0.TEMPORALES\MV\0. IMAGENES\0. DIAGRAMAS - 1 BARRA\0. DIAGRAMAS - 1 BARRA - GIRADOS\MOMENTO (M)\M POS POS NEG_MIN.png</v>
  </rv>
  <rv s="1">
    <v>254</v>
    <v>5</v>
    <v>C:\Users\milag\Desktop\0.TEMPORALES\MV\0. IMAGENES\0. DIAGRAMAS - 1 BARRA\0. DIAGRAMAS - 1 BARRA - GIRADOS\MOMENTO (M)\M NEG NEG NEG_MIN.png</v>
  </rv>
  <rv s="1">
    <v>255</v>
    <v>5</v>
    <v>C:\Users\milag\Desktop\0.TEMPORALES\MV\0. IMAGENES\0. DIAGRAMAS - 1 BARRA\0. DIAGRAMAS - 1 BARRA - GIRADOS\MOMENTO (M)\M NEG NEG NEG_MIN.png</v>
  </rv>
  <rv s="1">
    <v>256</v>
    <v>5</v>
    <v>C:\Users\milag\Desktop\0.TEMPORALES\MV\0. IMAGENES\0. DIAGRAMAS - 1 BARRA\0. DIAGRAMAS - 1 BARRA - GIRADOS\MOMENTO (M)\M NEG NEG NEG_MIN.png</v>
  </rv>
  <rv s="1">
    <v>257</v>
    <v>5</v>
    <v>C:\Users\milag\Desktop\0.TEMPORALES\MV\0. IMAGENES\0. DIAGRAMAS - 1 BARRA\0. DIAGRAMAS - 1 BARRA - GIRADOS\MOMENTO (M)\M POS POS POS_MAX.png</v>
  </rv>
  <rv s="1">
    <v>258</v>
    <v>5</v>
    <v>C:\Users\milag\Desktop\0.TEMPORALES\MV\0. IMAGENES\0. DIAGRAMAS - 1 BARRA\0. DIAGRAMAS - 1 BARRA - GIRADOS\MOMENTO (M)\M POS POS POS_MAX.png</v>
  </rv>
  <rv s="1">
    <v>259</v>
    <v>5</v>
    <v>C:\Users\milag\Desktop\0.TEMPORALES\MV\0. IMAGENES\0. DIAGRAMAS - 1 BARRA\0. DIAGRAMAS - 1 BARRA - GIRADOS\MOMENTO (M)\M POS POS POS_MAX.png</v>
  </rv>
  <rv s="0">
    <v>260</v>
    <v>5</v>
  </rv>
  <rv s="0">
    <v>261</v>
    <v>5</v>
  </rv>
  <rv s="0">
    <v>262</v>
    <v>5</v>
  </rv>
  <rv s="0">
    <v>263</v>
    <v>5</v>
  </rv>
  <rv s="0">
    <v>264</v>
    <v>5</v>
  </rv>
  <rv s="0">
    <v>265</v>
    <v>5</v>
  </rv>
</rvData>
</file>

<file path=xl/richData/rdrichvaluestructure.xml><?xml version="1.0" encoding="utf-8"?>
<rvStructures xmlns="http://schemas.microsoft.com/office/spreadsheetml/2017/richdata" count="2">
  <s t="_localImage">
    <k n="_rvRel:LocalImageIdentifier" t="i"/>
    <k n="CalcOrigin"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el r:id="rId78"/>
  <rel r:id="rId79"/>
  <rel r:id="rId80"/>
  <rel r:id="rId81"/>
  <rel r:id="rId82"/>
  <rel r:id="rId83"/>
  <rel r:id="rId84"/>
  <rel r:id="rId85"/>
  <rel r:id="rId86"/>
  <rel r:id="rId87"/>
  <rel r:id="rId88"/>
  <rel r:id="rId89"/>
  <rel r:id="rId90"/>
  <rel r:id="rId91"/>
  <rel r:id="rId92"/>
  <rel r:id="rId93"/>
  <rel r:id="rId94"/>
  <rel r:id="rId95"/>
  <rel r:id="rId96"/>
  <rel r:id="rId97"/>
  <rel r:id="rId98"/>
  <rel r:id="rId99"/>
  <rel r:id="rId100"/>
  <rel r:id="rId101"/>
  <rel r:id="rId102"/>
  <rel r:id="rId103"/>
  <rel r:id="rId104"/>
  <rel r:id="rId105"/>
  <rel r:id="rId106"/>
  <rel r:id="rId107"/>
  <rel r:id="rId108"/>
  <rel r:id="rId109"/>
  <rel r:id="rId110"/>
  <rel r:id="rId111"/>
  <rel r:id="rId112"/>
  <rel r:id="rId113"/>
  <rel r:id="rId114"/>
  <rel r:id="rId115"/>
  <rel r:id="rId116"/>
  <rel r:id="rId117"/>
  <rel r:id="rId118"/>
  <rel r:id="rId119"/>
  <rel r:id="rId120"/>
  <rel r:id="rId121"/>
  <rel r:id="rId122"/>
  <rel r:id="rId123"/>
  <rel r:id="rId124"/>
  <rel r:id="rId125"/>
  <rel r:id="rId126"/>
  <rel r:id="rId127"/>
  <rel r:id="rId128"/>
  <rel r:id="rId129"/>
  <rel r:id="rId130"/>
  <rel r:id="rId131"/>
  <rel r:id="rId132"/>
  <rel r:id="rId133"/>
  <rel r:id="rId134"/>
  <rel r:id="rId135"/>
  <rel r:id="rId136"/>
  <rel r:id="rId137"/>
  <rel r:id="rId138"/>
  <rel r:id="rId139"/>
  <rel r:id="rId140"/>
  <rel r:id="rId141"/>
  <rel r:id="rId142"/>
  <rel r:id="rId143"/>
  <rel r:id="rId144"/>
  <rel r:id="rId145"/>
  <rel r:id="rId146"/>
  <rel r:id="rId147"/>
  <rel r:id="rId148"/>
  <rel r:id="rId149"/>
  <rel r:id="rId150"/>
  <rel r:id="rId151"/>
  <rel r:id="rId152"/>
  <rel r:id="rId153"/>
  <rel r:id="rId154"/>
  <rel r:id="rId155"/>
  <rel r:id="rId156"/>
  <rel r:id="rId157"/>
  <rel r:id="rId158"/>
  <rel r:id="rId159"/>
  <rel r:id="rId160"/>
  <rel r:id="rId161"/>
  <rel r:id="rId162"/>
  <rel r:id="rId163"/>
  <rel r:id="rId164"/>
  <rel r:id="rId165"/>
  <rel r:id="rId166"/>
  <rel r:id="rId167"/>
  <rel r:id="rId168"/>
  <rel r:id="rId169"/>
  <rel r:id="rId170"/>
  <rel r:id="rId171"/>
  <rel r:id="rId172"/>
  <rel r:id="rId173"/>
  <rel r:id="rId174"/>
  <rel r:id="rId175"/>
  <rel r:id="rId176"/>
  <rel r:id="rId177"/>
  <rel r:id="rId178"/>
  <rel r:id="rId179"/>
  <rel r:id="rId180"/>
  <rel r:id="rId181"/>
  <rel r:id="rId182"/>
  <rel r:id="rId183"/>
  <rel r:id="rId184"/>
  <rel r:id="rId185"/>
  <rel r:id="rId186"/>
  <rel r:id="rId187"/>
  <rel r:id="rId188"/>
  <rel r:id="rId189"/>
  <rel r:id="rId190"/>
  <rel r:id="rId191"/>
  <rel r:id="rId192"/>
  <rel r:id="rId193"/>
  <rel r:id="rId194"/>
  <rel r:id="rId195"/>
  <rel r:id="rId196"/>
  <rel r:id="rId197"/>
  <rel r:id="rId198"/>
  <rel r:id="rId199"/>
  <rel r:id="rId200"/>
  <rel r:id="rId201"/>
  <rel r:id="rId202"/>
  <rel r:id="rId203"/>
  <rel r:id="rId204"/>
  <rel r:id="rId205"/>
  <rel r:id="rId206"/>
  <rel r:id="rId207"/>
  <rel r:id="rId208"/>
  <rel r:id="rId209"/>
  <rel r:id="rId210"/>
  <rel r:id="rId211"/>
  <rel r:id="rId212"/>
  <rel r:id="rId213"/>
  <rel r:id="rId214"/>
  <rel r:id="rId215"/>
  <rel r:id="rId216"/>
  <rel r:id="rId217"/>
  <rel r:id="rId218"/>
  <rel r:id="rId219"/>
  <rel r:id="rId220"/>
  <rel r:id="rId221"/>
  <rel r:id="rId222"/>
  <rel r:id="rId223"/>
  <rel r:id="rId224"/>
  <rel r:id="rId225"/>
  <rel r:id="rId226"/>
  <rel r:id="rId227"/>
  <rel r:id="rId228"/>
  <rel r:id="rId229"/>
  <rel r:id="rId230"/>
  <rel r:id="rId231"/>
  <rel r:id="rId232"/>
  <rel r:id="rId233"/>
  <rel r:id="rId234"/>
  <rel r:id="rId235"/>
  <rel r:id="rId236"/>
  <rel r:id="rId237"/>
  <rel r:id="rId238"/>
  <rel r:id="rId239"/>
  <rel r:id="rId240"/>
  <rel r:id="rId241"/>
  <rel r:id="rId242"/>
  <rel r:id="rId243"/>
  <rel r:id="rId244"/>
  <rel r:id="rId245"/>
  <rel r:id="rId246"/>
  <rel r:id="rId247"/>
  <rel r:id="rId248"/>
  <rel r:id="rId249"/>
  <rel r:id="rId250"/>
  <rel r:id="rId251"/>
  <rel r:id="rId252"/>
  <rel r:id="rId253"/>
  <rel r:id="rId254"/>
  <rel r:id="rId255"/>
  <rel r:id="rId256"/>
  <rel r:id="rId257"/>
  <rel r:id="rId258"/>
  <rel r:id="rId259"/>
  <rel r:id="rId260"/>
  <rel r:id="rId261"/>
  <rel r:id="rId262"/>
  <rel r:id="rId263"/>
  <rel r:id="rId264"/>
  <rel r:id="rId265"/>
  <rel r:id="rId266"/>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_D_FIJOS" displayName="T_D_FIJOS" ref="A4:CH31" totalsRowShown="0" headerRowDxfId="227" dataDxfId="225" headerRowBorderDxfId="226" tableBorderDxfId="224">
  <autoFilter ref="A4:CH31" xr:uid="{00000000-0009-0000-0100-000005000000}"/>
  <tableColumns count="86">
    <tableColumn id="86" xr3:uid="{00000000-0010-0000-0000-000056000000}" name="Nº" dataDxfId="223">
      <calculatedColumnFormula>ROW()-ROW(T_D_FIJOS[[#Headers],[Nº]])</calculatedColumnFormula>
    </tableColumn>
    <tableColumn id="1" xr3:uid="{00000000-0010-0000-0000-000001000000}" name="NOMBRE" dataDxfId="222"/>
    <tableColumn id="2" xr3:uid="{00000000-0010-0000-0000-000002000000}" name="L_AB" dataDxfId="221"/>
    <tableColumn id="3" xr3:uid="{00000000-0010-0000-0000-000003000000}" name="L_BC" dataDxfId="220"/>
    <tableColumn id="4" xr3:uid="{00000000-0010-0000-0000-000004000000}" name="L_Cev" dataDxfId="219"/>
    <tableColumn id="82" xr3:uid="{00000000-0010-0000-0000-000052000000}" name="L_DE" dataDxfId="218"/>
    <tableColumn id="5" xr3:uid="{00000000-0010-0000-0000-000005000000}" name="L_EF" dataDxfId="217"/>
    <tableColumn id="6" xr3:uid="{00000000-0010-0000-0000-000006000000}" name="L_FG" dataDxfId="216"/>
    <tableColumn id="7" xr3:uid="{00000000-0010-0000-0000-000007000000}" name="L_GH" dataDxfId="215"/>
    <tableColumn id="8" xr3:uid="{00000000-0010-0000-0000-000008000000}" name="L_HI" dataDxfId="214"/>
    <tableColumn id="9" xr3:uid="{00000000-0010-0000-0000-000009000000}" name="L_GJ" dataDxfId="213"/>
    <tableColumn id="10" xr3:uid="{00000000-0010-0000-0000-00000A000000}" name="L_JK" dataDxfId="212"/>
    <tableColumn id="11" xr3:uid="{00000000-0010-0000-0000-00000B000000}" name="L_KL" dataDxfId="211"/>
    <tableColumn id="12" xr3:uid="{00000000-0010-0000-0000-00000C000000}" name="L_LM" dataDxfId="210"/>
    <tableColumn id="13" xr3:uid="{00000000-0010-0000-0000-00000D000000}" name="L_MN" dataDxfId="209"/>
    <tableColumn id="14" xr3:uid="{00000000-0010-0000-0000-00000E000000}" name="L_MO" dataDxfId="208"/>
    <tableColumn id="15" xr3:uid="{00000000-0010-0000-0000-00000F000000}" name="a C" dataDxfId="207"/>
    <tableColumn id="79" xr3:uid="{00000000-0010-0000-0000-00004F000000}" name="Tipo" dataDxfId="206"/>
    <tableColumn id="78" xr3:uid="{00000000-0010-0000-0000-00004E000000}" name="Nudo Fijo" dataDxfId="205"/>
    <tableColumn id="77" xr3:uid="{00000000-0010-0000-0000-00004D000000}" name="Nudo Móvil" dataDxfId="204"/>
    <tableColumn id="83" xr3:uid="{00000000-0010-0000-0000-000053000000}" name="Articulación" dataDxfId="203"/>
    <tableColumn id="16" xr3:uid="{00000000-0010-0000-0000-000010000000}" name="Fv_A" dataDxfId="202"/>
    <tableColumn id="17" xr3:uid="{00000000-0010-0000-0000-000011000000}" name="Fv_B" dataDxfId="201"/>
    <tableColumn id="18" xr3:uid="{00000000-0010-0000-0000-000012000000}" name="Fv_C" dataDxfId="200"/>
    <tableColumn id="19" xr3:uid="{00000000-0010-0000-0000-000013000000}" name="Fv_D" dataDxfId="199"/>
    <tableColumn id="20" xr3:uid="{00000000-0010-0000-0000-000014000000}" name="Fv_E" dataDxfId="198"/>
    <tableColumn id="21" xr3:uid="{00000000-0010-0000-0000-000015000000}" name="Fv_F" dataDxfId="197"/>
    <tableColumn id="22" xr3:uid="{00000000-0010-0000-0000-000016000000}" name="Fv_G" dataDxfId="196"/>
    <tableColumn id="23" xr3:uid="{00000000-0010-0000-0000-000017000000}" name="Fv_H" dataDxfId="195"/>
    <tableColumn id="24" xr3:uid="{00000000-0010-0000-0000-000018000000}" name="Fv_I" dataDxfId="194"/>
    <tableColumn id="25" xr3:uid="{00000000-0010-0000-0000-000019000000}" name="Fv_J" dataDxfId="193"/>
    <tableColumn id="26" xr3:uid="{00000000-0010-0000-0000-00001A000000}" name="Fv_K" dataDxfId="192"/>
    <tableColumn id="27" xr3:uid="{00000000-0010-0000-0000-00001B000000}" name="Fv_L" dataDxfId="191"/>
    <tableColumn id="28" xr3:uid="{00000000-0010-0000-0000-00001C000000}" name="Fv_M" dataDxfId="190"/>
    <tableColumn id="29" xr3:uid="{00000000-0010-0000-0000-00001D000000}" name="Fv_N" dataDxfId="189"/>
    <tableColumn id="30" xr3:uid="{00000000-0010-0000-0000-00001E000000}" name="Fv_O" dataDxfId="188"/>
    <tableColumn id="31" xr3:uid="{00000000-0010-0000-0000-00001F000000}" name="Fh_A" dataDxfId="187"/>
    <tableColumn id="32" xr3:uid="{00000000-0010-0000-0000-000020000000}" name="Fh_B" dataDxfId="186"/>
    <tableColumn id="33" xr3:uid="{00000000-0010-0000-0000-000021000000}" name="Fh_C" dataDxfId="185"/>
    <tableColumn id="34" xr3:uid="{00000000-0010-0000-0000-000022000000}" name="Fh_D" dataDxfId="184"/>
    <tableColumn id="35" xr3:uid="{00000000-0010-0000-0000-000023000000}" name="Fh_E" dataDxfId="183"/>
    <tableColumn id="36" xr3:uid="{00000000-0010-0000-0000-000024000000}" name="Fh_F" dataDxfId="182"/>
    <tableColumn id="37" xr3:uid="{00000000-0010-0000-0000-000025000000}" name="Fh_G" dataDxfId="181"/>
    <tableColumn id="38" xr3:uid="{00000000-0010-0000-0000-000026000000}" name="Fh_H" dataDxfId="180"/>
    <tableColumn id="39" xr3:uid="{00000000-0010-0000-0000-000027000000}" name="Fh_I" dataDxfId="179"/>
    <tableColumn id="40" xr3:uid="{00000000-0010-0000-0000-000028000000}" name="Fh_J" dataDxfId="178"/>
    <tableColumn id="41" xr3:uid="{00000000-0010-0000-0000-000029000000}" name="Fh_K" dataDxfId="177"/>
    <tableColumn id="42" xr3:uid="{00000000-0010-0000-0000-00002A000000}" name="Fh_L" dataDxfId="176"/>
    <tableColumn id="43" xr3:uid="{00000000-0010-0000-0000-00002B000000}" name="Fh_M" dataDxfId="175"/>
    <tableColumn id="44" xr3:uid="{00000000-0010-0000-0000-00002C000000}" name="Fh_N" dataDxfId="174"/>
    <tableColumn id="45" xr3:uid="{00000000-0010-0000-0000-00002D000000}" name="Fh_O" dataDxfId="173"/>
    <tableColumn id="46" xr3:uid="{00000000-0010-0000-0000-00002E000000}" name="Mz_A" dataDxfId="172"/>
    <tableColumn id="47" xr3:uid="{00000000-0010-0000-0000-00002F000000}" name="Mz_B" dataDxfId="171"/>
    <tableColumn id="48" xr3:uid="{00000000-0010-0000-0000-000030000000}" name="Mz_C" dataDxfId="170"/>
    <tableColumn id="49" xr3:uid="{00000000-0010-0000-0000-000031000000}" name="Mz_D" dataDxfId="169"/>
    <tableColumn id="50" xr3:uid="{00000000-0010-0000-0000-000032000000}" name="Mz_E" dataDxfId="168"/>
    <tableColumn id="51" xr3:uid="{00000000-0010-0000-0000-000033000000}" name="Mz_F" dataDxfId="167"/>
    <tableColumn id="52" xr3:uid="{00000000-0010-0000-0000-000034000000}" name="Mz_G" dataDxfId="166"/>
    <tableColumn id="53" xr3:uid="{00000000-0010-0000-0000-000035000000}" name="Mz_H" dataDxfId="165"/>
    <tableColumn id="54" xr3:uid="{00000000-0010-0000-0000-000036000000}" name="Mz_I" dataDxfId="164"/>
    <tableColumn id="55" xr3:uid="{00000000-0010-0000-0000-000037000000}" name="Mz_J" dataDxfId="163"/>
    <tableColumn id="56" xr3:uid="{00000000-0010-0000-0000-000038000000}" name="Mz_K" dataDxfId="162"/>
    <tableColumn id="57" xr3:uid="{00000000-0010-0000-0000-000039000000}" name="Mz_L" dataDxfId="161"/>
    <tableColumn id="58" xr3:uid="{00000000-0010-0000-0000-00003A000000}" name="Mz_M" dataDxfId="160"/>
    <tableColumn id="59" xr3:uid="{00000000-0010-0000-0000-00003B000000}" name="Mz_N" dataDxfId="159"/>
    <tableColumn id="60" xr3:uid="{00000000-0010-0000-0000-00003C000000}" name="Mz_O" dataDxfId="158"/>
    <tableColumn id="61" xr3:uid="{00000000-0010-0000-0000-00003D000000}" name="q_AB" dataDxfId="157"/>
    <tableColumn id="62" xr3:uid="{00000000-0010-0000-0000-00003E000000}" name="q_BC" dataDxfId="156"/>
    <tableColumn id="63" xr3:uid="{00000000-0010-0000-0000-00003F000000}" name="q_CE_h" dataDxfId="155"/>
    <tableColumn id="64" xr3:uid="{00000000-0010-0000-0000-000040000000}" name="q_CE_v" dataDxfId="154"/>
    <tableColumn id="65" xr3:uid="{00000000-0010-0000-0000-000041000000}" name="q_CE" dataDxfId="153"/>
    <tableColumn id="66" xr3:uid="{00000000-0010-0000-0000-000042000000}" name="q_EF" dataDxfId="152"/>
    <tableColumn id="67" xr3:uid="{00000000-0010-0000-0000-000043000000}" name="q_FG" dataDxfId="151"/>
    <tableColumn id="68" xr3:uid="{00000000-0010-0000-0000-000044000000}" name="q_GH" dataDxfId="150"/>
    <tableColumn id="69" xr3:uid="{00000000-0010-0000-0000-000045000000}" name="q_HI" dataDxfId="149"/>
    <tableColumn id="70" xr3:uid="{00000000-0010-0000-0000-000046000000}" name="q_GJ" dataDxfId="148"/>
    <tableColumn id="71" xr3:uid="{00000000-0010-0000-0000-000047000000}" name="q_JK" dataDxfId="147"/>
    <tableColumn id="72" xr3:uid="{00000000-0010-0000-0000-000048000000}" name="q_KL" dataDxfId="146"/>
    <tableColumn id="73" xr3:uid="{00000000-0010-0000-0000-000049000000}" name="q_LM" dataDxfId="145"/>
    <tableColumn id="74" xr3:uid="{00000000-0010-0000-0000-00004A000000}" name="q_MN" dataDxfId="144"/>
    <tableColumn id="75" xr3:uid="{00000000-0010-0000-0000-00004B000000}" name="q_MO" dataDxfId="143"/>
    <tableColumn id="84" xr3:uid="{00000000-0010-0000-0000-000054000000}" name="Nombre IMAGEN" dataDxfId="142"/>
    <tableColumn id="76" xr3:uid="{00000000-0010-0000-0000-00004C000000}" name="IMAGEN" dataDxfId="141"/>
    <tableColumn id="80" xr3:uid="{00000000-0010-0000-0000-000050000000}" name="IMPRIMIR" dataDxfId="140"/>
    <tableColumn id="81" xr3:uid="{00000000-0010-0000-0000-000051000000}" name="N_Pb" dataDxfId="139">
      <calculatedColumnFormula>IF(Imp_OK=_OK,ROW()-ROW(T_D_FIJOS[[#Headers],[N_Pb]]),IF(T_D_FIJOS[[#This Row],[IMPRIMIR]]="",0,COUNTA($CF$4:CF5)-1))</calculatedColumnFormula>
    </tableColumn>
    <tableColumn id="85" xr3:uid="{00000000-0010-0000-0000-000055000000}" name="CONCAT" dataDxfId="138">
      <calculatedColumnFormula>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_D_VAR" displayName="T_D_VAR" ref="A4:CG31" totalsRowShown="0" headerRowDxfId="136" dataDxfId="134" headerRowBorderDxfId="135" tableBorderDxfId="133">
  <autoFilter ref="A4:CG31" xr:uid="{00000000-0009-0000-0100-000001000000}"/>
  <tableColumns count="85">
    <tableColumn id="80" xr3:uid="{00000000-0010-0000-0100-000050000000}" name="Tipo Figura" dataDxfId="132"/>
    <tableColumn id="1" xr3:uid="{00000000-0010-0000-0100-000001000000}" name="NOMBRE" dataDxfId="131">
      <calculatedColumnFormula>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calculatedColumnFormula>
    </tableColumn>
    <tableColumn id="2" xr3:uid="{00000000-0010-0000-0100-000002000000}" name="L_AB" dataDxfId="130"/>
    <tableColumn id="3" xr3:uid="{00000000-0010-0000-0100-000003000000}" name="L_BC" dataDxfId="129">
      <calculatedColumnFormula>C5</calculatedColumnFormula>
    </tableColumn>
    <tableColumn id="4" xr3:uid="{00000000-0010-0000-0100-000004000000}" name="L_Cev" dataDxfId="128"/>
    <tableColumn id="82" xr3:uid="{00000000-0010-0000-0100-000052000000}" name="L_DE" dataDxfId="127"/>
    <tableColumn id="5" xr3:uid="{00000000-0010-0000-0100-000005000000}" name="L_EF" dataDxfId="126"/>
    <tableColumn id="6" xr3:uid="{00000000-0010-0000-0100-000006000000}" name="L_FG" dataDxfId="125">
      <calculatedColumnFormula>G5</calculatedColumnFormula>
    </tableColumn>
    <tableColumn id="7" xr3:uid="{00000000-0010-0000-0100-000007000000}" name="L_GH" dataDxfId="124"/>
    <tableColumn id="8" xr3:uid="{00000000-0010-0000-0100-000008000000}" name="L_HI" dataDxfId="123">
      <calculatedColumnFormula>I5</calculatedColumnFormula>
    </tableColumn>
    <tableColumn id="9" xr3:uid="{00000000-0010-0000-0100-000009000000}" name="L_GJ" dataDxfId="122"/>
    <tableColumn id="10" xr3:uid="{00000000-0010-0000-0100-00000A000000}" name="L_JK" dataDxfId="121">
      <calculatedColumnFormula>K5</calculatedColumnFormula>
    </tableColumn>
    <tableColumn id="11" xr3:uid="{00000000-0010-0000-0100-00000B000000}" name="L_KL" dataDxfId="120"/>
    <tableColumn id="12" xr3:uid="{00000000-0010-0000-0100-00000C000000}" name="L_LM" dataDxfId="119">
      <calculatedColumnFormula>M5</calculatedColumnFormula>
    </tableColumn>
    <tableColumn id="13" xr3:uid="{00000000-0010-0000-0100-00000D000000}" name="L_MN" dataDxfId="118"/>
    <tableColumn id="14" xr3:uid="{00000000-0010-0000-0100-00000E000000}" name="L_MO" dataDxfId="117"/>
    <tableColumn id="15" xr3:uid="{00000000-0010-0000-0100-00000F000000}" name="a C" dataDxfId="116"/>
    <tableColumn id="79" xr3:uid="{00000000-0010-0000-0100-00004F000000}" name="Tipo" dataDxfId="115"/>
    <tableColumn id="78" xr3:uid="{00000000-0010-0000-0100-00004E000000}" name="Nudo Fijo" dataDxfId="114"/>
    <tableColumn id="77" xr3:uid="{00000000-0010-0000-0100-00004D000000}" name="Nudo Móvil" dataDxfId="113"/>
    <tableColumn id="83" xr3:uid="{00000000-0010-0000-0100-000053000000}" name="Articulación" dataDxfId="112"/>
    <tableColumn id="16" xr3:uid="{00000000-0010-0000-0100-000010000000}" name="Fv_A" dataDxfId="111"/>
    <tableColumn id="17" xr3:uid="{00000000-0010-0000-0100-000011000000}" name="Fv_B" dataDxfId="110"/>
    <tableColumn id="18" xr3:uid="{00000000-0010-0000-0100-000012000000}" name="Fv_C" dataDxfId="109"/>
    <tableColumn id="19" xr3:uid="{00000000-0010-0000-0100-000013000000}" name="Fv_D" dataDxfId="108"/>
    <tableColumn id="20" xr3:uid="{00000000-0010-0000-0100-000014000000}" name="Fv_E" dataDxfId="107"/>
    <tableColumn id="21" xr3:uid="{00000000-0010-0000-0100-000015000000}" name="Fv_F" dataDxfId="106"/>
    <tableColumn id="22" xr3:uid="{00000000-0010-0000-0100-000016000000}" name="Fv_G" dataDxfId="105"/>
    <tableColumn id="23" xr3:uid="{00000000-0010-0000-0100-000017000000}" name="Fv_H" dataDxfId="104"/>
    <tableColumn id="24" xr3:uid="{00000000-0010-0000-0100-000018000000}" name="Fv_I" dataDxfId="103"/>
    <tableColumn id="25" xr3:uid="{00000000-0010-0000-0100-000019000000}" name="Fv_J" dataDxfId="102"/>
    <tableColumn id="26" xr3:uid="{00000000-0010-0000-0100-00001A000000}" name="Fv_K" dataDxfId="101"/>
    <tableColumn id="27" xr3:uid="{00000000-0010-0000-0100-00001B000000}" name="Fv_L" dataDxfId="100"/>
    <tableColumn id="28" xr3:uid="{00000000-0010-0000-0100-00001C000000}" name="Fv_M" dataDxfId="99"/>
    <tableColumn id="29" xr3:uid="{00000000-0010-0000-0100-00001D000000}" name="Fv_N" dataDxfId="98"/>
    <tableColumn id="30" xr3:uid="{00000000-0010-0000-0100-00001E000000}" name="Fv_O" dataDxfId="97"/>
    <tableColumn id="31" xr3:uid="{00000000-0010-0000-0100-00001F000000}" name="Fh_A" dataDxfId="96"/>
    <tableColumn id="32" xr3:uid="{00000000-0010-0000-0100-000020000000}" name="Fh_B" dataDxfId="95"/>
    <tableColumn id="33" xr3:uid="{00000000-0010-0000-0100-000021000000}" name="Fh_C" dataDxfId="94"/>
    <tableColumn id="34" xr3:uid="{00000000-0010-0000-0100-000022000000}" name="Fh_D" dataDxfId="93"/>
    <tableColumn id="35" xr3:uid="{00000000-0010-0000-0100-000023000000}" name="Fh_E" dataDxfId="92"/>
    <tableColumn id="36" xr3:uid="{00000000-0010-0000-0100-000024000000}" name="Fh_F" dataDxfId="91"/>
    <tableColumn id="37" xr3:uid="{00000000-0010-0000-0100-000025000000}" name="Fh_G" dataDxfId="90"/>
    <tableColumn id="38" xr3:uid="{00000000-0010-0000-0100-000026000000}" name="Fh_H" dataDxfId="89"/>
    <tableColumn id="39" xr3:uid="{00000000-0010-0000-0100-000027000000}" name="Fh_I" dataDxfId="88"/>
    <tableColumn id="40" xr3:uid="{00000000-0010-0000-0100-000028000000}" name="Fh_J" dataDxfId="87"/>
    <tableColumn id="41" xr3:uid="{00000000-0010-0000-0100-000029000000}" name="Fh_K" dataDxfId="86"/>
    <tableColumn id="42" xr3:uid="{00000000-0010-0000-0100-00002A000000}" name="Fh_L" dataDxfId="85"/>
    <tableColumn id="43" xr3:uid="{00000000-0010-0000-0100-00002B000000}" name="Fh_M" dataDxfId="84"/>
    <tableColumn id="44" xr3:uid="{00000000-0010-0000-0100-00002C000000}" name="Fh_N" dataDxfId="83"/>
    <tableColumn id="45" xr3:uid="{00000000-0010-0000-0100-00002D000000}" name="Fh_O" dataDxfId="82"/>
    <tableColumn id="46" xr3:uid="{00000000-0010-0000-0100-00002E000000}" name="Mz_A" dataDxfId="81"/>
    <tableColumn id="47" xr3:uid="{00000000-0010-0000-0100-00002F000000}" name="Mz_B" dataDxfId="80"/>
    <tableColumn id="48" xr3:uid="{00000000-0010-0000-0100-000030000000}" name="Mz_C" dataDxfId="79"/>
    <tableColumn id="49" xr3:uid="{00000000-0010-0000-0100-000031000000}" name="Mz_D" dataDxfId="78"/>
    <tableColumn id="50" xr3:uid="{00000000-0010-0000-0100-000032000000}" name="Mz_E" dataDxfId="77"/>
    <tableColumn id="51" xr3:uid="{00000000-0010-0000-0100-000033000000}" name="Mz_F" dataDxfId="76"/>
    <tableColumn id="52" xr3:uid="{00000000-0010-0000-0100-000034000000}" name="Mz_G" dataDxfId="75"/>
    <tableColumn id="53" xr3:uid="{00000000-0010-0000-0100-000035000000}" name="Mz_H" dataDxfId="74"/>
    <tableColumn id="54" xr3:uid="{00000000-0010-0000-0100-000036000000}" name="Mz_I" dataDxfId="73"/>
    <tableColumn id="55" xr3:uid="{00000000-0010-0000-0100-000037000000}" name="Mz_J" dataDxfId="72"/>
    <tableColumn id="56" xr3:uid="{00000000-0010-0000-0100-000038000000}" name="Mz_K" dataDxfId="71"/>
    <tableColumn id="57" xr3:uid="{00000000-0010-0000-0100-000039000000}" name="Mz_L" dataDxfId="70"/>
    <tableColumn id="58" xr3:uid="{00000000-0010-0000-0100-00003A000000}" name="Mz_M" dataDxfId="69"/>
    <tableColumn id="59" xr3:uid="{00000000-0010-0000-0100-00003B000000}" name="Mz_N" dataDxfId="68"/>
    <tableColumn id="60" xr3:uid="{00000000-0010-0000-0100-00003C000000}" name="Mz_O" dataDxfId="67"/>
    <tableColumn id="61" xr3:uid="{00000000-0010-0000-0100-00003D000000}" name="q_AB" dataDxfId="66"/>
    <tableColumn id="62" xr3:uid="{00000000-0010-0000-0100-00003E000000}" name="q_BC" dataDxfId="65"/>
    <tableColumn id="63" xr3:uid="{00000000-0010-0000-0100-00003F000000}" name="q_CE_h" dataDxfId="64"/>
    <tableColumn id="64" xr3:uid="{00000000-0010-0000-0100-000040000000}" name="q_CE_v" dataDxfId="63"/>
    <tableColumn id="65" xr3:uid="{00000000-0010-0000-0100-000041000000}" name="q_CE" dataDxfId="62"/>
    <tableColumn id="66" xr3:uid="{00000000-0010-0000-0100-000042000000}" name="q_EF" dataDxfId="61"/>
    <tableColumn id="67" xr3:uid="{00000000-0010-0000-0100-000043000000}" name="q_FG" dataDxfId="60"/>
    <tableColumn id="68" xr3:uid="{00000000-0010-0000-0100-000044000000}" name="q_GH" dataDxfId="59"/>
    <tableColumn id="69" xr3:uid="{00000000-0010-0000-0100-000045000000}" name="q_HI" dataDxfId="58"/>
    <tableColumn id="70" xr3:uid="{00000000-0010-0000-0100-000046000000}" name="q_GJ" dataDxfId="57"/>
    <tableColumn id="71" xr3:uid="{00000000-0010-0000-0100-000047000000}" name="q_JK" dataDxfId="56"/>
    <tableColumn id="72" xr3:uid="{00000000-0010-0000-0100-000048000000}" name="q_KL" dataDxfId="55"/>
    <tableColumn id="73" xr3:uid="{00000000-0010-0000-0100-000049000000}" name="q_LM" dataDxfId="54"/>
    <tableColumn id="74" xr3:uid="{00000000-0010-0000-0100-00004A000000}" name="q_MN" dataDxfId="53"/>
    <tableColumn id="75" xr3:uid="{00000000-0010-0000-0100-00004B000000}" name="q_MO" dataDxfId="52"/>
    <tableColumn id="84" xr3:uid="{00000000-0010-0000-0100-000054000000}" name="Nombre IMAGEN" dataDxfId="51"/>
    <tableColumn id="76" xr3:uid="{00000000-0010-0000-0100-00004C000000}" name="IMAGEN" dataDxfId="50"/>
    <tableColumn id="81" xr3:uid="{00000000-0010-0000-0100-000051000000}" name="Nº a GENERAR" dataDxfId="49">
      <calculatedColumnFormula>1</calculatedColumnFormula>
    </tableColumn>
    <tableColumn id="85" xr3:uid="{00000000-0010-0000-0100-000055000000}" name="Nº" dataDxfId="48">
      <calculatedColumnFormula>ROW()-ROW(T_D_VAR[[#Headers],[Nº]])</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_Datos" displayName="T_Datos" ref="A2:B9" totalsRowShown="0" headerRowDxfId="44" dataDxfId="42" headerRowBorderDxfId="43" tableBorderDxfId="41" totalsRowBorderDxfId="40">
  <autoFilter ref="A2:B9" xr:uid="{00000000-0009-0000-0100-000004000000}"/>
  <tableColumns count="2">
    <tableColumn id="1" xr3:uid="{00000000-0010-0000-0200-000001000000}" name="ANGULOS" dataDxfId="39"/>
    <tableColumn id="3" xr3:uid="{00000000-0010-0000-0200-000003000000}" name="Acero"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T_Resultados_FTP" displayName="T_Resultados_FTP" ref="A7:U35" totalsRowShown="0">
  <autoFilter ref="A7:U35" xr:uid="{00000000-0009-0000-0100-000008000000}"/>
  <tableColumns count="21">
    <tableColumn id="1" xr3:uid="{00000000-0010-0000-0300-000001000000}" name="Nudo" dataDxfId="33">
      <calculatedColumnFormula>PROBLEMA!W34</calculatedColumnFormula>
    </tableColumn>
    <tableColumn id="2" xr3:uid="{00000000-0010-0000-0300-000002000000}" name="N axil" dataDxfId="32"/>
    <tableColumn id="3" xr3:uid="{00000000-0010-0000-0300-000003000000}" name="Axiles" dataDxfId="31"/>
    <tableColumn id="4" xr3:uid="{00000000-0010-0000-0300-000004000000}" name="Codigo axil" dataDxfId="30">
      <calculatedColumnFormula array="1">IF(INDIRECT("L_"&amp;MID($A8,1,2))&lt;&gt;0,IF(MID($A8,4,1)="i",MID($A8,1,1)&amp;Tab,"    ")&amp;
  " {"&amp;$O$45&amp;":NM:"&amp;$P$3&amp;ABS(C8)&amp;":"&amp;ABS(C8)*$P$45&amp;"#"&amp;Retro_MuyBien&amp;$Q$3&amp;ABS(C8)&amp;":"&amp;ABS(C8)*$Q$45&amp;"#"&amp;Retro_Bien&amp;$R$3&amp;ABS(C8)&amp;":"&amp;ABS(C8)*$R$45&amp;"#"&amp;Retro_Mal&amp;"}"&amp;IF(RIGHT($A8,1)="i",IFERROR(VLOOKUP(M8,'ENLACES DIAGRAMAS'!$B:$I,8,0),No_Diagrama),IF(MID($A8,1,1)="M",Tab&amp;MID($A8,2,1)&amp;Salto,IF(OR(MOD(COUNTA($A$8:$A8),4)=0,D9="")," "&amp;
                                    MID($A8,2,1)&amp;Salto,Tab))),"")</calculatedColumnFormula>
    </tableColumn>
    <tableColumn id="5" xr3:uid="{00000000-0010-0000-0300-000005000000}" name="V cortante">
      <calculatedColumnFormula>E$6&amp;" "&amp;$A8</calculatedColumnFormula>
    </tableColumn>
    <tableColumn id="6" xr3:uid="{00000000-0010-0000-0300-000006000000}" name="Cortantes" dataDxfId="29">
      <calculatedColumnFormula array="1">ROUND(INDIRECT(E$6&amp;"_"&amp;REPLACE($A8,3,1,"_")),2)</calculatedColumnFormula>
    </tableColumn>
    <tableColumn id="7" xr3:uid="{00000000-0010-0000-0300-000007000000}" name="Codigo Cortante" dataDxfId="28">
      <calculatedColumnFormula array="1">IF(INDIRECT("L_"&amp;MID($A8,1,2))&lt;&gt;0,IF(MID($A8,4,1)="i",MID($A8,1,1)&amp;Tab,"    ")&amp;
  " {"&amp;$O$45&amp;":NM:"&amp;$P$3&amp;ABS(F8)&amp;":"&amp;ABS(F8)*$P$45&amp;"#"&amp;Retro_MuyBien&amp;$Q$3&amp;ABS(F8)&amp;":"&amp;ABS(F8)*$Q$45&amp;"#"&amp;Retro_Bien&amp;$R$3&amp;ABS(F8)&amp;":"&amp;ABS(F8)*$R$45&amp;"#"&amp;Retro_Mal&amp;"}"&amp;IF(RIGHT($A8,1)="i",IFERROR(VLOOKUP(N8,'ENLACES DIAGRAMAS'!$B:$I,8,0),No_Diagrama),IF(MID($A8,1,1)="M",Tab&amp;MID($A8,2,1)&amp;Salto,IF(OR(MOD(COUNTA($A$8:$A8),4)=0,G9="")," "&amp;
                                    MID($A8,2,1)&amp;Salto,Tab))),"")</calculatedColumnFormula>
    </tableColumn>
    <tableColumn id="8" xr3:uid="{00000000-0010-0000-0300-000008000000}" name="M Momento">
      <calculatedColumnFormula>H$6&amp;" "&amp;$A8</calculatedColumnFormula>
    </tableColumn>
    <tableColumn id="9" xr3:uid="{00000000-0010-0000-0300-000009000000}" name="Momentos" dataDxfId="27">
      <calculatedColumnFormula array="1">ROUND(INDIRECT(H$6&amp;"_"&amp;REPLACE($A8,3,1,"_")),2)</calculatedColumnFormula>
    </tableColumn>
    <tableColumn id="10" xr3:uid="{00000000-0010-0000-0300-00000A000000}" name="Codigo Momentos" dataDxfId="26">
      <calculatedColumnFormula array="1">IF(INDIRECT("L_"&amp;MID($A8,1,2))&lt;&gt;0,IF(MID($A8,4,1)="i",MID($A8,1,1)&amp;Tab,"    ")&amp;
  " {"&amp;$O$45&amp;":NM:"&amp;$P$3&amp;ABS(I8)&amp;":"&amp;ABS(I8)*$P$45&amp;"#"&amp;Retro_MuyBien&amp;$Q$3&amp;ABS(I8)&amp;":"&amp;ABS(I8)*$Q$45&amp;"#"&amp;Retro_Bien&amp;$R$3&amp;ABS(I8)&amp;":"&amp;ABS(I8)*$R$45&amp;"#"&amp;Retro_Mal&amp;"}"&amp;IF(RIGHT($A8,1)="i",IFERROR(VLOOKUP(O8,'ENLACES DIAGRAMAS'!$B:$I,8,0),No_Diagrama),IF(MID($A8,1,1)="M",Tab&amp;MID($A8,2,1)&amp;Salto,IF(OR(MOD(COUNTA($A$8:$A8),4)=0,J9="")," "&amp;
                                    MID($A8,2,1)&amp;Salto,Tab))),"")</calculatedColumnFormula>
    </tableColumn>
    <tableColumn id="12" xr3:uid="{00000000-0010-0000-0300-00000C000000}" name="M max" dataDxfId="25">
      <calculatedColumnFormula>IFERROR(IF(MID(T_Resultados_FTP[[#This Row],[Nudo]],4,1)="j","En la barra "&amp;MID(A7,1,2)&amp;" el momento es de 
       {"&amp;$O$42&amp;":NM:"&amp;$P$3&amp;ABS(ROUND(L8,2))&amp;":"&amp;ABS(ROUND(L8,2))*$P$51&amp;"#"&amp;Retro_MuyBien&amp;
                       $Q$3&amp;ABS(ROUND(L8,2))&amp;":"&amp;ABS(ROUND(L8,2))*$Q$51&amp;"#"&amp;Retro_Bien&amp;
                       $R$3&amp;ABS(ROUND(L8,2))&amp;":"&amp;ABS(ROUND(L8,2))*$R$51&amp;"#"&amp;Retro_Mal&amp;"} kNm, a 
       {"&amp;$O$43&amp;":NM:"&amp;$P$3&amp;ABS(ROUND(L7,0))&amp;":"&amp;ABS(ROUND(L7,2))*$P$51&amp;"#"&amp;Retro_MuyBien&amp;
                       $Q$3&amp;ABS(ROUND(L7,0))&amp;":"&amp;ABS(ROUND(L7,2))*$Q$51&amp;"#"&amp;Retro_Bien&amp;
                       $R$3&amp;ABS(ROUND(L7,0))&amp;":"&amp;ABS(ROUND(L7,2))*$R$51&amp;"#"&amp;Retro_Mal&amp;"} mm del nudo "&amp;MID(A7,1,1)&amp;". "&amp;Salto,""),"")</calculatedColumnFormula>
    </tableColumn>
    <tableColumn id="11" xr3:uid="{00000000-0010-0000-0300-00000B000000}" name="Barra max" dataDxfId="24">
      <calculatedColumnFormula>PROBLEMA!R34</calculatedColumnFormula>
    </tableColumn>
    <tableColumn id="13" xr3:uid="{00000000-0010-0000-0300-00000D000000}" name="DIAGR N" dataDxfId="23">
      <calculatedColumnFormula array="1">IF(INDIRECT("L_"&amp;MID($A8,1,2))&lt;&gt;0,IF(  MID(A8,1,2)=MID(A9,1,2),  "N "&amp;  IF(  C8=0,  "CERO ",  IF(  C8&gt;0,   "POS ",  "NEG " )) &amp;
                                                                                            IF(   C9=0,  "CERO", IF(  C9&gt;0,   "POS",  "NEG"  )) &amp;
                                                   IF(AND(C8&lt;&gt;C9,C8&lt;&gt;0,C9&lt;&gt;0),    IF(C8&gt;C9, " MAX_MIN",  " MIN_MAX"),  ""),  ""),"")</calculatedColumnFormula>
    </tableColumn>
    <tableColumn id="14" xr3:uid="{00000000-0010-0000-0300-00000E000000}" name="DIAGR V" dataDxfId="22">
      <calculatedColumnFormula array="1">IF(INDIRECT("L_"&amp;MID($A8,1,2))&lt;&gt;0,IF(  MID(A8,1,2)=MID(A9,1,2),  "V "&amp;  IF(  F8=0,  "CERO ",  IF(  F8&gt;0,   "POS ",  "NEG " )) &amp;
                                                                                            IF(  F9=0,  "CERO",   IF(  F9&gt;0,   "POS",   "NEG"  )) &amp;
                                                  IF(AND(F8&lt;&gt;F9,F8&lt;&gt;0,F9&lt;&gt;0),   IF(F8&gt;F9,  " MAX_MIN", " MIN_MAX" ),  ""),  ""),"")</calculatedColumnFormula>
    </tableColumn>
    <tableColumn id="15" xr3:uid="{00000000-0010-0000-0300-00000F000000}" name="DIAGR M" dataDxfId="21">
      <calculatedColumnFormula array="1">IF(INDIRECT("L_"&amp;MID($A8,1,2))&lt;&gt;0,IF(  MID(A8,1,2)=MID(A9,1,2),  "M "&amp;  IF(  I8=0,  "CERO ",  IF(  I8&gt;0,   "POS ",  "NEG " )) &amp;
                                                                                            IF(   I9=0,  "CERO",  IF(  ROUND(I9,1)&gt;0,   "POS",  "NEG"  )) &amp;
                                                       IF(AND(I8&lt;&gt;I9,I8&lt;&gt;0,I9&lt;&gt;0),   IF(I8&gt;I9,  " MAX_MIN", " MIN_MAX" ),  "") &amp;
IF(OR(INDIRECT("q_"&amp;MID(A8,1,2))&lt;&gt;0,AND(OR(MID(T_Resultados_FTP[[#This Row],[Nudo]],1,2)="CD",MID(T_Resultados_FTP[[#This Row],[Nudo]],1,2)="DE"),q_CE&lt;&gt;0)),  IF(L9="", IF(ABS(F8)&lt;ABS(F9)," M_0"," M_L"),
IF(L9&gt;0,  " POS",  " NEG") &amp;  IF(L9&gt;MAX(I8:I9),  "_MAX", "_MIN" )&amp;
IF(F8=0," M_0",IF(F9=0," M_L",""))),    ""),  ""),"")</calculatedColumnFormula>
    </tableColumn>
    <tableColumn id="16" xr3:uid="{00000000-0010-0000-0300-000010000000}" name="N{AXILES (kN)}N&lt;br&gt;" dataDxfId="20">
      <calculatedColumnFormula array="1">IF(INDIRECT("L_"&amp;MID($A8,1,2))&lt;&gt;0,IF(MID($A8,4,1)="i","N{"&amp;MID($A8,1,1)&amp;"}N ","")&amp;
            " "&amp;ABS(C8)&amp;" "&amp;
                IF(RIGHT($A8,1)="i",IFERROR(VLOOKUP(M8,'ENLACES DIAGRAMAS'!$B:$I,4,0),No_Diagrama),
                   IF(MID($A8,1,1)="M","N{"&amp;MID($A8,2,1)&amp;"}N&lt;br&gt;",IF(OR(MOD(COUNTA($A$8:$A8),4)=0,D9=""),      " N{"&amp;MID($A8,2,1)&amp;"}N&lt;br&gt;",""))),"")</calculatedColumnFormula>
    </tableColumn>
    <tableColumn id="17" xr3:uid="{00000000-0010-0000-0300-000011000000}" name="N{CORTANTES (kN)}N&lt;br&gt;" dataDxfId="19">
      <calculatedColumnFormula array="1">IF(INDIRECT("L_"&amp;MID($A8,1,2))&lt;&gt;0,IF(MID($A8,4,1)="i","N{"&amp;MID($A8,1,1)&amp;"}N ","")&amp;
            " "&amp;ABS(F8)&amp;" "&amp;
                IF(RIGHT($A8,1)="i",IFERROR(VLOOKUP(N8,'ENLACES DIAGRAMAS'!$B:$I,4,0),No_Diagrama),
                   IF(MID($A8,1,1)="M","N{"&amp;MID($A8,2,1)&amp;"}N &lt;br&gt;",IF(OR(MOD(COUNTA($A$8:$A8),4)=0,G9=""),      " N{"&amp;MID($A8,2,1)&amp;"}N &lt;br&gt;",""))),"")</calculatedColumnFormula>
    </tableColumn>
    <tableColumn id="18" xr3:uid="{00000000-0010-0000-0300-000012000000}" name="N{MOMENTOS FLECTORES (kNm)}N&lt;br&gt;" dataDxfId="18">
      <calculatedColumnFormula array="1">IF(INDIRECT("L_"&amp;MID($A8,1,2))&lt;&gt;0,IF(MID($A8,4,1)="i","N{"&amp;MID($A8,1,1)&amp;"}N ","")&amp;
            " "&amp;ABS(I8)&amp;" "&amp;
                IF(RIGHT($A8,1)="i",IFERROR(VLOOKUP(O8,'ENLACES DIAGRAMAS'!$B:$I,4,0),No_Diagrama),
                   IF(MID($A8,1,1)="M","N{"&amp;MID($A8,2,1)&amp;"}N &lt;br&gt;",IF(OR(MOD(COUNTA($A$8:$A8),4)=0,J9=""),      " "&amp;"N{"&amp;MID($A8,2,1)&amp;"}N &lt;br&gt;",""))),"")</calculatedColumnFormula>
    </tableColumn>
    <tableColumn id="19" xr3:uid="{00000000-0010-0000-0300-000013000000}" name="N" dataDxfId="17">
      <calculatedColumnFormula>IF(T_Resultados_FTP[[#This Row],[Codigo axil]]="","",ABS(T_Resultados_FTP[[#This Row],[Axiles]])&amp;" kN")</calculatedColumnFormula>
    </tableColumn>
    <tableColumn id="20" xr3:uid="{00000000-0010-0000-0300-000014000000}" name="V" dataDxfId="16">
      <calculatedColumnFormula>IF(T_Resultados_FTP[[#This Row],[Codigo Cortante]]="","",ABS(T_Resultados_FTP[[#This Row],[Cortantes]])&amp;" kN")</calculatedColumnFormula>
    </tableColumn>
    <tableColumn id="21" xr3:uid="{00000000-0010-0000-0300-000015000000}" name="M" dataDxfId="15">
      <calculatedColumnFormula>IF(T_Resultados_FTP[[#This Row],[Codigo Momentos]]="","",ABS(T_Resultados_FTP[[#This Row],[Momentos]])&amp;" kNm")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_DATOS_IMAGENES" displayName="T_DATOS_IMAGENES" ref="A1:E42" totalsRowShown="0" headerRowDxfId="6" dataDxfId="5">
  <autoFilter ref="A1:E42" xr:uid="{00000000-0009-0000-0100-000002000000}">
    <filterColumn colId="0">
      <customFilters>
        <customFilter operator="notEqual" val="*art*"/>
      </customFilters>
    </filterColumn>
  </autoFilter>
  <tableColumns count="5">
    <tableColumn id="1" xr3:uid="{00000000-0010-0000-0400-000001000000}" name="NOMBRE" dataDxfId="4"/>
    <tableColumn id="4" xr3:uid="{00000000-0010-0000-0400-000004000000}" name="Ancho" dataDxfId="3"/>
    <tableColumn id="5" xr3:uid="{00000000-0010-0000-0400-000005000000}" name="Alto" dataDxfId="2"/>
    <tableColumn id="3" xr3:uid="{00000000-0010-0000-0400-000003000000}" name="Enlace" dataDxfId="1">
      <calculatedColumnFormula>MID(#REF!,33,33)</calculatedColumnFormula>
    </tableColumn>
    <tableColumn id="6" xr3:uid="{00000000-0010-0000-0400-000006000000}" name="URL FTP" dataDxfId="0">
      <calculatedColumnFormula>URL_I&amp;T_DATOS_IMAGENES[[#This Row],[Enlace]]&amp;IF(T_DATOS_IMAGENES[[#This Row],[Ancho]]="","",URL_W&amp;T_DATOS_IMAGENES[[#This Row],[Ancho]])&amp;IF(T_DATOS_IMAGENES[[#This Row],[Alto]]="","",URL_ALTO&amp;T_DATOS_IMAGENES[[#This Row],[Alto]])&amp;URL_F</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youtu.be/V6cLircQdsI" TargetMode="External"/><Relationship Id="rId7" Type="http://schemas.openxmlformats.org/officeDocument/2006/relationships/drawing" Target="../drawings/drawing1.xml"/><Relationship Id="rId2" Type="http://schemas.openxmlformats.org/officeDocument/2006/relationships/hyperlink" Target="https://youtu.be/V6cLircQdsI" TargetMode="External"/><Relationship Id="rId1" Type="http://schemas.openxmlformats.org/officeDocument/2006/relationships/hyperlink" Target="https://www.youtube.com/watch?v=PV3VHzg7Q7A" TargetMode="External"/><Relationship Id="rId6" Type="http://schemas.openxmlformats.org/officeDocument/2006/relationships/printerSettings" Target="../printerSettings/printerSettings1.bin"/><Relationship Id="rId5" Type="http://schemas.openxmlformats.org/officeDocument/2006/relationships/hyperlink" Target="https://docs.google.com/spreadsheets/d/13DvMvhVkx12qg-r4tkzOiIfJDa5zrdOtAeIbpwYfeQk/edit?gid=738472719" TargetMode="External"/><Relationship Id="rId4" Type="http://schemas.openxmlformats.org/officeDocument/2006/relationships/hyperlink" Target="https://docs.google.com/spreadsheets/d/13DvMvhVkx12qg-r4tkzOiIfJDa5zrdOtAeIbpwYfeQk/edit?gid=738472719" TargetMode="Externa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a_Instrucciones">
    <tabColor rgb="FFFFFF00"/>
    <pageSetUpPr fitToPage="1"/>
  </sheetPr>
  <dimension ref="A1:E30"/>
  <sheetViews>
    <sheetView showGridLines="0" showRowColHeaders="0" tabSelected="1" zoomScale="139" zoomScaleNormal="139" zoomScaleSheetLayoutView="81" workbookViewId="0">
      <pane ySplit="1" topLeftCell="A2" activePane="bottomLeft" state="frozen"/>
      <selection pane="bottomLeft" activeCell="A2" sqref="A2:C2"/>
    </sheetView>
  </sheetViews>
  <sheetFormatPr baseColWidth="10" defaultColWidth="0" defaultRowHeight="14.45" customHeight="1" zeroHeight="1" outlineLevelRow="1"/>
  <cols>
    <col min="1" max="1" width="4" customWidth="1"/>
    <col min="2" max="2" width="88.3515625" customWidth="1"/>
    <col min="3" max="3" width="3.3515625" customWidth="1"/>
    <col min="4" max="4" width="1.41015625" hidden="1" customWidth="1"/>
    <col min="5" max="5" width="1.76171875" hidden="1" customWidth="1"/>
    <col min="6" max="16384" width="10.76171875" hidden="1"/>
  </cols>
  <sheetData>
    <row r="1" spans="1:4" ht="21" customHeight="1" thickBot="1">
      <c r="A1" s="321">
        <v>6</v>
      </c>
      <c r="B1" s="322" t="s">
        <v>781</v>
      </c>
      <c r="C1" s="323" t="s">
        <v>684</v>
      </c>
      <c r="D1" s="324"/>
    </row>
    <row r="2" spans="1:4" ht="14.7" thickTop="1">
      <c r="A2" s="531" t="s">
        <v>8</v>
      </c>
      <c r="B2" s="532"/>
      <c r="C2" s="533"/>
      <c r="D2" s="534"/>
    </row>
    <row r="3" spans="1:4" ht="28.7" outlineLevel="1">
      <c r="A3" s="325" t="s">
        <v>14</v>
      </c>
      <c r="B3" s="326" t="s">
        <v>685</v>
      </c>
      <c r="C3" s="537"/>
      <c r="D3" s="535"/>
    </row>
    <row r="4" spans="1:4" ht="71.7" outlineLevel="1">
      <c r="A4" s="325" t="s">
        <v>16</v>
      </c>
      <c r="B4" s="326" t="s">
        <v>780</v>
      </c>
      <c r="C4" s="537"/>
      <c r="D4" s="535"/>
    </row>
    <row r="5" spans="1:4" ht="71.7" outlineLevel="1">
      <c r="A5" s="325" t="s">
        <v>15</v>
      </c>
      <c r="B5" s="326" t="s">
        <v>763</v>
      </c>
      <c r="C5" s="537"/>
      <c r="D5" s="535"/>
    </row>
    <row r="6" spans="1:4" ht="43" outlineLevel="1">
      <c r="A6" s="325" t="s">
        <v>17</v>
      </c>
      <c r="B6" s="326" t="s">
        <v>686</v>
      </c>
      <c r="C6" s="537"/>
      <c r="D6" s="535"/>
    </row>
    <row r="7" spans="1:4" ht="344" outlineLevel="1">
      <c r="A7" s="325" t="s">
        <v>18</v>
      </c>
      <c r="B7" s="326" t="s">
        <v>774</v>
      </c>
      <c r="C7" s="537"/>
      <c r="D7" s="535"/>
    </row>
    <row r="8" spans="1:4" ht="57.35" outlineLevel="1">
      <c r="A8" s="325" t="s">
        <v>19</v>
      </c>
      <c r="B8" s="326" t="s">
        <v>761</v>
      </c>
      <c r="C8" s="537"/>
      <c r="D8" s="535"/>
    </row>
    <row r="9" spans="1:4" ht="43" outlineLevel="1">
      <c r="A9" s="325" t="s">
        <v>739</v>
      </c>
      <c r="B9" s="326" t="s">
        <v>687</v>
      </c>
      <c r="C9" s="537"/>
      <c r="D9" s="535"/>
    </row>
    <row r="10" spans="1:4" ht="57.35" outlineLevel="1">
      <c r="A10" s="325" t="s">
        <v>762</v>
      </c>
      <c r="B10" s="326" t="s">
        <v>688</v>
      </c>
      <c r="C10" s="537"/>
      <c r="D10" s="535"/>
    </row>
    <row r="11" spans="1:4" ht="9" customHeight="1" outlineLevel="1" thickBot="1">
      <c r="A11" s="327"/>
      <c r="B11" s="326"/>
      <c r="C11" s="538"/>
      <c r="D11" s="536"/>
    </row>
    <row r="12" spans="1:4" ht="14.7" thickTop="1">
      <c r="A12" s="539" t="s">
        <v>689</v>
      </c>
      <c r="B12" s="540"/>
      <c r="C12" s="541"/>
      <c r="D12" s="542"/>
    </row>
    <row r="13" spans="1:4" ht="14.35" outlineLevel="1">
      <c r="A13" s="325" t="s">
        <v>20</v>
      </c>
      <c r="B13" s="326" t="s">
        <v>690</v>
      </c>
      <c r="C13" s="537"/>
      <c r="D13" s="535"/>
    </row>
    <row r="14" spans="1:4" ht="43.1" customHeight="1" outlineLevel="1">
      <c r="A14" s="325" t="s">
        <v>21</v>
      </c>
      <c r="B14" s="326" t="s">
        <v>691</v>
      </c>
      <c r="C14" s="537"/>
      <c r="D14" s="535"/>
    </row>
    <row r="15" spans="1:4" ht="43" outlineLevel="1">
      <c r="A15" s="325" t="s">
        <v>22</v>
      </c>
      <c r="B15" s="326" t="s">
        <v>692</v>
      </c>
      <c r="C15" s="537"/>
      <c r="D15" s="535"/>
    </row>
    <row r="16" spans="1:4" ht="43" outlineLevel="1">
      <c r="A16" s="325" t="s">
        <v>693</v>
      </c>
      <c r="B16" s="326" t="s">
        <v>694</v>
      </c>
      <c r="C16" s="537"/>
      <c r="D16" s="535"/>
    </row>
    <row r="17" spans="1:4" ht="71.7" outlineLevel="1">
      <c r="A17" s="325" t="s">
        <v>695</v>
      </c>
      <c r="B17" s="326" t="s">
        <v>737</v>
      </c>
      <c r="C17" s="537"/>
      <c r="D17" s="535"/>
    </row>
    <row r="18" spans="1:4" ht="28.7" outlineLevel="1">
      <c r="A18" s="325" t="s">
        <v>696</v>
      </c>
      <c r="B18" s="326" t="s">
        <v>697</v>
      </c>
      <c r="C18" s="537"/>
      <c r="D18" s="535"/>
    </row>
    <row r="19" spans="1:4" ht="43" outlineLevel="1">
      <c r="A19" s="325" t="s">
        <v>698</v>
      </c>
      <c r="B19" s="326" t="s">
        <v>776</v>
      </c>
      <c r="C19" s="537"/>
      <c r="D19" s="535"/>
    </row>
    <row r="20" spans="1:4" ht="14.35" outlineLevel="1">
      <c r="A20" s="325"/>
      <c r="B20" s="328" t="s">
        <v>779</v>
      </c>
      <c r="C20" s="537"/>
      <c r="D20" s="535"/>
    </row>
    <row r="21" spans="1:4" ht="14.35" outlineLevel="1">
      <c r="A21" s="325"/>
      <c r="B21" s="329" t="s">
        <v>777</v>
      </c>
      <c r="C21" s="537"/>
      <c r="D21" s="535"/>
    </row>
    <row r="22" spans="1:4" ht="14.35" outlineLevel="1">
      <c r="A22" s="325"/>
      <c r="B22" s="329" t="s">
        <v>775</v>
      </c>
      <c r="C22" s="537"/>
      <c r="D22" s="535"/>
    </row>
    <row r="23" spans="1:4" ht="14.7" outlineLevel="1" thickBot="1">
      <c r="A23" s="325"/>
      <c r="B23" s="329" t="s">
        <v>778</v>
      </c>
      <c r="C23" s="537"/>
      <c r="D23" s="536"/>
    </row>
    <row r="24" spans="1:4" ht="14.7" thickTop="1">
      <c r="A24" s="543" t="s">
        <v>699</v>
      </c>
      <c r="B24" s="544"/>
      <c r="C24" s="545"/>
      <c r="D24" s="542"/>
    </row>
    <row r="25" spans="1:4" ht="14.35" outlineLevel="1">
      <c r="A25" s="330" t="s">
        <v>23</v>
      </c>
      <c r="B25" s="331" t="s">
        <v>700</v>
      </c>
      <c r="C25" s="547"/>
      <c r="D25" s="535"/>
    </row>
    <row r="26" spans="1:4" ht="14.35" outlineLevel="1">
      <c r="A26" s="330" t="s">
        <v>24</v>
      </c>
      <c r="B26" s="331" t="s">
        <v>701</v>
      </c>
      <c r="C26" s="547"/>
      <c r="D26" s="535"/>
    </row>
    <row r="27" spans="1:4" ht="43" outlineLevel="1">
      <c r="A27" s="330" t="s">
        <v>25</v>
      </c>
      <c r="B27" s="331" t="s">
        <v>702</v>
      </c>
      <c r="C27" s="547"/>
      <c r="D27" s="535"/>
    </row>
    <row r="28" spans="1:4" ht="72" outlineLevel="1" thickBot="1">
      <c r="A28" s="332" t="s">
        <v>26</v>
      </c>
      <c r="B28" s="333" t="s">
        <v>703</v>
      </c>
      <c r="C28" s="548"/>
      <c r="D28" s="546"/>
    </row>
    <row r="29" spans="1:4" ht="15" customHeight="1" thickTop="1">
      <c r="A29" s="549" t="s">
        <v>704</v>
      </c>
      <c r="B29" s="550"/>
      <c r="C29" s="550"/>
      <c r="D29" s="334"/>
    </row>
    <row r="30" spans="1:4" ht="14.35" hidden="1">
      <c r="A30" s="551"/>
      <c r="B30" s="551"/>
      <c r="C30" s="551"/>
      <c r="D30" s="551"/>
    </row>
  </sheetData>
  <sheetProtection algorithmName="SHA-512" hashValue="LGitCNtdulJGibsn7nss1zg+WSP5vyw2WQkAWYNa4JQr1Uk7GO4n2vwybMFtfYc4r6HEKyO9+ayT35O8sWF+gQ==" saltValue="Iokd+BHX6FdurszNC5RUsw==" spinCount="100000" sheet="1" objects="1" scenarios="1" formatRows="0" selectLockedCells="1"/>
  <dataConsolidate/>
  <mergeCells count="11">
    <mergeCell ref="A24:C24"/>
    <mergeCell ref="D24:D28"/>
    <mergeCell ref="C25:C28"/>
    <mergeCell ref="A29:C29"/>
    <mergeCell ref="A30:D30"/>
    <mergeCell ref="A2:C2"/>
    <mergeCell ref="D2:D11"/>
    <mergeCell ref="C3:C11"/>
    <mergeCell ref="A12:C12"/>
    <mergeCell ref="D12:D23"/>
    <mergeCell ref="C13:C23"/>
  </mergeCells>
  <hyperlinks>
    <hyperlink ref="A2:C2" r:id="rId1" display="1. PROBLEMA" xr:uid="{00000000-0004-0000-0000-000000000000}"/>
    <hyperlink ref="A12:C12" r:id="rId2" display="4. RESULTADOS - FTP (oculta, para preparar problemas para Moodle con FastTest PlugIn)" xr:uid="{00000000-0004-0000-0000-000001000000}"/>
    <hyperlink ref="A24:C24" r:id="rId3" display="4. RESULTADOS - FTP (oculta, para preparar problemas para Moodle con FastTest PlugIn)" xr:uid="{00000000-0004-0000-0000-000002000000}"/>
    <hyperlink ref="B1" r:id="rId4" location="gid=738472719" display="INSTRUCCIONES PARA GENERAR PROBLEMAS DE CERCHAS TIPO 1" xr:uid="{00000000-0004-0000-0000-000003000000}"/>
    <hyperlink ref="C1" r:id="rId5" location="gid=738472719" tooltip="INDICE VIDEOS" xr:uid="{00000000-0004-0000-0000-000004000000}"/>
  </hyperlinks>
  <printOptions horizontalCentered="1"/>
  <pageMargins left="0.23622047244094491" right="0.23622047244094491" top="0.23622047244094491" bottom="0.47244094488188981" header="0.11811023622047245" footer="0.31496062992125984"/>
  <pageSetup paperSize="9" scale="95" orientation="portrait" horizontalDpi="4294967295" verticalDpi="4294967295" r:id="rId6"/>
  <headerFooter>
    <oddFooter>&amp;CElaborado por Milagros Huerta GM (UCA)&amp;R&amp;P / &amp;N</oddFooter>
  </headerFooter>
  <drawing r:id="rId7"/>
  <legacyDrawing r:id="rId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_Problema">
    <tabColor theme="4" tint="-0.249977111117893"/>
  </sheetPr>
  <dimension ref="A1:ZZ100"/>
  <sheetViews>
    <sheetView showGridLines="0" showRowColHeaders="0" zoomScaleNormal="100" workbookViewId="0">
      <pane xSplit="27" ySplit="7" topLeftCell="AB8" activePane="bottomRight" state="frozen"/>
      <selection pane="topRight" activeCell="AB1" sqref="AB1"/>
      <selection pane="bottomLeft" activeCell="A8" sqref="A8"/>
      <selection pane="bottomRight" activeCell="W5" sqref="W5:Z5"/>
    </sheetView>
  </sheetViews>
  <sheetFormatPr baseColWidth="10" defaultColWidth="0" defaultRowHeight="14.35" outlineLevelRow="2" outlineLevelCol="1"/>
  <cols>
    <col min="1" max="1" width="1.64453125" customWidth="1"/>
    <col min="2" max="18" width="4.64453125" customWidth="1"/>
    <col min="19" max="20" width="4.234375" customWidth="1"/>
    <col min="21" max="21" width="1.64453125" customWidth="1"/>
    <col min="22" max="22" width="14.1171875" customWidth="1"/>
    <col min="23" max="23" width="7.64453125" customWidth="1"/>
    <col min="24" max="24" width="10.64453125" customWidth="1"/>
    <col min="25" max="25" width="8.52734375" customWidth="1"/>
    <col min="26" max="26" width="6.76171875" customWidth="1"/>
    <col min="27" max="27" width="3.1171875" hidden="1" customWidth="1" outlineLevel="1"/>
    <col min="28" max="32" width="5.76171875" hidden="1" customWidth="1" outlineLevel="1"/>
    <col min="33" max="33" width="3.52734375" hidden="1" customWidth="1" outlineLevel="1"/>
    <col min="34" max="34" width="7.3515625" hidden="1" customWidth="1" outlineLevel="1"/>
    <col min="35" max="35" width="7.87890625" hidden="1" customWidth="1" outlineLevel="1"/>
    <col min="36" max="36" width="5.52734375" hidden="1" customWidth="1" outlineLevel="1"/>
    <col min="37" max="37" width="7.3515625" hidden="1" customWidth="1" outlineLevel="1"/>
    <col min="38" max="38" width="7.87890625" hidden="1" customWidth="1" outlineLevel="1"/>
    <col min="39" max="39" width="4.76171875" hidden="1" customWidth="1" outlineLevel="1"/>
    <col min="40" max="40" width="7.3515625" hidden="1" customWidth="1" outlineLevel="1"/>
    <col min="41" max="41" width="7.87890625" hidden="1" customWidth="1" outlineLevel="1"/>
    <col min="42" max="42" width="4.76171875" hidden="1" customWidth="1" outlineLevel="1"/>
    <col min="43" max="43" width="7.3515625" hidden="1" customWidth="1" outlineLevel="1"/>
    <col min="44" max="44" width="7.87890625" hidden="1" customWidth="1" outlineLevel="1"/>
    <col min="45" max="45" width="4.76171875" hidden="1" customWidth="1" outlineLevel="1"/>
    <col min="46" max="46" width="6" hidden="1" customWidth="1" outlineLevel="1"/>
    <col min="47" max="47" width="10.76171875" hidden="1" customWidth="1" outlineLevel="1"/>
    <col min="48" max="48" width="3.64453125" hidden="1" customWidth="1" outlineLevel="1"/>
    <col min="49" max="49" width="2.64453125" customWidth="1" collapsed="1"/>
    <col min="50" max="50" width="10.76171875" customWidth="1"/>
    <col min="51" max="51" width="3.64453125" customWidth="1"/>
    <col min="52" max="52" width="7.64453125" customWidth="1"/>
    <col min="53" max="53" width="10.76171875" customWidth="1"/>
    <col min="54" max="54" width="2.64453125" customWidth="1"/>
    <col min="55" max="73" width="5.64453125" customWidth="1"/>
    <col min="74" max="702" width="2.64453125" hidden="1" customWidth="1"/>
    <col min="703" max="16384" width="10.76171875" hidden="1"/>
  </cols>
  <sheetData>
    <row r="1" spans="1:50" ht="15" thickTop="1" thickBot="1">
      <c r="B1" s="594" t="str">
        <f ca="1">IFERROR(IF(D_Fijos=_OK,TEXT(VLOOKUP(Nombre_Datos_Fijos,T_D_FIJOS[[NOMBRE]:[CONCAT]],COLUMN(T_D_FIJOS[[#Headers],[N_Pb]])-1,0),REPT("0",LEN(D_Imprimir)))&amp;" - "&amp;Nombre_Datos_Fijos,"Aleatorio - "&amp;Nombre_Datos_Variables),"ALGUN ERROR")</f>
        <v xml:space="preserve"> - Portico-TODO-Inclinado: 26,94 m; 3 Pv; 3 Ph; 4 M; 3 q (-305)</v>
      </c>
      <c r="C1" s="594"/>
      <c r="D1" s="594"/>
      <c r="E1" s="594"/>
      <c r="F1" s="594"/>
      <c r="G1" s="594"/>
      <c r="H1" s="594"/>
      <c r="I1" s="594"/>
      <c r="J1" s="594"/>
      <c r="K1" s="594"/>
      <c r="L1" s="594"/>
      <c r="M1" s="594"/>
      <c r="N1" s="594"/>
      <c r="O1" s="594"/>
      <c r="P1" s="594"/>
      <c r="Q1" s="594"/>
      <c r="R1" s="594"/>
      <c r="S1" s="573" t="s">
        <v>765</v>
      </c>
      <c r="T1" s="573"/>
      <c r="V1" s="18" t="s">
        <v>552</v>
      </c>
      <c r="W1" s="514" t="s">
        <v>741</v>
      </c>
      <c r="X1" s="515" t="s">
        <v>438</v>
      </c>
    </row>
    <row r="2" spans="1:50" ht="223.95" hidden="1" customHeight="1" outlineLevel="1" thickTop="1" thickBot="1">
      <c r="A2" s="562"/>
      <c r="B2" s="601" t="str" cm="1">
        <f t="array" aca="1" ref="B2" ca="1">"De la estructura de la figura (no está a escala), que tiene un "&amp;OCULTOS!W2&amp;OCULTOS!W3&amp;OCULTOS!W4&amp;", tenemos los siguientes datos:"&amp;Salto&amp;"
- COTAS: "&amp;Longitudes&amp;IF(AND(alfa_C&lt;&gt;90,alfa_C&lt;&gt;0),Salto&amp;"
El ángulo α= "&amp;ROUND(alfa_C,1)&amp;"º","")&amp;IF(Fuerzas_Verticales="","",Salto&amp;"
- Fuerzas Verticales: "&amp;Salto&amp;Tab_4&amp;Fuerzas_Verticales)&amp;IF(Fuerzas_Horizontales="","",Salto&amp;"
- Fuerzas Horizontales: "&amp;Salto&amp;Tab_4&amp;Fuerzas_Horizontales)&amp;IF(Momentos_z="","",Salto&amp;"
- Momentos: "&amp;Salto&amp;Tab_4&amp;Momentos_z)&amp;IF(Cargas_Uniformes="","",Salto&amp;"
- Cargas distribuidas en Barras: "&amp;IF(Cargas_Uniformes_h&lt;&gt;"",Salto&amp;"
Horizontales: "&amp;Salto&amp;Tab_4&amp;Cargas_Uniformes_h,"")&amp;IF(Cargas_Uniformes_v&lt;&gt;"",Salto&amp;"
Verticales: "&amp;Salto&amp;Tab_4&amp;Cargas_Uniformes_v,"")&amp;IF(OR(alfa_C=0,alfa_C=90,AND(q_CE=0,q_CD=0,q_DE=0)),"",Salto&amp;"
Nota: Considerar la carga de la barra inclinada sobre la "&amp;
IF(q_1Barra_Inclinada=_NO,"cota "&amp;IF(OCULTOS!I16="CE = ",IF(OCULTOS!I17="","vertical","horizontal/vertical"),"horizontal"),"longitud total")&amp;" de la barra"&amp;IF(Salto="","."," (ver figura)."&amp;Salto&amp;Img_Barra&amp;Salto&amp;"
Y Tener en cuenta que el N{nudo inicial}N de cada barra se representa por la letra N{i}N y el N{final}N por la N{j}N.")&amp;Salto)&amp;"
Se pide calcular:")</f>
        <v xml:space="preserve">De la estructura de la figura (no está a escala), que tiene un , tenemos los siguientes datos:&lt;br&gt;
- COTAS:  </v>
      </c>
      <c r="C2" s="601"/>
      <c r="D2" s="601"/>
      <c r="E2" s="601"/>
      <c r="F2" s="601"/>
      <c r="G2" s="601"/>
      <c r="H2" s="601"/>
      <c r="I2" s="601"/>
      <c r="J2" s="601"/>
      <c r="K2" s="601"/>
      <c r="L2" s="601"/>
      <c r="M2" s="601"/>
      <c r="N2" s="601"/>
      <c r="O2" s="601"/>
      <c r="P2" s="601"/>
      <c r="Q2" s="601"/>
      <c r="R2" s="601"/>
      <c r="S2" s="601"/>
      <c r="T2" s="601"/>
      <c r="U2" s="562"/>
      <c r="V2" s="335" t="s">
        <v>439</v>
      </c>
      <c r="W2" s="510" t="s">
        <v>29</v>
      </c>
      <c r="X2" s="603" t="str">
        <f ca="1">IF(OR(Dato_FTP=_NO,AND(N_Preg_FTP=0,N_Preg_FTP_Inicial&lt;&gt;0),Nombre_FTP=""),"Para exportar las preguntas Moodle, debes abrir el archivo FastTest PlugIn y poner bien el nombre en la celda de abajo (nombre del archivo que estés usando de FTP).","")</f>
        <v/>
      </c>
      <c r="Y2" s="603"/>
      <c r="Z2" s="603"/>
    </row>
    <row r="3" spans="1:50" ht="14.45" customHeight="1" collapsed="1" thickTop="1" thickBot="1">
      <c r="A3" s="562"/>
      <c r="B3" s="601"/>
      <c r="C3" s="601"/>
      <c r="D3" s="601"/>
      <c r="E3" s="601"/>
      <c r="F3" s="601"/>
      <c r="G3" s="601"/>
      <c r="H3" s="601"/>
      <c r="I3" s="601"/>
      <c r="J3" s="601"/>
      <c r="K3" s="601"/>
      <c r="L3" s="601"/>
      <c r="M3" s="601"/>
      <c r="N3" s="601"/>
      <c r="O3" s="601"/>
      <c r="P3" s="601"/>
      <c r="Q3" s="601"/>
      <c r="R3" s="601"/>
      <c r="S3" s="601"/>
      <c r="T3" s="601"/>
      <c r="U3" s="562"/>
      <c r="V3" s="519" t="s">
        <v>440</v>
      </c>
      <c r="W3" s="511" t="s">
        <v>29</v>
      </c>
      <c r="X3" s="605" t="s">
        <v>705</v>
      </c>
      <c r="Y3" s="605"/>
      <c r="Z3" s="605"/>
      <c r="AB3" s="604" t="s">
        <v>773</v>
      </c>
      <c r="AC3" s="604"/>
      <c r="AD3" s="345" t="str">
        <f ca="1">IF(D_Fijos=_OK,Nombre_Datos_Fijos,Nombre_Datos_Variables)</f>
        <v>Portico-TODO-Inclinado: 26,94 m; 3 Pv; 3 Ph; 4 M; 3 q (-305)</v>
      </c>
    </row>
    <row r="4" spans="1:50" ht="14.45" customHeight="1" outlineLevel="2" thickTop="1" thickBot="1">
      <c r="A4" s="562"/>
      <c r="B4" s="602" t="s">
        <v>715</v>
      </c>
      <c r="C4" s="602"/>
      <c r="D4" s="602"/>
      <c r="E4" s="602"/>
      <c r="F4" s="602"/>
      <c r="G4" s="602"/>
      <c r="H4" s="602"/>
      <c r="I4" s="602"/>
      <c r="J4" s="602"/>
      <c r="K4" s="602"/>
      <c r="L4" s="602"/>
      <c r="M4" s="602"/>
      <c r="N4" s="602"/>
      <c r="O4" s="602"/>
      <c r="P4" s="602"/>
      <c r="Q4" s="602"/>
      <c r="R4" s="602"/>
      <c r="S4" s="602"/>
      <c r="T4" s="602"/>
      <c r="U4" s="562"/>
      <c r="V4" s="519" t="s">
        <v>442</v>
      </c>
      <c r="W4" s="512" t="s">
        <v>29</v>
      </c>
      <c r="X4" s="605"/>
      <c r="Y4" s="605"/>
      <c r="Z4" s="605"/>
      <c r="AB4" s="604" t="s">
        <v>772</v>
      </c>
      <c r="AC4" s="604"/>
      <c r="AD4" s="345" t="str" cm="1">
        <f t="array" aca="1" ref="AD4" ca="1">IFERROR(IF(N_Preg_FTP_Inicial&gt;N_Preg_FTP,"",
  INDEX(T_D_FIJOS[NOMBRE],N_Preg_FTP-N_Preg_FTP_Inicial+N_Ini_D_FIjos)),"")
&amp;TEXT(N("Esta fórmula es para que se incremente el valor, según se van guardando preguntas en FTP"),"")</f>
        <v>Pilar-Empotrado-Libre: 4,5 m; 1 Pv; 1 M; 3 q (470)</v>
      </c>
      <c r="AE4" s="345"/>
      <c r="AF4" s="345"/>
    </row>
    <row r="5" spans="1:50" ht="28.35" customHeight="1" outlineLevel="2" thickTop="1" thickBot="1">
      <c r="A5" s="562"/>
      <c r="B5" s="602" t="s">
        <v>744</v>
      </c>
      <c r="C5" s="602"/>
      <c r="D5" s="602"/>
      <c r="E5" s="602"/>
      <c r="F5" s="602"/>
      <c r="G5" s="602"/>
      <c r="H5" s="602"/>
      <c r="I5" s="602"/>
      <c r="J5" s="602"/>
      <c r="K5" s="602"/>
      <c r="L5" s="602"/>
      <c r="M5" s="602"/>
      <c r="N5" s="602"/>
      <c r="O5" s="602"/>
      <c r="P5" s="602"/>
      <c r="Q5" s="602"/>
      <c r="R5" s="602"/>
      <c r="S5" s="602"/>
      <c r="T5" s="602"/>
      <c r="U5" s="562"/>
      <c r="V5" s="519" t="str">
        <f>IF(D_Fijos=_OK,"Lista D. FIJOS","Tipo Estructura")</f>
        <v>Lista D. FIJOS</v>
      </c>
      <c r="W5" s="624" t="s">
        <v>799</v>
      </c>
      <c r="X5" s="625"/>
      <c r="Y5" s="625"/>
      <c r="Z5" s="626"/>
      <c r="AB5" s="604" t="s">
        <v>767</v>
      </c>
      <c r="AC5" s="604"/>
      <c r="AD5" s="345" t="str">
        <f>IFERROR( VLOOKUP(Nombre_Lista,T_D_FIJOS[[NOMBRE]:[Nombre IMAGEN]],81,0), Tipo_Estructura)</f>
        <v>Portico-TODO-Inclinado</v>
      </c>
    </row>
    <row r="6" spans="1:50" ht="30" customHeight="1" outlineLevel="2" thickTop="1" thickBot="1">
      <c r="A6" s="562"/>
      <c r="B6" s="602" t="s">
        <v>745</v>
      </c>
      <c r="C6" s="602"/>
      <c r="D6" s="602"/>
      <c r="E6" s="602"/>
      <c r="F6" s="602"/>
      <c r="G6" s="602"/>
      <c r="H6" s="602"/>
      <c r="I6" s="602"/>
      <c r="J6" s="602"/>
      <c r="K6" s="602"/>
      <c r="L6" s="602"/>
      <c r="M6" s="602"/>
      <c r="N6" s="602"/>
      <c r="O6" s="602"/>
      <c r="P6" s="602"/>
      <c r="Q6" s="602"/>
      <c r="R6" s="602"/>
      <c r="S6" s="602"/>
      <c r="T6" s="602"/>
      <c r="U6" s="562"/>
      <c r="V6" s="520" t="s">
        <v>441</v>
      </c>
      <c r="W6" s="511" t="s">
        <v>27</v>
      </c>
      <c r="X6" s="629" t="s">
        <v>771</v>
      </c>
      <c r="Y6" s="630"/>
      <c r="Z6" s="513">
        <v>1</v>
      </c>
      <c r="AA6" s="19"/>
      <c r="AB6" s="604" t="s">
        <v>769</v>
      </c>
      <c r="AC6" s="604"/>
      <c r="AD6" s="345" t="str" cm="1">
        <f t="array" aca="1" ref="AD6" ca="1">IFERROR(VLOOKUP(Nombre_Lista,T_D_FIJOS[NOMBRE],1,0),INDIRECT("'DATOS FIJOS'!B5"))</f>
        <v>Portico-TODO-Inclinado: 26,94 m; 3 Pv; 3 Ph; 4 M; 3 q (-305)</v>
      </c>
    </row>
    <row r="7" spans="1:50" ht="30" customHeight="1" outlineLevel="2" thickTop="1" thickBot="1">
      <c r="A7" s="562"/>
      <c r="B7" s="602" t="s">
        <v>746</v>
      </c>
      <c r="C7" s="602"/>
      <c r="D7" s="602"/>
      <c r="E7" s="602"/>
      <c r="F7" s="602"/>
      <c r="G7" s="602"/>
      <c r="H7" s="602"/>
      <c r="I7" s="602"/>
      <c r="J7" s="602"/>
      <c r="K7" s="602"/>
      <c r="L7" s="602"/>
      <c r="M7" s="602"/>
      <c r="N7" s="602"/>
      <c r="O7" s="602"/>
      <c r="P7" s="602"/>
      <c r="Q7" s="602"/>
      <c r="R7" s="602"/>
      <c r="S7" s="602"/>
      <c r="T7" s="602"/>
      <c r="U7" s="562"/>
      <c r="V7" s="520" t="s">
        <v>443</v>
      </c>
      <c r="W7" s="511"/>
      <c r="X7" s="606" cm="1">
        <f t="array" aca="1" ref="X7" ca="1">IFERROR(INDIRECT("'["&amp;Nombre_FTP&amp;".xlsm]Datos CL'!H1"),0)</f>
        <v>0</v>
      </c>
      <c r="Y7" s="607"/>
      <c r="Z7" s="608"/>
      <c r="AB7" s="604" t="s">
        <v>768</v>
      </c>
      <c r="AC7" s="604"/>
      <c r="AD7" s="345" t="str">
        <f>IFERROR(IF(D_Fijos=_NO,VLOOKUP(Nombre_Lista,T_D_VAR[Tipo Figura],1,0),'DATOS VARIABLES'!A5),'DATOS VARIABLES'!A5)</f>
        <v>Pilar-Empotrado-Libre</v>
      </c>
    </row>
    <row r="8" spans="1:50" ht="30" customHeight="1" thickTop="1" thickBot="1">
      <c r="B8" s="562" t="str">
        <f>IF(Salto="","",Imagen_FTP)</f>
        <v>&lt;img src="https://i.ibb.co/kysZMp4/Portico-TODO-Inclinado.png" height="200"&gt;</v>
      </c>
      <c r="C8" s="562"/>
      <c r="D8" s="562"/>
      <c r="E8" s="562"/>
      <c r="F8" s="562"/>
      <c r="G8" s="562"/>
      <c r="H8" s="562"/>
      <c r="I8" s="562"/>
      <c r="J8" s="562"/>
      <c r="K8" s="562"/>
      <c r="L8" s="562"/>
      <c r="M8" s="562"/>
      <c r="N8" s="562"/>
      <c r="O8" s="562"/>
      <c r="P8" s="562"/>
      <c r="Q8" s="562"/>
      <c r="R8" s="562"/>
      <c r="S8" s="562"/>
      <c r="T8" s="562"/>
      <c r="V8" s="519" t="s">
        <v>740</v>
      </c>
      <c r="W8" s="511" t="s">
        <v>29</v>
      </c>
      <c r="X8" s="628"/>
      <c r="Y8" s="609"/>
      <c r="Z8" s="609"/>
      <c r="AB8" s="604" t="s">
        <v>770</v>
      </c>
      <c r="AC8" s="604"/>
      <c r="AD8" s="345" t="str">
        <f ca="1">IFERROR(VLOOKUP(Tipo_Estructura,T_D_VAR[[Tipo Figura]:[NOMBRE]],2,0),'DATOS VARIABLES'!B5)</f>
        <v>Pilar-Empotrado-Libre: 4,5 m; 1 Pv; 1 Ph; 2 q (-520)</v>
      </c>
      <c r="AE8" s="345"/>
      <c r="AF8" s="345"/>
      <c r="AW8" s="359"/>
      <c r="AX8" s="16"/>
    </row>
    <row r="9" spans="1:50" ht="30" customHeight="1" thickTop="1" thickBot="1">
      <c r="B9" s="593" t="str">
        <f ca="1">IFERROR(IF(SUM(D34:D61,I34:I61,N34:N61)=0,"DIAGRAMAS SOLO VISIBLES PARA VERSIONES DE Excel "&amp;V_Excel&amp;".
LOS DIAGRAMAS SÍ SE EXPORTAN A MOODLE",""),"")</f>
        <v>DIAGRAMAS SOLO VISIBLES PARA VERSIONES DE Excel V2021 o POSTERIOR.
LOS DIAGRAMAS SÍ SE EXPORTAN A MOODLE</v>
      </c>
      <c r="C9" s="593"/>
      <c r="D9" s="593"/>
      <c r="E9" s="593"/>
      <c r="F9" s="593"/>
      <c r="G9" s="593"/>
      <c r="H9" s="593"/>
      <c r="I9" s="593"/>
      <c r="J9" s="593"/>
      <c r="K9" s="593"/>
      <c r="L9" s="593"/>
      <c r="M9" s="593"/>
      <c r="N9" s="593"/>
      <c r="O9" s="593"/>
      <c r="P9" s="593"/>
      <c r="Q9" s="593"/>
      <c r="R9" s="593"/>
      <c r="S9" s="593"/>
      <c r="T9" s="593"/>
      <c r="V9" s="519" t="s">
        <v>742</v>
      </c>
      <c r="W9" s="511" t="s">
        <v>29</v>
      </c>
      <c r="X9" s="609"/>
      <c r="Y9" s="609"/>
      <c r="Z9" s="609"/>
      <c r="AA9" s="453"/>
      <c r="AB9" s="453"/>
    </row>
    <row r="10" spans="1:50" ht="30" customHeight="1" thickTop="1" thickBot="1">
      <c r="B10" s="627" t="str">
        <f ca="1" xml:space="preserve"> IFERROR(IF(AND(D_Fijos=_OK,IFERROR(_xlfn.FORMULATEXT(Nombre_Lista),"")="=Dato_FTP"),
            "EXPORTAR PROBLEMAS DE HOJA -- DATOS FIJOS -- A PATIR DEL PROBLEMA: "&amp;N_Preg_FTP-N_Preg_FTP_Inicial+ N_Ini_D_FIjos,
  IF(OR(AND(Nombre_Lista&lt;&gt;Nombre_Datos_Fijos,D_Fijos=_OK,COUNTA(T_D_FIJOS[NOMBRE])&gt;0),AND(Nombre_Lista&lt;&gt;Tipo_Estructura,D_Fijos=_NO)),
            "DEBES SELECCIONAR UNA ESTRUCTURA CORRECTA DE LA LISTA: 
"&amp;IF(D_Fijos=_OK,"DATOS FIJOS","TIPO DE ESTRUCTURA"),
    IF(AND(COUNTA(T_D_FIJOS[NOMBRE])=0,D_Fijos=_OK),"NO HAY DATOS EN LA HOJA DATOS FIJOS",
  IF(AND(D_Fijos=_OK,Nombre_Lista=Nombre_Datos_Fijos),MID(Nombre_Datos_Fijos,1,SEARCH(":",Nombre_Datos_Fijos,1))&amp;"
"&amp;MID(Nombre_Datos_Fijos,SEARCH(":",Nombre_Datos_Fijos,1)+1,100),
  IF(D_Fijos=_NO,Tipo_Estructura,""))))),"NO HAY DATOS EN LA HOJA DATOS FIJOS")</f>
        <v>Portico-TODO-Inclinado:
 26,94 m; 3 Pv; 3 Ph; 4 M; 3 q (-305)</v>
      </c>
      <c r="C10" s="627"/>
      <c r="D10" s="627"/>
      <c r="E10" s="627"/>
      <c r="F10" s="627"/>
      <c r="G10" s="627"/>
      <c r="H10" s="627"/>
      <c r="I10" s="627"/>
      <c r="J10" s="627"/>
      <c r="K10" s="627"/>
      <c r="L10" s="627"/>
      <c r="M10" s="627"/>
      <c r="N10" s="627"/>
      <c r="O10" s="627"/>
      <c r="P10" s="627"/>
      <c r="Q10" s="627"/>
      <c r="R10" s="627"/>
      <c r="S10" s="627"/>
      <c r="T10" s="627"/>
      <c r="V10" s="518" t="s">
        <v>743</v>
      </c>
      <c r="W10" s="511" t="s">
        <v>29</v>
      </c>
      <c r="X10" s="609"/>
      <c r="Y10" s="609"/>
      <c r="Z10" s="609"/>
      <c r="AA10" s="452"/>
      <c r="AB10" s="452"/>
    </row>
    <row r="11" spans="1:50" ht="34.1" customHeight="1" thickTop="1" thickBot="1">
      <c r="B11" s="627"/>
      <c r="C11" s="627"/>
      <c r="D11" s="627"/>
      <c r="E11" s="627"/>
      <c r="F11" s="627"/>
      <c r="G11" s="627"/>
      <c r="H11" s="627"/>
      <c r="I11" s="627"/>
      <c r="J11" s="627"/>
      <c r="K11" s="627"/>
      <c r="L11" s="627"/>
      <c r="M11" s="627"/>
      <c r="N11" s="627"/>
      <c r="O11" s="627"/>
      <c r="P11" s="627"/>
      <c r="Q11" s="627"/>
      <c r="R11" s="627"/>
      <c r="S11" s="627"/>
      <c r="T11" s="627"/>
      <c r="V11" s="517" t="s">
        <v>766</v>
      </c>
      <c r="W11" s="513">
        <v>1</v>
      </c>
      <c r="X11" s="609"/>
      <c r="Y11" s="609"/>
      <c r="Z11" s="609"/>
    </row>
    <row r="12" spans="1:50" ht="15" thickTop="1" thickBot="1">
      <c r="V12" s="516" t="s">
        <v>451</v>
      </c>
      <c r="W12" s="521" t="str">
        <f>IFERROR(IF(D_Fijos=_OK,"",VLOOKUP(Nombre_Datos_Variables,T_D_VAR[[#All],[NOMBRE]:[q_MO]],HLOOKUP("Ap_1",'DATOS VARIABLES'!$1:$2,2,0),0)),"")</f>
        <v/>
      </c>
      <c r="X12" s="521" t="str">
        <f>IFERROR(IF(D_Fijos=_OK,"",VLOOKUP(Nombre_Datos_Variables,T_D_VAR[[#All],[NOMBRE]:[q_MO]],HLOOKUP("Ap_2",'DATOS VARIABLES'!$1:$2,2,0),0)),"")</f>
        <v/>
      </c>
      <c r="Y12" s="522" t="str">
        <f ca="1">IFERROR(VLOOKUP(Nombre_Datos_Variables,T_D_VAR[[#All],[NOMBRE]:[q_MO]],HLOOKUP("Tipo_Ap",'DATOS VARIABLES'!$1:$2,2,0),0),"")</f>
        <v/>
      </c>
    </row>
    <row r="13" spans="1:50" ht="14.7" outlineLevel="1" thickTop="1">
      <c r="B13" s="600"/>
      <c r="C13" s="600"/>
      <c r="D13" s="600"/>
      <c r="E13" s="600"/>
      <c r="F13" s="600"/>
      <c r="G13" s="600"/>
      <c r="H13" s="600"/>
      <c r="I13" s="600"/>
      <c r="J13" s="600"/>
      <c r="K13" s="600"/>
      <c r="L13" s="600"/>
      <c r="M13" s="600"/>
      <c r="N13" s="600"/>
      <c r="O13" s="600"/>
      <c r="P13" s="600"/>
      <c r="Q13" s="600"/>
      <c r="R13" s="600"/>
      <c r="S13" s="600"/>
      <c r="T13" s="600"/>
      <c r="V13" s="292"/>
      <c r="W13" s="523">
        <v>5</v>
      </c>
      <c r="X13" s="524">
        <v>30</v>
      </c>
      <c r="Y13" s="525">
        <v>5</v>
      </c>
      <c r="Z13" s="526">
        <v>5</v>
      </c>
      <c r="AA13" s="213">
        <v>3</v>
      </c>
      <c r="AB13" s="209">
        <v>3</v>
      </c>
      <c r="AC13" s="210">
        <v>4</v>
      </c>
      <c r="AD13" s="210">
        <v>5</v>
      </c>
      <c r="AE13" s="210">
        <v>6</v>
      </c>
      <c r="AF13" s="211">
        <v>7</v>
      </c>
      <c r="AG13" s="210"/>
      <c r="AH13" s="216">
        <v>0</v>
      </c>
      <c r="AI13" s="217">
        <v>500</v>
      </c>
      <c r="AJ13" s="362">
        <v>50</v>
      </c>
      <c r="AK13" s="218">
        <v>0</v>
      </c>
      <c r="AL13" s="217">
        <v>200</v>
      </c>
      <c r="AM13" s="362">
        <v>50</v>
      </c>
      <c r="AN13" s="218">
        <v>0</v>
      </c>
      <c r="AO13" s="217">
        <v>50</v>
      </c>
      <c r="AP13" s="362">
        <v>5</v>
      </c>
      <c r="AQ13" s="218">
        <v>40</v>
      </c>
      <c r="AR13" s="217">
        <v>120</v>
      </c>
      <c r="AS13" s="362">
        <v>5</v>
      </c>
    </row>
    <row r="14" spans="1:50" outlineLevel="1">
      <c r="B14" s="600"/>
      <c r="C14" s="600"/>
      <c r="D14" s="600"/>
      <c r="E14" s="600"/>
      <c r="F14" s="600"/>
      <c r="G14" s="600"/>
      <c r="H14" s="600"/>
      <c r="I14" s="600"/>
      <c r="J14" s="600"/>
      <c r="K14" s="600"/>
      <c r="L14" s="600"/>
      <c r="M14" s="600"/>
      <c r="N14" s="600"/>
      <c r="O14" s="600"/>
      <c r="P14" s="600"/>
      <c r="Q14" s="600"/>
      <c r="R14" s="600"/>
      <c r="S14" s="600"/>
      <c r="T14" s="600"/>
      <c r="V14" s="219">
        <v>1</v>
      </c>
      <c r="W14" s="599" t="s">
        <v>121</v>
      </c>
      <c r="X14" s="598"/>
      <c r="Y14" s="214" t="s">
        <v>142</v>
      </c>
      <c r="Z14" s="130" t="s">
        <v>401</v>
      </c>
      <c r="AA14" s="215" t="s">
        <v>402</v>
      </c>
      <c r="AB14" s="204" t="s">
        <v>396</v>
      </c>
      <c r="AC14" s="205" t="s">
        <v>400</v>
      </c>
      <c r="AD14" s="212" t="s">
        <v>397</v>
      </c>
      <c r="AE14" s="205" t="s">
        <v>398</v>
      </c>
      <c r="AF14" s="206" t="s">
        <v>399</v>
      </c>
      <c r="AG14" s="205"/>
      <c r="AH14" s="597" t="s">
        <v>122</v>
      </c>
      <c r="AI14" s="597"/>
      <c r="AJ14" s="597"/>
      <c r="AK14" s="597"/>
      <c r="AL14" s="597"/>
      <c r="AM14" s="597"/>
      <c r="AN14" s="597"/>
      <c r="AO14" s="597"/>
      <c r="AP14" s="597"/>
      <c r="AQ14" s="597"/>
      <c r="AR14" s="597"/>
      <c r="AS14" s="598"/>
    </row>
    <row r="15" spans="1:50" ht="15" customHeight="1" outlineLevel="1">
      <c r="B15" s="600"/>
      <c r="C15" s="600"/>
      <c r="D15" s="600"/>
      <c r="E15" s="600"/>
      <c r="F15" s="600"/>
      <c r="G15" s="600"/>
      <c r="H15" s="600"/>
      <c r="I15" s="600"/>
      <c r="J15" s="600"/>
      <c r="K15" s="600"/>
      <c r="L15" s="600"/>
      <c r="M15" s="600"/>
      <c r="N15" s="600"/>
      <c r="O15" s="600"/>
      <c r="P15" s="600"/>
      <c r="Q15" s="600"/>
      <c r="R15" s="600"/>
      <c r="S15" s="600"/>
      <c r="T15" s="600"/>
      <c r="V15" s="151" t="str">
        <f ca="1">IF(OR($X14&lt;&gt;0,$X15&lt;&gt;0),MID(W15,3,1),"")</f>
        <v/>
      </c>
      <c r="W15" s="40" t="s">
        <v>44</v>
      </c>
      <c r="X15" s="41">
        <f ca="1">IFERROR(IF(D_Fijos=_OK,VLOOKUP(Nombre_Datos_Fijos,T_D_FIJOS[[#All],[NOMBRE]:[q_MO]],
                         HLOOKUP(W15,            'DATOS FIJOS'!$1:$2,2,0),0),
                         VLOOKUP(Nombre_Datos_Variables,T_D_VAR[[#All],[NOMBRE]:[q_MO]],
                         HLOOKUP(W15,        'DATOS VARIABLES'!$1:$2,2,0),0)),0)</f>
        <v>0</v>
      </c>
      <c r="Y15" s="457" t="str">
        <f ca="1">IF($X15&lt;&gt;0,REPT("─",$Z$13),"")</f>
        <v/>
      </c>
      <c r="Z15" s="454" t="str">
        <f ca="1">IF($X15&lt;&gt;0,_Cotas,"")</f>
        <v/>
      </c>
      <c r="AA15" s="118" t="str">
        <f ca="1">IF($X15&lt;&gt;0,REPT("─",$AA$13),"")</f>
        <v/>
      </c>
      <c r="AB15" s="123" t="str">
        <f ca="1">IFERROR(VLOOKUP($V15,OCULTOS!$P$2:$V$3,AB$13,FALSE),"")</f>
        <v/>
      </c>
      <c r="AC15" s="121" t="str">
        <f ca="1">IFERROR(VLOOKUP($V15,OCULTOS!$P$2:$V$3,AC$13,FALSE),"")</f>
        <v/>
      </c>
      <c r="AD15" s="120" t="str">
        <f ca="1">IFERROR(VLOOKUP($V15,OCULTOS!$P$2:$V$3,AD$13,FALSE),"")</f>
        <v/>
      </c>
      <c r="AE15" s="122" t="str">
        <f ca="1">IFERROR(VLOOKUP($V15,OCULTOS!$P$2:$V$3,AE$13,FALSE),"")</f>
        <v/>
      </c>
      <c r="AF15" s="124" t="str">
        <f ca="1">IFERROR(VLOOKUP($V15,OCULTOS!$P$2:$V$3,AF$13,FALSE),"")</f>
        <v/>
      </c>
      <c r="AG15" s="122" t="str">
        <f ca="1">IFERROR(IF(Art=V15,OCULTOS!$S$4,""),"")</f>
        <v/>
      </c>
      <c r="AH15" s="42" t="s">
        <v>58</v>
      </c>
      <c r="AI15" s="131">
        <f ca="1">IFERROR(IF(AND(V15&lt;&gt;"",V15&lt;&gt;Ap_1, V15&lt;&gt;Ap_2),  IF(D_Fijos=_OK,
   VLOOKUP(Nombre_Datos_Fijos,    T_D_FIJOS[[#All],[NOMBRE]:[q_MO]],HLOOKUP(AH15,    'DATOS FIJOS'!$1:$2,2,0),0),
   VLOOKUP(Nombre_Datos_Variables,T_D_VAR[[#All],[NOMBRE]:[q_MO]],HLOOKUP(AH15,'DATOS VARIABLES'!$1:$2,2,0),0)), 0 ),0)</f>
        <v>0</v>
      </c>
      <c r="AJ15" s="43" t="str">
        <f t="shared" ref="AJ15:AJ30" ca="1" si="0">IF(OR(AI15="",AI15=0),"",IF(AI15&gt;0,_Arriba,_Abajo))</f>
        <v/>
      </c>
      <c r="AK15" s="42" t="s">
        <v>73</v>
      </c>
      <c r="AL15" s="44">
        <f ca="1">IFERROR(IF(AND(V15&lt;&gt;"",V15&lt;&gt;Ap_1),  IF(D_Fijos=_OK,
   VLOOKUP(Nombre_Datos_Fijos,    T_D_FIJOS[[#All],[NOMBRE]:[q_MO]],HLOOKUP(AK15,    'DATOS FIJOS'!$1:$2,2,0),0),
   VLOOKUP(Nombre_Datos_Variables,T_D_VAR[[#All],[NOMBRE]:[q_MO]],HLOOKUP(AK15,'DATOS VARIABLES'!$1:$2,2,0),0)), 0 ),0)</f>
        <v>0</v>
      </c>
      <c r="AM15" s="45" t="str">
        <f t="shared" ref="AM15:AM30" ca="1" si="1">IF(AL15=0,"",IF(AL15&gt;0,_Derecha,_Izquierda))</f>
        <v/>
      </c>
      <c r="AN15" s="42" t="s">
        <v>88</v>
      </c>
      <c r="AO15" s="46">
        <f ca="1">IFERROR(IF(AND(V15&lt;&gt;"",V15&lt;&gt;Ap_1,  Art&lt;&gt;V15),IF(D_Fijos=_OK,
   VLOOKUP(Nombre_Datos_Fijos,    T_D_FIJOS[[#All],[NOMBRE]:[q_MO]],HLOOKUP(AN15,    'DATOS FIJOS'!$1:$2,2,0),0),
   VLOOKUP(Nombre_Datos_Variables,T_D_VAR[[#All],[NOMBRE]:[q_MO]],HLOOKUP(AN15,'DATOS VARIABLES'!$1:$2,2,0),0)), 0 ),0)</f>
        <v>0</v>
      </c>
      <c r="AP15" s="47" t="str">
        <f t="shared" ref="AP15:AP30" ca="1" si="2">IF(AO15=0,"",IF(AO15&gt;0,_M_Pos,_M_Neg))</f>
        <v/>
      </c>
      <c r="AQ15" s="48" t="s">
        <v>103</v>
      </c>
      <c r="AR15" s="49">
        <f ca="1">IFERROR(IF(D_Fijos=_OK,
   VLOOKUP(Nombre_Datos_Fijos,    T_D_FIJOS[[#All],[NOMBRE]:[q_MO]],HLOOKUP(AQ15,    'DATOS FIJOS'!$1:$2,2,0),0),
   VLOOKUP(Nombre_Datos_Variables,T_D_VAR[[#All],[NOMBRE]:[q_MO]],HLOOKUP(AQ15,'DATOS VARIABLES'!$1:$2,2,0),0)),0)</f>
        <v>0</v>
      </c>
      <c r="AS15" s="50" t="str">
        <f ca="1">IF(AR15=0,"",IF(AR15&gt;0,REPT(_Abajo,6),REPT(_Arriba,6)))</f>
        <v/>
      </c>
    </row>
    <row r="16" spans="1:50" ht="15" customHeight="1" outlineLevel="1">
      <c r="B16" s="600"/>
      <c r="C16" s="600"/>
      <c r="D16" s="600"/>
      <c r="E16" s="600"/>
      <c r="F16" s="600"/>
      <c r="G16" s="600"/>
      <c r="H16" s="600"/>
      <c r="I16" s="600"/>
      <c r="J16" s="600"/>
      <c r="K16" s="600"/>
      <c r="L16" s="600"/>
      <c r="M16" s="600"/>
      <c r="N16" s="600"/>
      <c r="O16" s="600"/>
      <c r="P16" s="600"/>
      <c r="Q16" s="600"/>
      <c r="R16" s="600"/>
      <c r="S16" s="600"/>
      <c r="T16" s="600"/>
      <c r="V16" s="151" t="str">
        <f ca="1">IF(OR($X15&lt;&gt;0,$X16&lt;&gt;0),MID(W16,3,1),"")</f>
        <v/>
      </c>
      <c r="W16" s="61" t="s">
        <v>45</v>
      </c>
      <c r="X16" s="78">
        <f ca="1">IFERROR(IF(D_Fijos=_OK,VLOOKUP(Nombre_Datos_Fijos,T_D_FIJOS[[#All],[NOMBRE]:[q_MO]],
                         HLOOKUP(W16,            'DATOS FIJOS'!$1:$2,2,0),0),
                         VLOOKUP(Nombre_Datos_Variables,T_D_VAR[[#All],[NOMBRE]:[q_MO]],
                         HLOOKUP(W16,        'DATOS VARIABLES'!$1:$2,2,0),0)),0)</f>
        <v>0</v>
      </c>
      <c r="Y16" s="458" t="str">
        <f ca="1">IF($X16&lt;&gt;0,REPT("─",$Z$13),"")</f>
        <v/>
      </c>
      <c r="Z16" s="455" t="str">
        <f ca="1">IF($X16&lt;&gt;0,_Cotas,"")</f>
        <v/>
      </c>
      <c r="AA16" s="117" t="str">
        <f t="shared" ref="AA16:AA30" ca="1" si="3">IF($X16&lt;&gt;0,REPT("─",$AA$13),"")</f>
        <v/>
      </c>
      <c r="AB16" s="123" t="str">
        <f ca="1">IFERROR(VLOOKUP($V16,OCULTOS!$P$2:$V$3,AB$13,FALSE),"")</f>
        <v/>
      </c>
      <c r="AC16" s="121" t="str">
        <f ca="1">IFERROR(VLOOKUP($V16,OCULTOS!$P$2:$V$3,AC$13,FALSE),"")</f>
        <v/>
      </c>
      <c r="AD16" s="120" t="str">
        <f ca="1">IFERROR(VLOOKUP($V16,OCULTOS!$P$2:$V$3,AD$13,FALSE),"")</f>
        <v/>
      </c>
      <c r="AE16" s="122" t="str">
        <f ca="1">IFERROR(VLOOKUP($V16,OCULTOS!$P$2:$V$3,AE$13,FALSE),"")</f>
        <v/>
      </c>
      <c r="AF16" s="124" t="str">
        <f ca="1">IFERROR(VLOOKUP($V16,OCULTOS!$P$2:$V$3,AF$13,FALSE),"")</f>
        <v/>
      </c>
      <c r="AG16" s="122" t="str">
        <f ca="1">IFERROR(IF(Art=V16,OCULTOS!$S$4,""),"")</f>
        <v/>
      </c>
      <c r="AH16" s="62" t="s">
        <v>59</v>
      </c>
      <c r="AI16" s="131">
        <f ca="1">IFERROR(IF(AND(V16&lt;&gt;"",V16&lt;&gt;Ap_1, V16&lt;&gt;Ap_2),  IF(D_Fijos=_OK,
   VLOOKUP(Nombre_Datos_Fijos,    T_D_FIJOS[[#All],[NOMBRE]:[q_MO]],HLOOKUP(AH16,    'DATOS FIJOS'!$1:$2,2,0),0),
   VLOOKUP(Nombre_Datos_Variables,T_D_VAR[[#All],[NOMBRE]:[q_MO]],HLOOKUP(AH16,'DATOS VARIABLES'!$1:$2,2,0),0)), 0 ),0)</f>
        <v>0</v>
      </c>
      <c r="AJ16" s="63" t="str">
        <f t="shared" ca="1" si="0"/>
        <v/>
      </c>
      <c r="AK16" s="62" t="s">
        <v>74</v>
      </c>
      <c r="AL16" s="132">
        <f ca="1">IFERROR(IF(AND(V16&lt;&gt;"",V16&lt;&gt;Ap_1),  IF(D_Fijos=_OK,
   VLOOKUP(Nombre_Datos_Fijos,    T_D_FIJOS[[#All],[NOMBRE]:[q_MO]],HLOOKUP(AK16,    'DATOS FIJOS'!$1:$2,2,0),0),
   VLOOKUP(Nombre_Datos_Variables,T_D_VAR[[#All],[NOMBRE]:[q_MO]],HLOOKUP(AK16,'DATOS VARIABLES'!$1:$2,2,0),0)), 0 ),0)</f>
        <v>0</v>
      </c>
      <c r="AM16" s="64" t="str">
        <f t="shared" ca="1" si="1"/>
        <v/>
      </c>
      <c r="AN16" s="62" t="s">
        <v>89</v>
      </c>
      <c r="AO16" s="133">
        <f ca="1">IFERROR(IF(AND(V16&lt;&gt;"",V16&lt;&gt;Ap_1,  Art&lt;&gt;V16),IF(D_Fijos=_OK,
   VLOOKUP(Nombre_Datos_Fijos,    T_D_FIJOS[[#All],[NOMBRE]:[q_MO]],HLOOKUP(AN16,    'DATOS FIJOS'!$1:$2,2,0),0),
   VLOOKUP(Nombre_Datos_Variables,T_D_VAR[[#All],[NOMBRE]:[q_MO]],HLOOKUP(AN16,'DATOS VARIABLES'!$1:$2,2,0),0)), 0 ),0)</f>
        <v>0</v>
      </c>
      <c r="AP16" s="65" t="str">
        <f t="shared" ca="1" si="2"/>
        <v/>
      </c>
      <c r="AQ16" s="66" t="s">
        <v>104</v>
      </c>
      <c r="AR16" s="134">
        <f ca="1">IFERROR(IF(D_Fijos=_OK,
   VLOOKUP(Nombre_Datos_Fijos,    T_D_FIJOS[[#All],[NOMBRE]:[q_MO]],HLOOKUP(AQ16,    'DATOS FIJOS'!$1:$2,2,0),0),
   VLOOKUP(Nombre_Datos_Variables,T_D_VAR[[#All],[NOMBRE]:[q_MO]],HLOOKUP(AQ16,'DATOS VARIABLES'!$1:$2,2,0),0)),0)</f>
        <v>0</v>
      </c>
      <c r="AS16" s="67" t="str">
        <f ca="1">IF(AR16=0,"",IF(AR16&gt;0,REPT(_Abajo,6),REPT(_Arriba,6)))</f>
        <v/>
      </c>
    </row>
    <row r="17" spans="2:49" ht="15" customHeight="1" outlineLevel="1">
      <c r="B17" s="600"/>
      <c r="C17" s="600"/>
      <c r="D17" s="600"/>
      <c r="E17" s="600"/>
      <c r="F17" s="600"/>
      <c r="G17" s="600"/>
      <c r="H17" s="600"/>
      <c r="I17" s="600"/>
      <c r="J17" s="600"/>
      <c r="K17" s="600"/>
      <c r="L17" s="600"/>
      <c r="M17" s="600"/>
      <c r="N17" s="600"/>
      <c r="O17" s="600"/>
      <c r="P17" s="600"/>
      <c r="Q17" s="600"/>
      <c r="R17" s="600"/>
      <c r="S17" s="600"/>
      <c r="T17" s="600"/>
      <c r="V17" s="151" t="str">
        <f ca="1">IF(OR($X16&lt;&gt;0,$X17&lt;&gt;0),MID(W17,3,1),"")</f>
        <v/>
      </c>
      <c r="W17" s="61" t="s">
        <v>414</v>
      </c>
      <c r="X17" s="387">
        <f ca="1">IFERROR(IF(OR(alfa_C=0,alfa_C=90),L_CE_v,L_CD1),0)</f>
        <v>0</v>
      </c>
      <c r="Y17" s="459" t="str">
        <f ca="1">IF(AND(alfa_C&lt;&gt;90,alfa_C&lt;&gt;0),"",IF($X17&lt;&gt;0,REPT("─",$Z$13),""))</f>
        <v/>
      </c>
      <c r="Z17" s="455" t="str">
        <f ca="1">IF($X17&lt;&gt;0,_Cotas,"")</f>
        <v/>
      </c>
      <c r="AA17" s="117" t="str">
        <f t="shared" ca="1" si="3"/>
        <v/>
      </c>
      <c r="AB17" s="123" t="str">
        <f ca="1">IFERROR(VLOOKUP($V17,OCULTOS!$P$2:$V$3,AB$13,FALSE),"")</f>
        <v/>
      </c>
      <c r="AC17" s="121" t="str">
        <f ca="1">IFERROR(VLOOKUP($V17,OCULTOS!$P$2:$V$3,AC$13,FALSE),"")</f>
        <v/>
      </c>
      <c r="AD17" s="120" t="str">
        <f ca="1">IFERROR(VLOOKUP($V17,OCULTOS!$P$2:$V$3,AD$13,FALSE),"")</f>
        <v/>
      </c>
      <c r="AE17" s="122" t="str">
        <f ca="1">IFERROR(VLOOKUP($V17,OCULTOS!$P$2:$V$3,AE$13,FALSE),"")</f>
        <v/>
      </c>
      <c r="AF17" s="124" t="str">
        <f ca="1">IFERROR(VLOOKUP($V17,OCULTOS!$P$2:$V$3,AF$13,FALSE),"")</f>
        <v/>
      </c>
      <c r="AG17" s="122" t="str">
        <f ca="1">IFERROR(IF(Art=V17,OCULTOS!$S$4,""),"")</f>
        <v/>
      </c>
      <c r="AH17" s="62" t="s">
        <v>60</v>
      </c>
      <c r="AI17" s="131">
        <f ca="1">IFERROR(IF(AND(V17&lt;&gt;"",V17&lt;&gt;Ap_1, V17&lt;&gt;Ap_2),  IF(D_Fijos=_OK,
   VLOOKUP(Nombre_Datos_Fijos,    T_D_FIJOS[[#All],[NOMBRE]:[q_MO]],HLOOKUP(AH17,    'DATOS FIJOS'!$1:$2,2,0),0),
   VLOOKUP(Nombre_Datos_Variables,T_D_VAR[[#All],[NOMBRE]:[q_MO]],HLOOKUP(AH17,'DATOS VARIABLES'!$1:$2,2,0),0)), 0 ),0)</f>
        <v>0</v>
      </c>
      <c r="AJ17" s="63" t="str">
        <f t="shared" ca="1" si="0"/>
        <v/>
      </c>
      <c r="AK17" s="62" t="s">
        <v>75</v>
      </c>
      <c r="AL17" s="132">
        <f ca="1">IFERROR(IF(AND(V17&lt;&gt;"",V17&lt;&gt;Ap_1),  IF(D_Fijos=_OK,
   VLOOKUP(Nombre_Datos_Fijos,    T_D_FIJOS[[#All],[NOMBRE]:[q_MO]],HLOOKUP(AK17,    'DATOS FIJOS'!$1:$2,2,0),0),
   VLOOKUP(Nombre_Datos_Variables,T_D_VAR[[#All],[NOMBRE]:[q_MO]],HLOOKUP(AK17,'DATOS VARIABLES'!$1:$2,2,0),0)), 0 ),0)</f>
        <v>0</v>
      </c>
      <c r="AM17" s="64" t="str">
        <f t="shared" ca="1" si="1"/>
        <v/>
      </c>
      <c r="AN17" s="62" t="s">
        <v>90</v>
      </c>
      <c r="AO17" s="133">
        <f ca="1">IFERROR(IF(AND(V17&lt;&gt;"",V17&lt;&gt;Ap_1,  Art&lt;&gt;V17),IF(D_Fijos=_OK,
   VLOOKUP(Nombre_Datos_Fijos,    T_D_FIJOS[[#All],[NOMBRE]:[q_MO]],HLOOKUP(AN17,    'DATOS FIJOS'!$1:$2,2,0),0),
   VLOOKUP(Nombre_Datos_Variables,T_D_VAR[[#All],[NOMBRE]:[q_MO]],HLOOKUP(AN17,'DATOS VARIABLES'!$1:$2,2,0),0)), 0 ),0)</f>
        <v>0</v>
      </c>
      <c r="AP17" s="65" t="str">
        <f t="shared" ca="1" si="2"/>
        <v/>
      </c>
      <c r="AQ17" s="66" t="s">
        <v>447</v>
      </c>
      <c r="AR17" s="134">
        <f ca="1">IFERROR(IF(D_Fijos=_OK,
   VLOOKUP(Nombre_Datos_Fijos,    T_D_FIJOS[[#All],[NOMBRE]:[q_MO]],HLOOKUP(AQ17,    'DATOS FIJOS'!$1:$2,2,0),0),
   VLOOKUP(Nombre_Datos_Variables,T_D_VAR[[#All],[NOMBRE]:[q_MO]],HLOOKUP(AQ17,'DATOS VARIABLES'!$1:$2,2,0),0))
*IF(OR(alfa_C=0,alfa_C=90,q_1Barra_Inclinada=_NO,q_CE=0), 1,0),0)</f>
        <v>0</v>
      </c>
      <c r="AS17" s="67" t="str">
        <f ca="1">IF(AR17=0,"",IF(AR17&gt;0,REPT(_Abajo,6),REPT(_Arriba,6)))</f>
        <v/>
      </c>
      <c r="AT17" s="242" t="e">
        <f ca="1">IF(OR(IFERROR(AND(D_Fijos=_OK,VLOOKUP(Nombre_Datos_Fijos,    T_D_FIJOS[[#All],[NOMBRE]:[q_MO]],HLOOKUP(AQ17,    'DATOS FIJOS'!$1:$2,2,0),0)=0,),""),
      IFERROR(AND(D_Fijos=_NO,VLOOKUP(Nombre_Datos_Variables,T_D_VAR[[#All],[NOMBRE]:[q_MO]],HLOOKUP(AQ17,'DATOS VARIABLES'!$1:$2,2,0),0)=0),"")),_NO,_OK)</f>
        <v>#VALUE!</v>
      </c>
      <c r="AU17" s="242" t="e">
        <f ca="1">IF(q_1Barra_Inclinada=_NO,IF(q_h=_OK, IF(q_v=_OK, Img_q_H_V_Cota, Img_q_H_Cota),  Img_q_V_Cota),
                           IF(q_h=_OK, IF(q_v=_OK, Img_q_P_Barra,  Img_q_H_Barra), Img_q_V_Barra))</f>
        <v>#VALUE!</v>
      </c>
    </row>
    <row r="18" spans="2:49" ht="15" customHeight="1" outlineLevel="1">
      <c r="B18" s="600"/>
      <c r="C18" s="600"/>
      <c r="D18" s="600"/>
      <c r="E18" s="600"/>
      <c r="F18" s="600"/>
      <c r="G18" s="600"/>
      <c r="H18" s="600"/>
      <c r="I18" s="600"/>
      <c r="J18" s="600"/>
      <c r="K18" s="600"/>
      <c r="L18" s="600"/>
      <c r="M18" s="600"/>
      <c r="N18" s="600"/>
      <c r="O18" s="600"/>
      <c r="P18" s="600"/>
      <c r="Q18" s="600"/>
      <c r="R18" s="600"/>
      <c r="S18" s="600"/>
      <c r="T18" s="600"/>
      <c r="V18" s="151" t="str">
        <f ca="1">IF(OR(alfa_C=0,alfa_C=90),IF(OR($X17&lt;&gt;0,$X18&lt;&gt;0),MID(W18,3,1),""),"")</f>
        <v/>
      </c>
      <c r="W18" s="61" t="s">
        <v>415</v>
      </c>
      <c r="X18" s="231">
        <f ca="1">IFERROR(IF(OR(alfa_C=0,alfa_C=90),IF(D_Fijos=_OK,
    VLOOKUP(Nombre_Datos_Fijos,T_D_FIJOS[[#All],[NOMBRE]:[q_MO]],  HLOOKUP(W18,'DATOS FIJOS'!$1:$2,2,0),0),
    VLOOKUP(Nombre_Datos_Variables,T_D_VAR[[#All],[NOMBRE]:[q_MO]],HLOOKUP(W18,'DATOS VARIABLES'!$1:$2,2,0),0)),
    L_CE_v/TAN(RADIANS(alfa_C))),0)</f>
        <v>0</v>
      </c>
      <c r="Y18" s="459" t="str">
        <f ca="1">IF(OR(alfa_C=0,alfa_C=90),IF($X18&lt;&gt;0,REPT("─",$Z$13),""),"")</f>
        <v/>
      </c>
      <c r="Z18" s="455" t="str">
        <f ca="1">IF(OR(alfa_C=0,alfa_C=90),IF($X18&lt;&gt;0,_Cotas,""),"")</f>
        <v/>
      </c>
      <c r="AA18" s="117" t="str">
        <f ca="1">IF(OR(alfa_C=0,alfa_C=90),IF($X18&lt;&gt;0,REPT("─",$AA$13),""),"")</f>
        <v/>
      </c>
      <c r="AB18" s="123" t="str">
        <f ca="1">IFERROR(VLOOKUP($V18,OCULTOS!$P$2:$V$3,AB$13,FALSE),"")</f>
        <v/>
      </c>
      <c r="AC18" s="121" t="str">
        <f ca="1">IFERROR(VLOOKUP($V18,OCULTOS!$P$2:$V$3,AC$13,FALSE),"")</f>
        <v/>
      </c>
      <c r="AD18" s="120" t="str">
        <f ca="1">IFERROR(VLOOKUP($V18,OCULTOS!$P$2:$V$3,AD$13,FALSE),"")</f>
        <v/>
      </c>
      <c r="AE18" s="122" t="str">
        <f ca="1">IFERROR(VLOOKUP($V18,OCULTOS!$P$2:$V$3,AE$13,FALSE),"")</f>
        <v/>
      </c>
      <c r="AF18" s="124" t="str">
        <f ca="1">IFERROR(VLOOKUP($V18,OCULTOS!$P$2:$V$3,AF$13,FALSE),"")</f>
        <v/>
      </c>
      <c r="AG18" s="122" t="str">
        <f ca="1">IFERROR(IF(Art=V18,OCULTOS!$S$4,""),"")</f>
        <v/>
      </c>
      <c r="AH18" s="62" t="s">
        <v>61</v>
      </c>
      <c r="AI18" s="131">
        <f ca="1">IFERROR(IF(AND(V18&lt;&gt;"",V18&lt;&gt;Ap_1, V18&lt;&gt;Ap_2), IF(OR(alfa_C=90,alfa_C=0), IF(D_Fijos=_OK,
   VLOOKUP(Nombre_Datos_Fijos,    T_D_FIJOS[[#All],[NOMBRE]:[q_MO]],HLOOKUP(AH18,    'DATOS FIJOS'!$1:$2,2,0),0),
   VLOOKUP(Nombre_Datos_Variables,T_D_VAR[[#All],[NOMBRE]:[q_MO]],HLOOKUP(AH18,'DATOS VARIABLES'!$1:$2,2,0),0)),0), 0),0)</f>
        <v>0</v>
      </c>
      <c r="AJ18" s="63" t="str">
        <f ca="1">IF(OR(AI18="",AI18=0),"",IF(AI18&gt;0,_Arriba,_Abajo))</f>
        <v/>
      </c>
      <c r="AK18" s="62" t="s">
        <v>76</v>
      </c>
      <c r="AL18" s="132">
        <f ca="1">IFERROR(IF(AND(V18&lt;&gt;"",V18&lt;&gt;Ap_1),            IF(OR(alfa_C=90,alfa_C=0),    IF(D_Fijos=_OK,
   VLOOKUP(Nombre_Datos_Fijos,    T_D_FIJOS[[#All],[NOMBRE]:[q_MO]],HLOOKUP(AK18,    'DATOS FIJOS'!$1:$2,2,0),0),
   VLOOKUP(Nombre_Datos_Variables,T_D_VAR[[#All],[NOMBRE]:[q_MO]],HLOOKUP(AK18,'DATOS VARIABLES'!$1:$2,2,0),0)),0), 0),0)</f>
        <v>0</v>
      </c>
      <c r="AM18" s="64" t="str">
        <f t="shared" ca="1" si="1"/>
        <v/>
      </c>
      <c r="AN18" s="62" t="s">
        <v>91</v>
      </c>
      <c r="AO18" s="133">
        <f ca="1">IFERROR(IF(Art=V18,0, IF(OR(alfa_C=90,alfa_C=0),   IF(D_Fijos=_OK,
   VLOOKUP(Nombre_Datos_Fijos,    T_D_FIJOS[[#All],[NOMBRE]:[q_MO]],HLOOKUP(AN18,    'DATOS FIJOS'!$1:$2,2,0),0),
   VLOOKUP(Nombre_Datos_Variables,T_D_VAR[[#All],[NOMBRE]:[q_MO]],HLOOKUP(AN18,'DATOS VARIABLES'!$1:$2,2,0),0)),0)),0)</f>
        <v>0</v>
      </c>
      <c r="AP18" s="65" t="str">
        <f t="shared" ca="1" si="2"/>
        <v/>
      </c>
      <c r="AQ18" s="66" t="s">
        <v>446</v>
      </c>
      <c r="AR18" s="134">
        <f ca="1">IFERROR(IF(D_Fijos=_OK,
   VLOOKUP(Nombre_Datos_Fijos,    T_D_FIJOS[[#All],[NOMBRE]:[q_MO]],HLOOKUP(AQ18,    'DATOS FIJOS'!$1:$2,2,0),0),
   VLOOKUP(Nombre_Datos_Variables,T_D_VAR[[#All],[NOMBRE]:[q_MO]],HLOOKUP(AQ18,'DATOS VARIABLES'!$1:$2,2,0),0))
*IF(OR(alfa_C=0,alfa_C=90,q_1Barra_Inclinada=_NO,q_CE=0), 1,0),0)</f>
        <v>0</v>
      </c>
      <c r="AS18" s="67" t="str">
        <f ca="1">IF(AR18=0,"",IF(AR18&lt;0,REPT(_Abajo,6),REPT(_Arriba,6)))</f>
        <v/>
      </c>
      <c r="AT18" s="242" t="e">
        <f ca="1">IF(OR(IFERROR(AND(D_Fijos=_OK,VLOOKUP(Nombre_Datos_Fijos,    T_D_FIJOS[[#All],[NOMBRE]:[q_MO]],HLOOKUP(AQ18,    'DATOS FIJOS'!$1:$2,2,0),0)=0,),""),
      IFERROR(AND(D_Fijos=_NO,VLOOKUP(Nombre_Datos_Variables,T_D_VAR[[#All],[NOMBRE]:[q_MO]],HLOOKUP(AQ18,'DATOS VARIABLES'!$1:$2,2,0),0)=0),"")),_NO,_OK)</f>
        <v>#VALUE!</v>
      </c>
    </row>
    <row r="19" spans="2:49" ht="15" customHeight="1" outlineLevel="1">
      <c r="B19" s="600"/>
      <c r="C19" s="600"/>
      <c r="D19" s="600"/>
      <c r="E19" s="600"/>
      <c r="F19" s="600"/>
      <c r="G19" s="600"/>
      <c r="H19" s="600"/>
      <c r="I19" s="600"/>
      <c r="J19" s="600"/>
      <c r="K19" s="600"/>
      <c r="L19" s="600"/>
      <c r="M19" s="600"/>
      <c r="N19" s="600"/>
      <c r="O19" s="600"/>
      <c r="P19" s="600"/>
      <c r="Q19" s="600"/>
      <c r="R19" s="600"/>
      <c r="S19" s="600"/>
      <c r="T19" s="600"/>
      <c r="V19" s="208" t="str">
        <f ca="1">IF(OR(alfa_C=0,alfa_C=90),"",IF(X19&lt;&gt;0,"D",""))</f>
        <v/>
      </c>
      <c r="W19" s="61" t="s">
        <v>46</v>
      </c>
      <c r="X19" s="78">
        <f ca="1">IFERROR(IF(D_Fijos=_OK,VLOOKUP(Nombre_Datos_Fijos,T_D_FIJOS[[#All],[NOMBRE]:[q_MO]],
                         HLOOKUP(W19,            'DATOS FIJOS'!$1:$2,2,0),0),
                         VLOOKUP(Nombre_Datos_Variables,T_D_VAR[[#All],[NOMBRE]:[q_MO]],
                         HLOOKUP(W19,        'DATOS VARIABLES'!$1:$2,2,0),0)),0)</f>
        <v>0</v>
      </c>
      <c r="Y19" s="459" t="str">
        <f ca="1">IF(AND(alfa_C&lt;&gt;90,alfa_C&lt;&gt;0),IF($X19&lt;&gt;0,REPT("─",$Z$13),""),"")</f>
        <v/>
      </c>
      <c r="Z19" s="455" t="str">
        <f t="shared" ref="Z19:Z29" ca="1" si="4">IF($X19&lt;&gt;0,_Cotas,"")</f>
        <v/>
      </c>
      <c r="AA19" s="117" t="str">
        <f t="shared" ca="1" si="3"/>
        <v/>
      </c>
      <c r="AB19" s="123" t="str">
        <f ca="1">IFERROR(VLOOKUP($V19,OCULTOS!$P$2:$V$3,AB$13,FALSE),"")</f>
        <v/>
      </c>
      <c r="AC19" s="121" t="str">
        <f ca="1">IFERROR(VLOOKUP($V19,OCULTOS!$P$2:$V$3,AC$13,FALSE),"")</f>
        <v/>
      </c>
      <c r="AD19" s="120" t="str">
        <f ca="1">IFERROR(VLOOKUP($V19,OCULTOS!$P$2:$V$3,AD$13,FALSE),"")</f>
        <v/>
      </c>
      <c r="AE19" s="122" t="str">
        <f ca="1">IFERROR(VLOOKUP($V19,OCULTOS!$P$2:$V$3,AE$13,FALSE),"")</f>
        <v/>
      </c>
      <c r="AF19" s="124" t="str">
        <f ca="1">IFERROR(VLOOKUP($V19,OCULTOS!$P$2:$V$3,AF$13,FALSE),"")</f>
        <v/>
      </c>
      <c r="AG19" s="122" t="str">
        <f ca="1">IFERROR(IF(Art=V19,OCULTOS!$S$4,""),"")</f>
        <v/>
      </c>
      <c r="AH19" s="62" t="s">
        <v>392</v>
      </c>
      <c r="AI19" s="131">
        <f ca="1">IFERROR(IF(AND(V19&lt;&gt;"",V19&lt;&gt;Ap_1, V19&lt;&gt;Ap_2),IF(AND(alfa_C&lt;&gt;90,alfa_C&lt;&gt;0),IF(D_Fijos=_OK,
   VLOOKUP(Nombre_Datos_Fijos,    T_D_FIJOS[[#All],[NOMBRE]:[q_MO]],HLOOKUP(AH18,    'DATOS FIJOS'!$1:$2,2,0),0),
   VLOOKUP(Nombre_Datos_Variables,T_D_VAR[[#All],[NOMBRE]:[q_MO]],HLOOKUP(AH18,'DATOS VARIABLES'!$1:$2,2,0),0)),0), 0 ),0)</f>
        <v>0</v>
      </c>
      <c r="AJ19" s="63" t="str">
        <f ca="1">IF(OR(AI19="",AI19=0),"",IF(AI19&gt;0,_Arriba,_Abajo))</f>
        <v/>
      </c>
      <c r="AK19" s="62" t="s">
        <v>393</v>
      </c>
      <c r="AL19" s="132">
        <f ca="1">IFERROR(IF(AND(V19&lt;&gt;"",V19&lt;&gt;Ap_1),            IF(AND(alfa_C&lt;&gt;90,alfa_C&lt;&gt;0),    IF(D_Fijos=_OK,
   VLOOKUP(Nombre_Datos_Fijos,    T_D_FIJOS[[#All],[NOMBRE]:[q_MO]],HLOOKUP(AK18,    'DATOS FIJOS'!$1:$2,2,0),0),
   VLOOKUP(Nombre_Datos_Variables,T_D_VAR[[#All],[NOMBRE]:[q_MO]],HLOOKUP(AK18,'DATOS VARIABLES'!$1:$2,2,0),0)),0), 0),0)</f>
        <v>0</v>
      </c>
      <c r="AM19" s="64" t="str">
        <f t="shared" ca="1" si="1"/>
        <v/>
      </c>
      <c r="AN19" s="62" t="s">
        <v>394</v>
      </c>
      <c r="AO19" s="133">
        <f ca="1">IFERROR(IF(Art=V19,0, IF(AND(alfa_C&lt;&gt;90,alfa_C&lt;&gt;0),   IF(D_Fijos=_OK,
   VLOOKUP(Nombre_Datos_Fijos,    T_D_FIJOS[[#All],[NOMBRE]:[q_MO]],HLOOKUP(AN18,    'DATOS FIJOS'!$1:$2,2,0),0),
   VLOOKUP(Nombre_Datos_Variables,T_D_VAR[[#All],[NOMBRE]:[q_MO]],HLOOKUP(AN18,'DATOS VARIABLES'!$1:$2,2,0),0)),0)),0)</f>
        <v>0</v>
      </c>
      <c r="AP19" s="65" t="str">
        <f t="shared" ca="1" si="2"/>
        <v/>
      </c>
      <c r="AQ19" s="66" t="s">
        <v>107</v>
      </c>
      <c r="AR19" s="361">
        <f ca="1">IFERROR(IF(OR(alfa_C=0,alfa_C=90,q_1Barra_Inclinada=_NO),0,ROUND(IF(D_Fijos=_OK,
         IF(AND(q_1Barra_Inclinada=_OK,
      VLOOKUP(Nombre_Datos_Fijos,    T_D_FIJOS[[#All],[NOMBRE]:[q_MO]],HLOOKUP(AQ19,    'DATOS FIJOS'!$1:$2,2,0),0)=0),
     (VLOOKUP(Nombre_Datos_Fijos,    T_D_FIJOS[[#All],[NOMBRE]:[q_MO]],HLOOKUP(AQ17,    'DATOS FIJOS'!$1:$2,2,0),0)^2 +
      VLOOKUP(Nombre_Datos_Fijos,    T_D_FIJOS[[#All],[NOMBRE]:[q_MO]],HLOOKUP(AQ18,    'DATOS FIJOS'!$1:$2,2,0),0)^2)^0.5*
   IF(VLOOKUP(Nombre_Datos_Fijos,    T_D_FIJOS[[#All],[NOMBRE]:[q_MO]],HLOOKUP(AQ18,    'DATOS FIJOS'!$1:$2,2,0),0)&lt;0,-1,1),
      VLOOKUP(Nombre_Datos_Fijos,    T_D_FIJOS[[#All],[NOMBRE]:[q_MO]],HLOOKUP(AQ19,    'DATOS FIJOS'!$1:$2,2,0),0)),
         IF(AND(q_1Barra_Inclinada=_OK,
      VLOOKUP(Nombre_Datos_Variables,T_D_VAR[[#All],[NOMBRE]:[q_MO]],HLOOKUP(AQ19,'DATOS VARIABLES'!$1:$2,2,0),0)=0),
     (VLOOKUP(Nombre_Datos_Variables,T_D_VAR[[#All],[NOMBRE]:[q_MO]],HLOOKUP(AQ17,'DATOS VARIABLES'!$1:$2,2,0),0)^2 +
      VLOOKUP(Nombre_Datos_Variables,T_D_VAR[[#All],[NOMBRE]:[q_MO]],HLOOKUP(AQ18,'DATOS VARIABLES'!$1:$2,2,0),0)^2)^0.5*
   IF(VLOOKUP(Nombre_Datos_Variables,T_D_VAR[[#All],[NOMBRE]:[q_MO]],HLOOKUP(AQ18,'DATOS VARIABLES'!$1:$2,2,0),0)&lt;0,-1,1),
      VLOOKUP(Nombre_Datos_Variables,T_D_VAR[[#All],[NOMBRE]:[q_MO]],HLOOKUP(AQ19,'DATOS VARIABLES'!$1:$2,2,0),0))),2)),0)</f>
        <v>0</v>
      </c>
      <c r="AS19" s="67" t="str">
        <f ca="1">IF(AR19=0,"",IF(OR(alfa_C=0,alfa_C=90,q_1Barra_Inclinada=_NO,AND(AT17=_OK,AT18=_OK),AT19=_OK),
 IF(AR19&lt;0, REPT(_Abajo,10),REPT(_Arriba,10)),
 IF(AR19&lt;0, REPT("↙",10),   REPT("↘",10))))</f>
        <v/>
      </c>
      <c r="AT19" s="242" t="e">
        <f ca="1">IF(OR(IFERROR(AND(D_Fijos=_OK,VLOOKUP(Nombre_Datos_Fijos, T_D_FIJOS[[#All],[NOMBRE]:[q_MO]],HLOOKUP(AQ19,'DATOS FIJOS'!$1:$2,2,0),0)=0,),""),
      IFERROR(AND(D_Fijos=_NO,VLOOKUP(Nombre_Datos_Variables,T_D_VAR[[#All],[NOMBRE]:[q_MO]],HLOOKUP(AQ19,'DATOS VARIABLES'!$1:$2,2,0),0)=0),"")),_NO,_OK)</f>
        <v>#VALUE!</v>
      </c>
      <c r="AW19" s="359"/>
    </row>
    <row r="20" spans="2:49" ht="15" customHeight="1" outlineLevel="1">
      <c r="B20" s="600"/>
      <c r="C20" s="600"/>
      <c r="D20" s="600"/>
      <c r="E20" s="600"/>
      <c r="F20" s="600"/>
      <c r="G20" s="600"/>
      <c r="H20" s="600"/>
      <c r="I20" s="600"/>
      <c r="J20" s="600"/>
      <c r="K20" s="600"/>
      <c r="L20" s="600"/>
      <c r="M20" s="600"/>
      <c r="N20" s="600"/>
      <c r="O20" s="600"/>
      <c r="P20" s="600"/>
      <c r="Q20" s="600"/>
      <c r="R20" s="600"/>
      <c r="S20" s="600"/>
      <c r="T20" s="600"/>
      <c r="V20" s="151" t="str">
        <f ca="1">IF(OR($X20&lt;&gt;0,L_DE&lt;&gt;0),MID(W20,3,1),"")</f>
        <v/>
      </c>
      <c r="W20" s="61" t="s">
        <v>47</v>
      </c>
      <c r="X20" s="78">
        <f ca="1">IFERROR(IF(D_Fijos=_OK,VLOOKUP(Nombre_Datos_Fijos,T_D_FIJOS[[#All],[NOMBRE]:[q_MO]],
                         HLOOKUP(W20,            'DATOS FIJOS'!$1:$2,2,0),0),
                         VLOOKUP(Nombre_Datos_Variables,T_D_VAR[[#All],[NOMBRE]:[q_MO]],
                         HLOOKUP(W20,        'DATOS VARIABLES'!$1:$2,2,0),0)),0)</f>
        <v>0</v>
      </c>
      <c r="Y20" s="458" t="str">
        <f t="shared" ref="Y20:Y29" ca="1" si="5">IF($X20&lt;&gt;0,REPT("─",$Z$13),"")</f>
        <v/>
      </c>
      <c r="Z20" s="455" t="str">
        <f t="shared" ca="1" si="4"/>
        <v/>
      </c>
      <c r="AA20" s="117" t="str">
        <f t="shared" ca="1" si="3"/>
        <v/>
      </c>
      <c r="AB20" s="123" t="str">
        <f ca="1">IFERROR(VLOOKUP($V20,OCULTOS!$P$2:$V$3,AB$13,FALSE),"")</f>
        <v/>
      </c>
      <c r="AC20" s="121" t="str">
        <f ca="1">IFERROR(VLOOKUP($V20,OCULTOS!$P$2:$V$3,AC$13,FALSE),"")</f>
        <v/>
      </c>
      <c r="AD20" s="120" t="str">
        <f ca="1">IFERROR(VLOOKUP($V20,OCULTOS!$P$2:$V$3,AD$13,FALSE),"")</f>
        <v/>
      </c>
      <c r="AE20" s="122" t="str">
        <f ca="1">IFERROR(VLOOKUP($V20,OCULTOS!$P$2:$V$3,AE$13,FALSE),"")</f>
        <v/>
      </c>
      <c r="AF20" s="124" t="str">
        <f ca="1">IFERROR(VLOOKUP($V20,OCULTOS!$P$2:$V$3,AF$13,FALSE),"")</f>
        <v/>
      </c>
      <c r="AG20" s="122" t="str">
        <f ca="1">IFERROR(IF(Art=V20,OCULTOS!$S$4,""),"")</f>
        <v/>
      </c>
      <c r="AH20" s="62" t="s">
        <v>62</v>
      </c>
      <c r="AI20" s="131">
        <f ca="1">IFERROR(IF(AND(V20&lt;&gt;"",V20&lt;&gt;Ap_1, V20&lt;&gt;Ap_2),  IF(D_Fijos=_OK,
   VLOOKUP(Nombre_Datos_Fijos,    T_D_FIJOS[[#All],[NOMBRE]:[q_MO]],HLOOKUP(AH20,    'DATOS FIJOS'!$1:$2,2,0),0),
   VLOOKUP(Nombre_Datos_Variables,T_D_VAR[[#All],[NOMBRE]:[q_MO]],HLOOKUP(AH20,'DATOS VARIABLES'!$1:$2,2,0),0)), 0 ),0)</f>
        <v>0</v>
      </c>
      <c r="AJ20" s="63" t="str">
        <f t="shared" ca="1" si="0"/>
        <v/>
      </c>
      <c r="AK20" s="62" t="s">
        <v>77</v>
      </c>
      <c r="AL20" s="132">
        <f ca="1">IFERROR(IF(AND(V20&lt;&gt;"",V20&lt;&gt;Ap_1),  IF(D_Fijos=_OK,
   VLOOKUP(Nombre_Datos_Fijos,    T_D_FIJOS[[#All],[NOMBRE]:[q_MO]],HLOOKUP(AK20,    'DATOS FIJOS'!$1:$2,2,0),0),
   VLOOKUP(Nombre_Datos_Variables,T_D_VAR[[#All],[NOMBRE]:[q_MO]],HLOOKUP(AK20,'DATOS VARIABLES'!$1:$2,2,0),0)), 0 ),0)</f>
        <v>0</v>
      </c>
      <c r="AM20" s="64" t="str">
        <f t="shared" ca="1" si="1"/>
        <v/>
      </c>
      <c r="AN20" s="62" t="s">
        <v>92</v>
      </c>
      <c r="AO20" s="133">
        <f ca="1">IFERROR(IF(AND(V20&lt;&gt;"",V20&lt;&gt;Ap_1,  Art&lt;&gt;V20),IF(D_Fijos=_OK,
   VLOOKUP(Nombre_Datos_Fijos,    T_D_FIJOS[[#All],[NOMBRE]:[q_MO]],HLOOKUP(AN20,    'DATOS FIJOS'!$1:$2,2,0),0),
   VLOOKUP(Nombre_Datos_Variables,T_D_VAR[[#All],[NOMBRE]:[q_MO]],HLOOKUP(AN20,'DATOS VARIABLES'!$1:$2,2,0),0)), 0 ),0)</f>
        <v>0</v>
      </c>
      <c r="AP20" s="65" t="str">
        <f t="shared" ca="1" si="2"/>
        <v/>
      </c>
      <c r="AQ20" s="66" t="s">
        <v>108</v>
      </c>
      <c r="AR20" s="134">
        <f ca="1">IFERROR(IF(D_Fijos=_OK,
   VLOOKUP(Nombre_Datos_Fijos,    T_D_FIJOS[[#All],[NOMBRE]:[q_MO]],HLOOKUP(AQ20,    'DATOS FIJOS'!$1:$2,2,0),0),
   VLOOKUP(Nombre_Datos_Variables,T_D_VAR[[#All],[NOMBRE]:[q_MO]],HLOOKUP(AQ20,'DATOS VARIABLES'!$1:$2,2,0),0)),0)</f>
        <v>0</v>
      </c>
      <c r="AS20" s="67" t="str">
        <f ca="1">IF(AR20=0,"",IF(AR20&lt;0,REPT(_Abajo,6),REPT(_Arriba,6)))</f>
        <v/>
      </c>
    </row>
    <row r="21" spans="2:49" ht="15" customHeight="1" outlineLevel="1">
      <c r="B21" s="600"/>
      <c r="C21" s="600"/>
      <c r="D21" s="600"/>
      <c r="E21" s="600"/>
      <c r="F21" s="600"/>
      <c r="G21" s="600"/>
      <c r="H21" s="600"/>
      <c r="I21" s="600"/>
      <c r="J21" s="600"/>
      <c r="K21" s="600"/>
      <c r="L21" s="600"/>
      <c r="M21" s="600"/>
      <c r="N21" s="600"/>
      <c r="O21" s="600"/>
      <c r="P21" s="600"/>
      <c r="Q21" s="600"/>
      <c r="R21" s="600"/>
      <c r="S21" s="600"/>
      <c r="T21" s="600"/>
      <c r="V21" s="151" t="str">
        <f ca="1">IF(OR($X20&lt;&gt;0,$X21&lt;&gt;0),MID(W21,3,1),"")</f>
        <v/>
      </c>
      <c r="W21" s="61" t="s">
        <v>48</v>
      </c>
      <c r="X21" s="78">
        <f ca="1">IFERROR(IF(D_Fijos=_OK,VLOOKUP(Nombre_Datos_Fijos,T_D_FIJOS[[#All],[NOMBRE]:[q_MO]],
                         HLOOKUP(W21,            'DATOS FIJOS'!$1:$2,2,0),0),
                         VLOOKUP(Nombre_Datos_Variables,T_D_VAR[[#All],[NOMBRE]:[q_MO]],
                         HLOOKUP(W21,        'DATOS VARIABLES'!$1:$2,2,0),0)),0)</f>
        <v>0</v>
      </c>
      <c r="Y21" s="458" t="str">
        <f t="shared" ca="1" si="5"/>
        <v/>
      </c>
      <c r="Z21" s="455" t="str">
        <f t="shared" ca="1" si="4"/>
        <v/>
      </c>
      <c r="AA21" s="117" t="str">
        <f t="shared" ca="1" si="3"/>
        <v/>
      </c>
      <c r="AB21" s="123" t="str">
        <f ca="1">IFERROR(VLOOKUP($V21,OCULTOS!$P$2:$V$3,AB$13,FALSE),"")</f>
        <v/>
      </c>
      <c r="AC21" s="121" t="str">
        <f ca="1">IFERROR(VLOOKUP($V21,OCULTOS!$P$2:$V$3,AC$13,FALSE),"")</f>
        <v/>
      </c>
      <c r="AD21" s="120" t="str">
        <f ca="1">IFERROR(VLOOKUP($V21,OCULTOS!$P$2:$V$3,AD$13,FALSE),"")</f>
        <v/>
      </c>
      <c r="AE21" s="122" t="str">
        <f ca="1">IFERROR(VLOOKUP($V21,OCULTOS!$P$2:$V$3,AE$13,FALSE),"")</f>
        <v/>
      </c>
      <c r="AF21" s="124" t="str">
        <f ca="1">IFERROR(VLOOKUP($V21,OCULTOS!$P$2:$V$3,AF$13,FALSE),"")</f>
        <v/>
      </c>
      <c r="AG21" s="122" t="str">
        <f ca="1">IFERROR(IF(Art=V21,OCULTOS!$S$4,""),"")</f>
        <v/>
      </c>
      <c r="AH21" s="62" t="s">
        <v>63</v>
      </c>
      <c r="AI21" s="131">
        <f ca="1">IFERROR(IF(AND(V21&lt;&gt;"",V21&lt;&gt;Ap_1, V21&lt;&gt;Ap_2),  IF(D_Fijos=_OK,
   VLOOKUP(Nombre_Datos_Fijos,    T_D_FIJOS[[#All],[NOMBRE]:[q_MO]],HLOOKUP(AH21,    'DATOS FIJOS'!$1:$2,2,0),0),
   VLOOKUP(Nombre_Datos_Variables,T_D_VAR[[#All],[NOMBRE]:[q_MO]],HLOOKUP(AH21,'DATOS VARIABLES'!$1:$2,2,0),0)), 0 ),0)</f>
        <v>0</v>
      </c>
      <c r="AJ21" s="63" t="str">
        <f ca="1">IF(OR(AI21="",AI21=0),"",IF(AI21&gt;0,_Arriba,_Abajo))</f>
        <v/>
      </c>
      <c r="AK21" s="62" t="s">
        <v>78</v>
      </c>
      <c r="AL21" s="132">
        <f ca="1">IFERROR(IF(AND(V21&lt;&gt;"",V21&lt;&gt;Ap_1),  IF(D_Fijos=_OK,
   VLOOKUP(Nombre_Datos_Fijos,    T_D_FIJOS[[#All],[NOMBRE]:[q_MO]],HLOOKUP(AK21,    'DATOS FIJOS'!$1:$2,2,0),0),
   VLOOKUP(Nombre_Datos_Variables,T_D_VAR[[#All],[NOMBRE]:[q_MO]],HLOOKUP(AK21,'DATOS VARIABLES'!$1:$2,2,0),0)), 0 ),0)</f>
        <v>0</v>
      </c>
      <c r="AM21" s="64" t="str">
        <f t="shared" ca="1" si="1"/>
        <v/>
      </c>
      <c r="AN21" s="62" t="s">
        <v>93</v>
      </c>
      <c r="AO21" s="133">
        <f ca="1">IFERROR(IF(AND(V21&lt;&gt;"",V21&lt;&gt;Ap_1,  Art&lt;&gt;V21),IF(D_Fijos=_OK,
   VLOOKUP(Nombre_Datos_Fijos,    T_D_FIJOS[[#All],[NOMBRE]:[q_MO]],HLOOKUP(AN21,    'DATOS FIJOS'!$1:$2,2,0),0),
   VLOOKUP(Nombre_Datos_Variables,T_D_VAR[[#All],[NOMBRE]:[q_MO]],HLOOKUP(AN21,'DATOS VARIABLES'!$1:$2,2,0),0)), 0 ),0)</f>
        <v>0</v>
      </c>
      <c r="AP21" s="65" t="str">
        <f t="shared" ca="1" si="2"/>
        <v/>
      </c>
      <c r="AQ21" s="66" t="s">
        <v>109</v>
      </c>
      <c r="AR21" s="134">
        <f ca="1">IFERROR(IF(D_Fijos=_OK,
   VLOOKUP(Nombre_Datos_Fijos,    T_D_FIJOS[[#All],[NOMBRE]:[q_MO]],HLOOKUP(AQ21,    'DATOS FIJOS'!$1:$2,2,0),0),
   VLOOKUP(Nombre_Datos_Variables,T_D_VAR[[#All],[NOMBRE]:[q_MO]],HLOOKUP(AQ21,'DATOS VARIABLES'!$1:$2,2,0),0)),0)</f>
        <v>0</v>
      </c>
      <c r="AS21" s="67" t="str">
        <f ca="1">IF(AR21=0,"",IF(AR21&lt;0,REPT(_Abajo,6),REPT(_Arriba,6)))</f>
        <v/>
      </c>
    </row>
    <row r="22" spans="2:49" ht="15" customHeight="1" outlineLevel="1">
      <c r="B22" s="600"/>
      <c r="C22" s="600"/>
      <c r="D22" s="600"/>
      <c r="E22" s="600"/>
      <c r="F22" s="600"/>
      <c r="G22" s="600"/>
      <c r="H22" s="600"/>
      <c r="I22" s="600"/>
      <c r="J22" s="600"/>
      <c r="K22" s="600"/>
      <c r="L22" s="600"/>
      <c r="M22" s="600"/>
      <c r="N22" s="600"/>
      <c r="O22" s="600"/>
      <c r="P22" s="600"/>
      <c r="Q22" s="600"/>
      <c r="R22" s="600"/>
      <c r="S22" s="600"/>
      <c r="T22" s="600"/>
      <c r="V22" s="151" t="str">
        <f ca="1">IF(OR($X21&lt;&gt;0,$X22&lt;&gt;0),MID(W22,3,1),"")</f>
        <v/>
      </c>
      <c r="W22" s="61" t="s">
        <v>49</v>
      </c>
      <c r="X22" s="78">
        <f ca="1">IFERROR(IF(D_Fijos=_OK,VLOOKUP(Nombre_Datos_Fijos,T_D_FIJOS[[#All],[NOMBRE]:[q_MO]],
                         HLOOKUP(W22,            'DATOS FIJOS'!$1:$2,2,0),0),
                         VLOOKUP(Nombre_Datos_Variables,T_D_VAR[[#All],[NOMBRE]:[q_MO]],
                         HLOOKUP(W22,        'DATOS VARIABLES'!$1:$2,2,0),0)),0)</f>
        <v>0</v>
      </c>
      <c r="Y22" s="458" t="str">
        <f t="shared" ca="1" si="5"/>
        <v/>
      </c>
      <c r="Z22" s="455" t="str">
        <f t="shared" ca="1" si="4"/>
        <v/>
      </c>
      <c r="AA22" s="117" t="str">
        <f t="shared" ca="1" si="3"/>
        <v/>
      </c>
      <c r="AB22" s="123" t="str">
        <f ca="1">IFERROR(VLOOKUP($V22,OCULTOS!$P$2:$V$3,AB$13,FALSE),"")</f>
        <v/>
      </c>
      <c r="AC22" s="121" t="str">
        <f ca="1">IFERROR(VLOOKUP($V22,OCULTOS!$P$2:$V$3,AC$13,FALSE),"")</f>
        <v/>
      </c>
      <c r="AD22" s="120" t="str">
        <f ca="1">IFERROR(VLOOKUP($V22,OCULTOS!$P$2:$V$3,AD$13,FALSE),"")</f>
        <v/>
      </c>
      <c r="AE22" s="122" t="str">
        <f ca="1">IFERROR(VLOOKUP($V22,OCULTOS!$P$2:$V$3,AE$13,FALSE),"")</f>
        <v/>
      </c>
      <c r="AF22" s="124" t="str">
        <f ca="1">IFERROR(VLOOKUP($V22,OCULTOS!$P$2:$V$3,AF$13,FALSE),"")</f>
        <v/>
      </c>
      <c r="AG22" s="122" t="str">
        <f ca="1">IFERROR(IF(Art=V22,OCULTOS!$S$4,""),"")</f>
        <v/>
      </c>
      <c r="AH22" s="62" t="s">
        <v>64</v>
      </c>
      <c r="AI22" s="131">
        <f ca="1">IFERROR(IF(AND(V22&lt;&gt;"",V22&lt;&gt;Ap_1, V22&lt;&gt;Ap_2),  IF(D_Fijos=_OK,
   VLOOKUP(Nombre_Datos_Fijos,    T_D_FIJOS[[#All],[NOMBRE]:[q_MO]],HLOOKUP(AH22,    'DATOS FIJOS'!$1:$2,2,0),0),
   VLOOKUP(Nombre_Datos_Variables,T_D_VAR[[#All],[NOMBRE]:[q_MO]],HLOOKUP(AH22,'DATOS VARIABLES'!$1:$2,2,0),0)), 0 ),0)</f>
        <v>0</v>
      </c>
      <c r="AJ22" s="63" t="str">
        <f ca="1">IF(OR(AI22="",AI22=0),"",IF(AI22&gt;0,_Arriba,_Abajo))</f>
        <v/>
      </c>
      <c r="AK22" s="62" t="s">
        <v>79</v>
      </c>
      <c r="AL22" s="132">
        <f ca="1">IFERROR(IF(AND(V22&lt;&gt;"",V22&lt;&gt;Ap_1),  IF(D_Fijos=_OK,
   VLOOKUP(Nombre_Datos_Fijos,    T_D_FIJOS[[#All],[NOMBRE]:[q_MO]],HLOOKUP(AK22,    'DATOS FIJOS'!$1:$2,2,0),0),
   VLOOKUP(Nombre_Datos_Variables,T_D_VAR[[#All],[NOMBRE]:[q_MO]],HLOOKUP(AK22,'DATOS VARIABLES'!$1:$2,2,0),0)), 0 ),0)</f>
        <v>0</v>
      </c>
      <c r="AM22" s="64" t="str">
        <f t="shared" ca="1" si="1"/>
        <v/>
      </c>
      <c r="AN22" s="62" t="s">
        <v>94</v>
      </c>
      <c r="AO22" s="133">
        <f ca="1">IFERROR(IF(AND(V22&lt;&gt;"",V22&lt;&gt;Ap_1,  Art&lt;&gt;V22),IF(D_Fijos=_OK,
   VLOOKUP(Nombre_Datos_Fijos,    T_D_FIJOS[[#All],[NOMBRE]:[q_MO]],HLOOKUP(AN22,    'DATOS FIJOS'!$1:$2,2,0),0),
   VLOOKUP(Nombre_Datos_Variables,T_D_VAR[[#All],[NOMBRE]:[q_MO]],HLOOKUP(AN22,'DATOS VARIABLES'!$1:$2,2,0),0)), 0 ),0)</f>
        <v>0</v>
      </c>
      <c r="AP22" s="65" t="str">
        <f t="shared" ca="1" si="2"/>
        <v/>
      </c>
      <c r="AQ22" s="66" t="s">
        <v>110</v>
      </c>
      <c r="AR22" s="134">
        <f ca="1">IFERROR(IF(D_Fijos=_OK,
   VLOOKUP(Nombre_Datos_Fijos,    T_D_FIJOS[[#All],[NOMBRE]:[q_MO]],HLOOKUP(AQ22,    'DATOS FIJOS'!$1:$2,2,0),0),
   VLOOKUP(Nombre_Datos_Variables,T_D_VAR[[#All],[NOMBRE]:[q_MO]],HLOOKUP(AQ22,'DATOS VARIABLES'!$1:$2,2,0),0)),0)</f>
        <v>0</v>
      </c>
      <c r="AS22" s="67" t="str">
        <f t="shared" ref="AS22:AS28" ca="1" si="6">IF(AR22=0,"",IF(AR22&lt;0,REPT(_Abajo,6),REPT(_Arriba,6)))</f>
        <v/>
      </c>
    </row>
    <row r="23" spans="2:49" ht="15" customHeight="1" outlineLevel="1">
      <c r="B23" s="600"/>
      <c r="C23" s="600"/>
      <c r="D23" s="600"/>
      <c r="E23" s="600"/>
      <c r="F23" s="600"/>
      <c r="G23" s="600"/>
      <c r="H23" s="600"/>
      <c r="I23" s="600"/>
      <c r="J23" s="600"/>
      <c r="K23" s="600"/>
      <c r="L23" s="600"/>
      <c r="M23" s="600"/>
      <c r="N23" s="600"/>
      <c r="O23" s="600"/>
      <c r="P23" s="600"/>
      <c r="Q23" s="600"/>
      <c r="R23" s="600"/>
      <c r="S23" s="600"/>
      <c r="T23" s="600"/>
      <c r="V23" s="151" t="str">
        <f ca="1">IF(OR($X22&lt;&gt;0,$X23&lt;&gt;0),MID(W23,3,1),"")</f>
        <v/>
      </c>
      <c r="W23" s="61" t="s">
        <v>50</v>
      </c>
      <c r="X23" s="78">
        <f ca="1">IFERROR(IF(D_Fijos=_OK,VLOOKUP(Nombre_Datos_Fijos,T_D_FIJOS[[#All],[NOMBRE]:[q_MO]],
                         HLOOKUP(W23,            'DATOS FIJOS'!$1:$2,2,0),0),
                         VLOOKUP(Nombre_Datos_Variables,T_D_VAR[[#All],[NOMBRE]:[q_MO]],
                         HLOOKUP(W23,        'DATOS VARIABLES'!$1:$2,2,0),0)),0)</f>
        <v>0</v>
      </c>
      <c r="Y23" s="458" t="str">
        <f t="shared" ca="1" si="5"/>
        <v/>
      </c>
      <c r="Z23" s="455" t="str">
        <f t="shared" ca="1" si="4"/>
        <v/>
      </c>
      <c r="AA23" s="117" t="str">
        <f t="shared" ca="1" si="3"/>
        <v/>
      </c>
      <c r="AB23" s="123" t="str">
        <f ca="1">IFERROR(VLOOKUP($V23,OCULTOS!$P$2:$V$3,AB$13,FALSE),"")</f>
        <v/>
      </c>
      <c r="AC23" s="121" t="str">
        <f ca="1">IFERROR(VLOOKUP($V23,OCULTOS!$P$2:$V$3,AC$13,FALSE),"")</f>
        <v/>
      </c>
      <c r="AD23" s="120" t="str">
        <f ca="1">IFERROR(VLOOKUP($V23,OCULTOS!$P$2:$V$3,AD$13,FALSE),"")</f>
        <v/>
      </c>
      <c r="AE23" s="122" t="str">
        <f ca="1">IFERROR(VLOOKUP($V23,OCULTOS!$P$2:$V$3,AE$13,FALSE),"")</f>
        <v/>
      </c>
      <c r="AF23" s="124" t="str">
        <f ca="1">IFERROR(VLOOKUP($V23,OCULTOS!$P$2:$V$3,AF$13,FALSE),"")</f>
        <v/>
      </c>
      <c r="AG23" s="122" t="str">
        <f ca="1">IFERROR(IF(Art=V23,OCULTOS!$S$4,""),"")</f>
        <v/>
      </c>
      <c r="AH23" s="62" t="s">
        <v>65</v>
      </c>
      <c r="AI23" s="131">
        <f ca="1">IFERROR(IF(AND(V23&lt;&gt;"",V23&lt;&gt;Ap_1, V23&lt;&gt;Ap_2),  IF(D_Fijos=_OK,
   VLOOKUP(Nombre_Datos_Fijos,    T_D_FIJOS[[#All],[NOMBRE]:[q_MO]],HLOOKUP(AH23,    'DATOS FIJOS'!$1:$2,2,0),0),
   VLOOKUP(Nombre_Datos_Variables,T_D_VAR[[#All],[NOMBRE]:[q_MO]],HLOOKUP(AH23,'DATOS VARIABLES'!$1:$2,2,0),0)), 0 ),0)</f>
        <v>0</v>
      </c>
      <c r="AJ23" s="63" t="str">
        <f t="shared" ca="1" si="0"/>
        <v/>
      </c>
      <c r="AK23" s="62" t="s">
        <v>80</v>
      </c>
      <c r="AL23" s="132">
        <f ca="1">IFERROR(IF(AND(V23&lt;&gt;"",V23&lt;&gt;Ap_1),  IF(D_Fijos=_OK,
   VLOOKUP(Nombre_Datos_Fijos,    T_D_FIJOS[[#All],[NOMBRE]:[q_MO]],HLOOKUP(AK23,    'DATOS FIJOS'!$1:$2,2,0),0),
   VLOOKUP(Nombre_Datos_Variables,T_D_VAR[[#All],[NOMBRE]:[q_MO]],HLOOKUP(AK23,'DATOS VARIABLES'!$1:$2,2,0),0)), 0 ),0)</f>
        <v>0</v>
      </c>
      <c r="AM23" s="64" t="str">
        <f t="shared" ca="1" si="1"/>
        <v/>
      </c>
      <c r="AN23" s="62" t="s">
        <v>95</v>
      </c>
      <c r="AO23" s="133">
        <f ca="1">IFERROR(IF(AND(V23&lt;&gt;"",V23&lt;&gt;Ap_1,  Art&lt;&gt;V23),IF(D_Fijos=_OK,
   VLOOKUP(Nombre_Datos_Fijos,    T_D_FIJOS[[#All],[NOMBRE]:[q_MO]],HLOOKUP(AN23,    'DATOS FIJOS'!$1:$2,2,0),0),
   VLOOKUP(Nombre_Datos_Variables,T_D_VAR[[#All],[NOMBRE]:[q_MO]],HLOOKUP(AN23,'DATOS VARIABLES'!$1:$2,2,0),0)), 0 ),0)</f>
        <v>0</v>
      </c>
      <c r="AP23" s="65" t="str">
        <f t="shared" ca="1" si="2"/>
        <v/>
      </c>
      <c r="AQ23" s="66" t="s">
        <v>111</v>
      </c>
      <c r="AR23" s="134">
        <f ca="1">IFERROR(IF(D_Fijos=_OK,
   VLOOKUP(Nombre_Datos_Fijos,    T_D_FIJOS[[#All],[NOMBRE]:[q_MO]],HLOOKUP(AQ23,    'DATOS FIJOS'!$1:$2,2,0),0),
   VLOOKUP(Nombre_Datos_Variables,T_D_VAR[[#All],[NOMBRE]:[q_MO]],HLOOKUP(AQ23,'DATOS VARIABLES'!$1:$2,2,0),0)),0)</f>
        <v>0</v>
      </c>
      <c r="AS23" s="67" t="str">
        <f t="shared" ca="1" si="6"/>
        <v/>
      </c>
    </row>
    <row r="24" spans="2:49" ht="15" customHeight="1" outlineLevel="1">
      <c r="B24" s="600"/>
      <c r="C24" s="600"/>
      <c r="D24" s="600"/>
      <c r="E24" s="600"/>
      <c r="F24" s="600"/>
      <c r="G24" s="600"/>
      <c r="H24" s="600"/>
      <c r="I24" s="600"/>
      <c r="J24" s="600"/>
      <c r="K24" s="600"/>
      <c r="L24" s="600"/>
      <c r="M24" s="600"/>
      <c r="N24" s="600"/>
      <c r="O24" s="600"/>
      <c r="P24" s="600"/>
      <c r="Q24" s="600"/>
      <c r="R24" s="600"/>
      <c r="S24" s="600"/>
      <c r="T24" s="600"/>
      <c r="V24" s="208" t="str">
        <f ca="1">IF(OR(X23&lt;&gt;0),"I","")</f>
        <v/>
      </c>
      <c r="W24" s="61" t="s">
        <v>51</v>
      </c>
      <c r="X24" s="78">
        <f ca="1">IFERROR(IF(D_Fijos=_OK,VLOOKUP(Nombre_Datos_Fijos,T_D_FIJOS[[#All],[NOMBRE]:[q_MO]],
                         HLOOKUP(W24,            'DATOS FIJOS'!$1:$2,2,0),0),
                         VLOOKUP(Nombre_Datos_Variables,T_D_VAR[[#All],[NOMBRE]:[q_MO]],
                         HLOOKUP(W24,        'DATOS VARIABLES'!$1:$2,2,0),0)),0)</f>
        <v>0</v>
      </c>
      <c r="Y24" s="458" t="str">
        <f t="shared" ca="1" si="5"/>
        <v/>
      </c>
      <c r="Z24" s="455" t="str">
        <f t="shared" ca="1" si="4"/>
        <v/>
      </c>
      <c r="AA24" s="117" t="str">
        <f t="shared" ca="1" si="3"/>
        <v/>
      </c>
      <c r="AB24" s="123" t="str">
        <f ca="1">IFERROR(VLOOKUP($V24,OCULTOS!$P$2:$V$3,AB$13,FALSE),"")</f>
        <v/>
      </c>
      <c r="AC24" s="121" t="str">
        <f ca="1">IFERROR(VLOOKUP($V24,OCULTOS!$P$2:$V$3,AC$13,FALSE),"")</f>
        <v/>
      </c>
      <c r="AD24" s="120" t="str">
        <f ca="1">IFERROR(VLOOKUP($V24,OCULTOS!$P$2:$V$3,AD$13,FALSE),"")</f>
        <v/>
      </c>
      <c r="AE24" s="122" t="str">
        <f ca="1">IFERROR(VLOOKUP($V24,OCULTOS!$P$2:$V$3,AE$13,FALSE),"")</f>
        <v/>
      </c>
      <c r="AF24" s="124" t="str">
        <f ca="1">IFERROR(VLOOKUP($V24,OCULTOS!$P$2:$V$3,AF$13,FALSE),"")</f>
        <v/>
      </c>
      <c r="AG24" s="122" t="str">
        <f ca="1">IFERROR(IF(Art=V24,OCULTOS!$S$4,""),"")</f>
        <v/>
      </c>
      <c r="AH24" s="62" t="s">
        <v>66</v>
      </c>
      <c r="AI24" s="131">
        <f ca="1">IFERROR(IF(AND(V24&lt;&gt;"",V24&lt;&gt;Ap_1, V24&lt;&gt;Ap_2),  IF(D_Fijos=_OK,
   VLOOKUP(Nombre_Datos_Fijos,    T_D_FIJOS[[#All],[NOMBRE]:[q_MO]],HLOOKUP(AH24,    'DATOS FIJOS'!$1:$2,2,0),0),
   VLOOKUP(Nombre_Datos_Variables,T_D_VAR[[#All],[NOMBRE]:[q_MO]],HLOOKUP(AH24,'DATOS VARIABLES'!$1:$2,2,0),0)), 0 ),0)</f>
        <v>0</v>
      </c>
      <c r="AJ24" s="63" t="str">
        <f ca="1">IF(OR(AI24="",AI24=0),"",IF(AI24&gt;0,_Arriba,_Abajo))</f>
        <v/>
      </c>
      <c r="AK24" s="62" t="s">
        <v>81</v>
      </c>
      <c r="AL24" s="132">
        <f ca="1">IFERROR(IF(AND(V24&lt;&gt;"",V24&lt;&gt;Ap_1),  IF(D_Fijos=_OK,
   VLOOKUP(Nombre_Datos_Fijos,    T_D_FIJOS[[#All],[NOMBRE]:[q_MO]],HLOOKUP(AK24,    'DATOS FIJOS'!$1:$2,2,0),0),
   VLOOKUP(Nombre_Datos_Variables,T_D_VAR[[#All],[NOMBRE]:[q_MO]],HLOOKUP(AK24,'DATOS VARIABLES'!$1:$2,2,0),0)), 0 ),0)</f>
        <v>0</v>
      </c>
      <c r="AM24" s="64" t="str">
        <f t="shared" ca="1" si="1"/>
        <v/>
      </c>
      <c r="AN24" s="62" t="s">
        <v>96</v>
      </c>
      <c r="AO24" s="133">
        <f ca="1">IFERROR(IF(AND(V24&lt;&gt;"",V24&lt;&gt;Ap_1,  Art&lt;&gt;V24),IF(D_Fijos=_OK,
   VLOOKUP(Nombre_Datos_Fijos,    T_D_FIJOS[[#All],[NOMBRE]:[q_MO]],HLOOKUP(AN24,    'DATOS FIJOS'!$1:$2,2,0),0),
   VLOOKUP(Nombre_Datos_Variables,T_D_VAR[[#All],[NOMBRE]:[q_MO]],HLOOKUP(AN24,'DATOS VARIABLES'!$1:$2,2,0),0)), 0 ),0)</f>
        <v>0</v>
      </c>
      <c r="AP24" s="65" t="str">
        <f t="shared" ca="1" si="2"/>
        <v/>
      </c>
      <c r="AQ24" s="66" t="s">
        <v>112</v>
      </c>
      <c r="AR24" s="134">
        <f ca="1">IFERROR(IF(D_Fijos=_OK,
   VLOOKUP(Nombre_Datos_Fijos,    T_D_FIJOS[[#All],[NOMBRE]:[q_MO]],HLOOKUP(AQ24,    'DATOS FIJOS'!$1:$2,2,0),0),
   VLOOKUP(Nombre_Datos_Variables,T_D_VAR[[#All],[NOMBRE]:[q_MO]],HLOOKUP(AQ24,'DATOS VARIABLES'!$1:$2,2,0),0)),0)</f>
        <v>0</v>
      </c>
      <c r="AS24" s="67" t="str">
        <f ca="1">IF(AR24=0,"",IF(AR24&gt;0,REPT(_Abajo,6),REPT(_Arriba,6)))</f>
        <v/>
      </c>
    </row>
    <row r="25" spans="2:49" ht="15" customHeight="1" outlineLevel="1">
      <c r="B25" s="600"/>
      <c r="C25" s="600"/>
      <c r="D25" s="600"/>
      <c r="E25" s="600"/>
      <c r="F25" s="600"/>
      <c r="G25" s="600"/>
      <c r="H25" s="600"/>
      <c r="I25" s="600"/>
      <c r="J25" s="600"/>
      <c r="K25" s="600"/>
      <c r="L25" s="600"/>
      <c r="M25" s="600"/>
      <c r="N25" s="600"/>
      <c r="O25" s="600"/>
      <c r="P25" s="600"/>
      <c r="Q25" s="600"/>
      <c r="R25" s="600"/>
      <c r="S25" s="600"/>
      <c r="T25" s="600"/>
      <c r="V25" s="151" t="str">
        <f ca="1">IF(OR($X24&lt;&gt;0,$X25&lt;&gt;0),MID(W25,3,1),"")</f>
        <v/>
      </c>
      <c r="W25" s="61" t="s">
        <v>52</v>
      </c>
      <c r="X25" s="78">
        <f ca="1">IFERROR(IF(D_Fijos=_OK,VLOOKUP(Nombre_Datos_Fijos,T_D_FIJOS[[#All],[NOMBRE]:[q_MO]],
                         HLOOKUP(W25,            'DATOS FIJOS'!$1:$2,2,0),0),
                         VLOOKUP(Nombre_Datos_Variables,T_D_VAR[[#All],[NOMBRE]:[q_MO]],
                         HLOOKUP(W25,        'DATOS VARIABLES'!$1:$2,2,0),0)),0)</f>
        <v>0</v>
      </c>
      <c r="Y25" s="458" t="str">
        <f t="shared" ca="1" si="5"/>
        <v/>
      </c>
      <c r="Z25" s="455" t="str">
        <f t="shared" ca="1" si="4"/>
        <v/>
      </c>
      <c r="AA25" s="117" t="str">
        <f t="shared" ca="1" si="3"/>
        <v/>
      </c>
      <c r="AB25" s="123" t="str">
        <f ca="1">IFERROR(VLOOKUP($V25,OCULTOS!$P$2:$V$3,AB$13,FALSE),"")</f>
        <v/>
      </c>
      <c r="AC25" s="121" t="str">
        <f ca="1">IFERROR(VLOOKUP($V25,OCULTOS!$P$2:$V$3,AC$13,FALSE),"")</f>
        <v/>
      </c>
      <c r="AD25" s="120" t="str">
        <f ca="1">IFERROR(VLOOKUP($V25,OCULTOS!$P$2:$V$3,AD$13,FALSE),"")</f>
        <v/>
      </c>
      <c r="AE25" s="122" t="str">
        <f ca="1">IFERROR(VLOOKUP($V25,OCULTOS!$P$2:$V$3,AE$13,FALSE),"")</f>
        <v/>
      </c>
      <c r="AF25" s="124" t="str">
        <f ca="1">IFERROR(VLOOKUP($V25,OCULTOS!$P$2:$V$3,AF$13,FALSE),"")</f>
        <v/>
      </c>
      <c r="AG25" s="122" t="str">
        <f ca="1">IFERROR(IF(Art=V25,OCULTOS!$S$4,""),"")</f>
        <v/>
      </c>
      <c r="AH25" s="62" t="s">
        <v>67</v>
      </c>
      <c r="AI25" s="131">
        <f ca="1">IFERROR(IF(AND(V25&lt;&gt;"",V25&lt;&gt;Ap_1, V25&lt;&gt;Ap_2),  IF(D_Fijos=_OK,
   VLOOKUP(Nombre_Datos_Fijos,    T_D_FIJOS[[#All],[NOMBRE]:[q_MO]],HLOOKUP(AH25,    'DATOS FIJOS'!$1:$2,2,0),0),
   VLOOKUP(Nombre_Datos_Variables,T_D_VAR[[#All],[NOMBRE]:[q_MO]],HLOOKUP(AH25,'DATOS VARIABLES'!$1:$2,2,0),0)), 0 ),0)</f>
        <v>0</v>
      </c>
      <c r="AJ25" s="63" t="str">
        <f t="shared" ca="1" si="0"/>
        <v/>
      </c>
      <c r="AK25" s="62" t="s">
        <v>82</v>
      </c>
      <c r="AL25" s="132">
        <f ca="1">IFERROR(IF(AND(V25&lt;&gt;"",V25&lt;&gt;Ap_1),  IF(D_Fijos=_OK,
   VLOOKUP(Nombre_Datos_Fijos,    T_D_FIJOS[[#All],[NOMBRE]:[q_MO]],HLOOKUP(AK25,    'DATOS FIJOS'!$1:$2,2,0),0),
   VLOOKUP(Nombre_Datos_Variables,T_D_VAR[[#All],[NOMBRE]:[q_MO]],HLOOKUP(AK25,'DATOS VARIABLES'!$1:$2,2,0),0)), 0 ),0)</f>
        <v>0</v>
      </c>
      <c r="AM25" s="64" t="str">
        <f t="shared" ca="1" si="1"/>
        <v/>
      </c>
      <c r="AN25" s="62" t="s">
        <v>97</v>
      </c>
      <c r="AO25" s="133">
        <f ca="1">IFERROR(IF(AND(V25&lt;&gt;"",V25&lt;&gt;Ap_1,  Art&lt;&gt;V25),IF(D_Fijos=_OK,
   VLOOKUP(Nombre_Datos_Fijos,    T_D_FIJOS[[#All],[NOMBRE]:[q_MO]],HLOOKUP(AN25,    'DATOS FIJOS'!$1:$2,2,0),0),
   VLOOKUP(Nombre_Datos_Variables,T_D_VAR[[#All],[NOMBRE]:[q_MO]],HLOOKUP(AN25,'DATOS VARIABLES'!$1:$2,2,0),0)), 0 ),0)</f>
        <v>0</v>
      </c>
      <c r="AP25" s="65" t="str">
        <f t="shared" ca="1" si="2"/>
        <v/>
      </c>
      <c r="AQ25" s="66" t="s">
        <v>113</v>
      </c>
      <c r="AR25" s="134">
        <f ca="1">IFERROR(IF(D_Fijos=_OK,
   VLOOKUP(Nombre_Datos_Fijos,    T_D_FIJOS[[#All],[NOMBRE]:[q_MO]],HLOOKUP(AQ25,    'DATOS FIJOS'!$1:$2,2,0),0),
   VLOOKUP(Nombre_Datos_Variables,T_D_VAR[[#All],[NOMBRE]:[q_MO]],HLOOKUP(AQ25,'DATOS VARIABLES'!$1:$2,2,0),0)),0)</f>
        <v>0</v>
      </c>
      <c r="AS25" s="67" t="str">
        <f ca="1">IF(AR25=0,"",IF(AR25&gt;0,REPT(_Abajo,6),REPT(_Arriba,6)))</f>
        <v/>
      </c>
    </row>
    <row r="26" spans="2:49" ht="15" customHeight="1" outlineLevel="1">
      <c r="B26" s="600"/>
      <c r="C26" s="600"/>
      <c r="D26" s="600"/>
      <c r="E26" s="600"/>
      <c r="F26" s="600"/>
      <c r="G26" s="600"/>
      <c r="H26" s="600"/>
      <c r="I26" s="600"/>
      <c r="J26" s="600"/>
      <c r="K26" s="600"/>
      <c r="L26" s="600"/>
      <c r="M26" s="600"/>
      <c r="N26" s="600"/>
      <c r="O26" s="600"/>
      <c r="P26" s="600"/>
      <c r="Q26" s="600"/>
      <c r="R26" s="600"/>
      <c r="S26" s="600"/>
      <c r="T26" s="600"/>
      <c r="V26" s="151" t="str">
        <f ca="1">IF(OR($X25&lt;&gt;0,$X26&lt;&gt;0),MID(W26,3,1),"")</f>
        <v/>
      </c>
      <c r="W26" s="61" t="s">
        <v>53</v>
      </c>
      <c r="X26" s="78">
        <f ca="1">IFERROR(IF(D_Fijos=_OK,VLOOKUP(Nombre_Datos_Fijos,T_D_FIJOS[[#All],[NOMBRE]:[q_MO]],
                         HLOOKUP(W26,            'DATOS FIJOS'!$1:$2,2,0),0),
                         VLOOKUP(Nombre_Datos_Variables,T_D_VAR[[#All],[NOMBRE]:[q_MO]],
                         HLOOKUP(W26,        'DATOS VARIABLES'!$1:$2,2,0),0)),0)</f>
        <v>0</v>
      </c>
      <c r="Y26" s="458" t="str">
        <f t="shared" ca="1" si="5"/>
        <v/>
      </c>
      <c r="Z26" s="455" t="str">
        <f t="shared" ca="1" si="4"/>
        <v/>
      </c>
      <c r="AA26" s="117" t="str">
        <f t="shared" ca="1" si="3"/>
        <v/>
      </c>
      <c r="AB26" s="123" t="str">
        <f ca="1">IFERROR(VLOOKUP($V26,OCULTOS!$P$2:$V$3,AB$13,FALSE),"")</f>
        <v/>
      </c>
      <c r="AC26" s="121" t="str">
        <f ca="1">IFERROR(VLOOKUP($V26,OCULTOS!$P$2:$V$3,AC$13,FALSE),"")</f>
        <v/>
      </c>
      <c r="AD26" s="120" t="str">
        <f ca="1">IFERROR(VLOOKUP($V26,OCULTOS!$P$2:$V$3,AD$13,FALSE),"")</f>
        <v/>
      </c>
      <c r="AE26" s="122" t="str">
        <f ca="1">IFERROR(VLOOKUP($V26,OCULTOS!$P$2:$V$3,AE$13,FALSE),"")</f>
        <v/>
      </c>
      <c r="AF26" s="124" t="str">
        <f ca="1">IFERROR(VLOOKUP($V26,OCULTOS!$P$2:$V$3,AF$13,FALSE),"")</f>
        <v/>
      </c>
      <c r="AG26" s="122" t="str">
        <f ca="1">IFERROR(IF(Art=V26,OCULTOS!$S$4,""),"")</f>
        <v/>
      </c>
      <c r="AH26" s="62" t="s">
        <v>68</v>
      </c>
      <c r="AI26" s="131">
        <f ca="1">IFERROR(IF(AND(V26&lt;&gt;"",V26&lt;&gt;Ap_1, V26&lt;&gt;Ap_2),  IF(D_Fijos=_OK,
   VLOOKUP(Nombre_Datos_Fijos,    T_D_FIJOS[[#All],[NOMBRE]:[q_MO]],HLOOKUP(AH26,    'DATOS FIJOS'!$1:$2,2,0),0),
   VLOOKUP(Nombre_Datos_Variables,T_D_VAR[[#All],[NOMBRE]:[q_MO]],HLOOKUP(AH26,'DATOS VARIABLES'!$1:$2,2,0),0)), 0 ),0)</f>
        <v>0</v>
      </c>
      <c r="AJ26" s="63" t="str">
        <f ca="1">IF(OR(AI26="",AI26=0),"",IF(AI26&gt;0,_Arriba,_Abajo))</f>
        <v/>
      </c>
      <c r="AK26" s="62" t="s">
        <v>83</v>
      </c>
      <c r="AL26" s="132">
        <f ca="1">IFERROR(IF(AND(V26&lt;&gt;"",V26&lt;&gt;Ap_1),  IF(D_Fijos=_OK,
   VLOOKUP(Nombre_Datos_Fijos,    T_D_FIJOS[[#All],[NOMBRE]:[q_MO]],HLOOKUP(AK26,    'DATOS FIJOS'!$1:$2,2,0),0),
   VLOOKUP(Nombre_Datos_Variables,T_D_VAR[[#All],[NOMBRE]:[q_MO]],HLOOKUP(AK26,'DATOS VARIABLES'!$1:$2,2,0),0)), 0 ),0)</f>
        <v>0</v>
      </c>
      <c r="AM26" s="64" t="str">
        <f t="shared" ca="1" si="1"/>
        <v/>
      </c>
      <c r="AN26" s="62" t="s">
        <v>98</v>
      </c>
      <c r="AO26" s="133">
        <f ca="1">IFERROR(IF(AND(V26&lt;&gt;"",V26&lt;&gt;Ap_1,  Art&lt;&gt;V26),IF(D_Fijos=_OK,
   VLOOKUP(Nombre_Datos_Fijos,    T_D_FIJOS[[#All],[NOMBRE]:[q_MO]],HLOOKUP(AN26,    'DATOS FIJOS'!$1:$2,2,0),0),
   VLOOKUP(Nombre_Datos_Variables,T_D_VAR[[#All],[NOMBRE]:[q_MO]],HLOOKUP(AN26,'DATOS VARIABLES'!$1:$2,2,0),0)), 0 ),0)</f>
        <v>0</v>
      </c>
      <c r="AP26" s="65" t="str">
        <f t="shared" ca="1" si="2"/>
        <v/>
      </c>
      <c r="AQ26" s="66" t="s">
        <v>114</v>
      </c>
      <c r="AR26" s="134">
        <f ca="1">IFERROR(IF(D_Fijos=_OK,
   VLOOKUP(Nombre_Datos_Fijos,    T_D_FIJOS[[#All],[NOMBRE]:[q_MO]],HLOOKUP(AQ26,    'DATOS FIJOS'!$1:$2,2,0),0),
   VLOOKUP(Nombre_Datos_Variables,T_D_VAR[[#All],[NOMBRE]:[q_MO]],HLOOKUP(AQ26,'DATOS VARIABLES'!$1:$2,2,0),0)),0)</f>
        <v>0</v>
      </c>
      <c r="AS26" s="67" t="str">
        <f ca="1">IF(AR26=0,"",IF(AR26&lt;0,REPT(_Abajo,6),REPT(_Arriba,6)))</f>
        <v/>
      </c>
    </row>
    <row r="27" spans="2:49" ht="15" customHeight="1" outlineLevel="1">
      <c r="B27" s="600"/>
      <c r="C27" s="600"/>
      <c r="D27" s="600"/>
      <c r="E27" s="600"/>
      <c r="F27" s="600"/>
      <c r="G27" s="600"/>
      <c r="H27" s="600"/>
      <c r="I27" s="600"/>
      <c r="J27" s="600"/>
      <c r="K27" s="600"/>
      <c r="L27" s="600"/>
      <c r="M27" s="600"/>
      <c r="N27" s="600"/>
      <c r="O27" s="600"/>
      <c r="P27" s="600"/>
      <c r="Q27" s="600"/>
      <c r="R27" s="600"/>
      <c r="S27" s="600"/>
      <c r="T27" s="600"/>
      <c r="V27" s="151" t="str">
        <f ca="1">IF(OR($X26&lt;&gt;0,$X27&lt;&gt;0),MID(W27,3,1),"")</f>
        <v/>
      </c>
      <c r="W27" s="61" t="s">
        <v>54</v>
      </c>
      <c r="X27" s="78">
        <f ca="1">IFERROR(IF(D_Fijos=_OK,VLOOKUP(Nombre_Datos_Fijos,T_D_FIJOS[[#All],[NOMBRE]:[q_MO]],
                         HLOOKUP(W27,            'DATOS FIJOS'!$1:$2,2,0),0),
                         VLOOKUP(Nombre_Datos_Variables,T_D_VAR[[#All],[NOMBRE]:[q_MO]],
                         HLOOKUP(W27,        'DATOS VARIABLES'!$1:$2,2,0),0)),0)</f>
        <v>0</v>
      </c>
      <c r="Y27" s="458" t="str">
        <f t="shared" ca="1" si="5"/>
        <v/>
      </c>
      <c r="Z27" s="455" t="str">
        <f t="shared" ca="1" si="4"/>
        <v/>
      </c>
      <c r="AA27" s="117" t="str">
        <f t="shared" ca="1" si="3"/>
        <v/>
      </c>
      <c r="AB27" s="123" t="str">
        <f ca="1">IFERROR(VLOOKUP($V27,OCULTOS!$P$2:$V$3,AB$13,FALSE),"")</f>
        <v/>
      </c>
      <c r="AC27" s="121" t="str">
        <f ca="1">IFERROR(VLOOKUP($V27,OCULTOS!$P$2:$V$3,AC$13,FALSE),"")</f>
        <v/>
      </c>
      <c r="AD27" s="120" t="str">
        <f ca="1">IFERROR(VLOOKUP($V27,OCULTOS!$P$2:$V$3,AD$13,FALSE),"")</f>
        <v/>
      </c>
      <c r="AE27" s="122" t="str">
        <f ca="1">IFERROR(VLOOKUP($V27,OCULTOS!$P$2:$V$3,AE$13,FALSE),"")</f>
        <v/>
      </c>
      <c r="AF27" s="124" t="str">
        <f ca="1">IFERROR(VLOOKUP($V27,OCULTOS!$P$2:$V$3,AF$13,FALSE),"")</f>
        <v/>
      </c>
      <c r="AG27" s="122" t="str">
        <f ca="1">IFERROR(IF(Art=V27,OCULTOS!$S$4,""),"")</f>
        <v/>
      </c>
      <c r="AH27" s="62" t="s">
        <v>69</v>
      </c>
      <c r="AI27" s="131">
        <f ca="1">IFERROR(IF(AND(V27&lt;&gt;"",V27&lt;&gt;Ap_1, V27&lt;&gt;Ap_2),  IF(D_Fijos=_OK,
   VLOOKUP(Nombre_Datos_Fijos,    T_D_FIJOS[[#All],[NOMBRE]:[q_MO]],HLOOKUP(AH27,    'DATOS FIJOS'!$1:$2,2,0),0),
   VLOOKUP(Nombre_Datos_Variables,T_D_VAR[[#All],[NOMBRE]:[q_MO]],HLOOKUP(AH27,'DATOS VARIABLES'!$1:$2,2,0),0)), 0 ),0)</f>
        <v>0</v>
      </c>
      <c r="AJ27" s="63" t="str">
        <f t="shared" ca="1" si="0"/>
        <v/>
      </c>
      <c r="AK27" s="62" t="s">
        <v>84</v>
      </c>
      <c r="AL27" s="132">
        <f ca="1">IFERROR(IF(AND(V27&lt;&gt;"",V27&lt;&gt;Ap_1),  IF(D_Fijos=_OK,
   VLOOKUP(Nombre_Datos_Fijos,    T_D_FIJOS[[#All],[NOMBRE]:[q_MO]],HLOOKUP(AK27,    'DATOS FIJOS'!$1:$2,2,0),0),
   VLOOKUP(Nombre_Datos_Variables,T_D_VAR[[#All],[NOMBRE]:[q_MO]],HLOOKUP(AK27,'DATOS VARIABLES'!$1:$2,2,0),0)), 0 ),0)</f>
        <v>0</v>
      </c>
      <c r="AM27" s="64" t="str">
        <f t="shared" ca="1" si="1"/>
        <v/>
      </c>
      <c r="AN27" s="62" t="s">
        <v>99</v>
      </c>
      <c r="AO27" s="133">
        <f ca="1">IFERROR(IF(AND(V27&lt;&gt;"",V27&lt;&gt;Ap_1,  Art&lt;&gt;V27),IF(D_Fijos=_OK,
   VLOOKUP(Nombre_Datos_Fijos,    T_D_FIJOS[[#All],[NOMBRE]:[q_MO]],HLOOKUP(AN27,    'DATOS FIJOS'!$1:$2,2,0),0),
   VLOOKUP(Nombre_Datos_Variables,T_D_VAR[[#All],[NOMBRE]:[q_MO]],HLOOKUP(AN27,'DATOS VARIABLES'!$1:$2,2,0),0)), 0 ),0)</f>
        <v>0</v>
      </c>
      <c r="AP27" s="65" t="str">
        <f t="shared" ca="1" si="2"/>
        <v/>
      </c>
      <c r="AQ27" s="66" t="s">
        <v>115</v>
      </c>
      <c r="AR27" s="134">
        <f ca="1">IFERROR(IF(D_Fijos=_OK,
   VLOOKUP(Nombre_Datos_Fijos,    T_D_FIJOS[[#All],[NOMBRE]:[q_MO]],HLOOKUP(AQ27,    'DATOS FIJOS'!$1:$2,2,0),0),
   VLOOKUP(Nombre_Datos_Variables,T_D_VAR[[#All],[NOMBRE]:[q_MO]],HLOOKUP(AQ27,'DATOS VARIABLES'!$1:$2,2,0),0)),0)</f>
        <v>0</v>
      </c>
      <c r="AS27" s="67" t="str">
        <f ca="1">IF(AR27=0,"",IF(AR27&lt;0,REPT(_Abajo,6),REPT(_Arriba,6)))</f>
        <v/>
      </c>
    </row>
    <row r="28" spans="2:49" ht="15" customHeight="1" outlineLevel="1">
      <c r="B28" s="600"/>
      <c r="C28" s="600"/>
      <c r="D28" s="600"/>
      <c r="E28" s="600"/>
      <c r="F28" s="600"/>
      <c r="G28" s="600"/>
      <c r="H28" s="600"/>
      <c r="I28" s="600"/>
      <c r="J28" s="600"/>
      <c r="K28" s="600"/>
      <c r="L28" s="600"/>
      <c r="M28" s="600"/>
      <c r="N28" s="600"/>
      <c r="O28" s="600"/>
      <c r="P28" s="600"/>
      <c r="Q28" s="600"/>
      <c r="R28" s="600"/>
      <c r="S28" s="600"/>
      <c r="T28" s="600"/>
      <c r="V28" s="151" t="str">
        <f ca="1">IF(OR($X27&lt;&gt;0,$X28&lt;&gt;0),MID(W28,3,1),"")</f>
        <v/>
      </c>
      <c r="W28" s="61" t="s">
        <v>55</v>
      </c>
      <c r="X28" s="78">
        <f ca="1">IFERROR(IF(D_Fijos=_OK,VLOOKUP(Nombre_Datos_Fijos,T_D_FIJOS[[#All],[NOMBRE]:[q_MO]],
                         HLOOKUP(W28,            'DATOS FIJOS'!$1:$2,2,0),0),
                         VLOOKUP(Nombre_Datos_Variables,T_D_VAR[[#All],[NOMBRE]:[q_MO]],
                         HLOOKUP(W28,        'DATOS VARIABLES'!$1:$2,2,0),0)),0)</f>
        <v>0</v>
      </c>
      <c r="Y28" s="458" t="str">
        <f t="shared" ca="1" si="5"/>
        <v/>
      </c>
      <c r="Z28" s="455" t="str">
        <f t="shared" ca="1" si="4"/>
        <v/>
      </c>
      <c r="AA28" s="117" t="str">
        <f t="shared" ca="1" si="3"/>
        <v/>
      </c>
      <c r="AB28" s="123" t="str">
        <f ca="1">IFERROR(VLOOKUP($V28,OCULTOS!$P$2:$V$3,AB$13,FALSE),"")</f>
        <v/>
      </c>
      <c r="AC28" s="121" t="str">
        <f ca="1">IFERROR(VLOOKUP($V28,OCULTOS!$P$2:$V$3,AC$13,FALSE),"")</f>
        <v/>
      </c>
      <c r="AD28" s="120" t="str">
        <f ca="1">IFERROR(VLOOKUP($V28,OCULTOS!$P$2:$V$3,AD$13,FALSE),"")</f>
        <v/>
      </c>
      <c r="AE28" s="122" t="str">
        <f ca="1">IFERROR(VLOOKUP($V28,OCULTOS!$P$2:$V$3,AE$13,FALSE),"")</f>
        <v/>
      </c>
      <c r="AF28" s="124" t="str">
        <f ca="1">IFERROR(VLOOKUP($V28,OCULTOS!$P$2:$V$3,AF$13,FALSE),"")</f>
        <v/>
      </c>
      <c r="AG28" s="122" t="str">
        <f ca="1">IFERROR(IF(Art=V28,OCULTOS!$S$4,""),"")</f>
        <v/>
      </c>
      <c r="AH28" s="62" t="s">
        <v>70</v>
      </c>
      <c r="AI28" s="131">
        <f ca="1">IFERROR(IF(AND(V28&lt;&gt;"",V28&lt;&gt;Ap_1, V28&lt;&gt;Ap_2),  IF(D_Fijos=_OK,
   VLOOKUP(Nombre_Datos_Fijos,    T_D_FIJOS[[#All],[NOMBRE]:[q_MO]],HLOOKUP(AH28,    'DATOS FIJOS'!$1:$2,2,0),0),
   VLOOKUP(Nombre_Datos_Variables,T_D_VAR[[#All],[NOMBRE]:[q_MO]],HLOOKUP(AH28,'DATOS VARIABLES'!$1:$2,2,0),0)), 0 ),0)</f>
        <v>0</v>
      </c>
      <c r="AJ28" s="63" t="str">
        <f t="shared" ca="1" si="0"/>
        <v/>
      </c>
      <c r="AK28" s="62" t="s">
        <v>85</v>
      </c>
      <c r="AL28" s="132">
        <f ca="1">IFERROR(IF(AND(V28&lt;&gt;"",V28&lt;&gt;Ap_1),  IF(D_Fijos=_OK,
   VLOOKUP(Nombre_Datos_Fijos,    T_D_FIJOS[[#All],[NOMBRE]:[q_MO]],HLOOKUP(AK28,    'DATOS FIJOS'!$1:$2,2,0),0),
   VLOOKUP(Nombre_Datos_Variables,T_D_VAR[[#All],[NOMBRE]:[q_MO]],HLOOKUP(AK28,'DATOS VARIABLES'!$1:$2,2,0),0)), 0 ),0)</f>
        <v>0</v>
      </c>
      <c r="AM28" s="64" t="str">
        <f t="shared" ca="1" si="1"/>
        <v/>
      </c>
      <c r="AN28" s="62" t="s">
        <v>100</v>
      </c>
      <c r="AO28" s="133">
        <f ca="1">IFERROR(IF(AND(V28&lt;&gt;"",V28&lt;&gt;Ap_1,  Art&lt;&gt;V28),IF(D_Fijos=_OK,
   VLOOKUP(Nombre_Datos_Fijos,    T_D_FIJOS[[#All],[NOMBRE]:[q_MO]],HLOOKUP(AN28,    'DATOS FIJOS'!$1:$2,2,0),0),
   VLOOKUP(Nombre_Datos_Variables,T_D_VAR[[#All],[NOMBRE]:[q_MO]],HLOOKUP(AN28,'DATOS VARIABLES'!$1:$2,2,0),0)), 0 ),0)</f>
        <v>0</v>
      </c>
      <c r="AP28" s="65" t="str">
        <f t="shared" ca="1" si="2"/>
        <v/>
      </c>
      <c r="AQ28" s="66" t="s">
        <v>116</v>
      </c>
      <c r="AR28" s="134">
        <f ca="1">IFERROR(IF(D_Fijos=_OK,
   VLOOKUP(Nombre_Datos_Fijos,    T_D_FIJOS[[#All],[NOMBRE]:[q_MO]],HLOOKUP(AQ28,    'DATOS FIJOS'!$1:$2,2,0),0),
   VLOOKUP(Nombre_Datos_Variables,T_D_VAR[[#All],[NOMBRE]:[q_MO]],HLOOKUP(AQ28,'DATOS VARIABLES'!$1:$2,2,0),0)),0)</f>
        <v>0</v>
      </c>
      <c r="AS28" s="67" t="str">
        <f t="shared" ca="1" si="6"/>
        <v/>
      </c>
    </row>
    <row r="29" spans="2:49" ht="15" customHeight="1" outlineLevel="1">
      <c r="B29" s="600"/>
      <c r="C29" s="600"/>
      <c r="D29" s="600"/>
      <c r="E29" s="600"/>
      <c r="F29" s="600"/>
      <c r="G29" s="600"/>
      <c r="H29" s="600"/>
      <c r="I29" s="600"/>
      <c r="J29" s="600"/>
      <c r="K29" s="600"/>
      <c r="L29" s="600"/>
      <c r="M29" s="600"/>
      <c r="N29" s="600"/>
      <c r="O29" s="600"/>
      <c r="P29" s="600"/>
      <c r="Q29" s="600"/>
      <c r="R29" s="600"/>
      <c r="S29" s="600"/>
      <c r="T29" s="600"/>
      <c r="V29" s="151" t="str">
        <f ca="1">IF($X28&lt;&gt;0,"N","")</f>
        <v/>
      </c>
      <c r="W29" s="61" t="s">
        <v>56</v>
      </c>
      <c r="X29" s="78">
        <f ca="1">IFERROR(IF(D_Fijos=_OK,VLOOKUP(Nombre_Datos_Fijos,T_D_FIJOS[[#All],[NOMBRE]:[q_MO]],
                         HLOOKUP(W29,            'DATOS FIJOS'!$1:$2,2,0),0),
                         VLOOKUP(Nombre_Datos_Variables,T_D_VAR[[#All],[NOMBRE]:[q_MO]],
                         HLOOKUP(W29,        'DATOS VARIABLES'!$1:$2,2,0),0)),0)</f>
        <v>0</v>
      </c>
      <c r="Y29" s="458" t="str">
        <f t="shared" ca="1" si="5"/>
        <v/>
      </c>
      <c r="Z29" s="455" t="str">
        <f t="shared" ca="1" si="4"/>
        <v/>
      </c>
      <c r="AA29" s="117" t="str">
        <f t="shared" ca="1" si="3"/>
        <v/>
      </c>
      <c r="AB29" s="123" t="str">
        <f ca="1">IFERROR(VLOOKUP($V29,OCULTOS!$P$2:$V$3,AB$13,FALSE),"")</f>
        <v/>
      </c>
      <c r="AC29" s="121" t="str">
        <f ca="1">IFERROR(VLOOKUP($V29,OCULTOS!$P$2:$V$3,AC$13,FALSE),"")</f>
        <v/>
      </c>
      <c r="AD29" s="120" t="str">
        <f ca="1">IFERROR(VLOOKUP($V29,OCULTOS!$P$2:$V$3,AD$13,FALSE),"")</f>
        <v/>
      </c>
      <c r="AE29" s="122" t="str">
        <f ca="1">IFERROR(VLOOKUP($V29,OCULTOS!$P$2:$V$3,AE$13,FALSE),"")</f>
        <v/>
      </c>
      <c r="AF29" s="124" t="str">
        <f ca="1">IFERROR(VLOOKUP($V29,OCULTOS!$P$2:$V$3,AF$13,FALSE),"")</f>
        <v/>
      </c>
      <c r="AG29" s="122" t="str">
        <f ca="1">IFERROR(IF(Art=V29,OCULTOS!$S$4,""),"")</f>
        <v/>
      </c>
      <c r="AH29" s="62" t="s">
        <v>71</v>
      </c>
      <c r="AI29" s="131">
        <f ca="1">IFERROR(IF(AND(V29&lt;&gt;"",V29&lt;&gt;Ap_1, V29&lt;&gt;Ap_2),  IF(D_Fijos=_OK,
   VLOOKUP(Nombre_Datos_Fijos,    T_D_FIJOS[[#All],[NOMBRE]:[q_MO]],HLOOKUP(AH29,    'DATOS FIJOS'!$1:$2,2,0),0),
   VLOOKUP(Nombre_Datos_Variables,T_D_VAR[[#All],[NOMBRE]:[q_MO]],HLOOKUP(AH29,'DATOS VARIABLES'!$1:$2,2,0),0)), 0 ),0)</f>
        <v>0</v>
      </c>
      <c r="AJ29" s="63" t="str">
        <f ca="1">IF(OR(AI29="",AI29=0),"",IF(AI29&gt;0,_Arriba,_Abajo))</f>
        <v/>
      </c>
      <c r="AK29" s="62" t="s">
        <v>86</v>
      </c>
      <c r="AL29" s="132">
        <f ca="1">IFERROR(IF(AND(V29&lt;&gt;"",V29&lt;&gt;Ap_1),  IF(D_Fijos=_OK,
   VLOOKUP(Nombre_Datos_Fijos,    T_D_FIJOS[[#All],[NOMBRE]:[q_MO]],HLOOKUP(AK29,    'DATOS FIJOS'!$1:$2,2,0),0),
   VLOOKUP(Nombre_Datos_Variables,T_D_VAR[[#All],[NOMBRE]:[q_MO]],HLOOKUP(AK29,'DATOS VARIABLES'!$1:$2,2,0),0)), 0 ),0)</f>
        <v>0</v>
      </c>
      <c r="AM29" s="64" t="str">
        <f t="shared" ca="1" si="1"/>
        <v/>
      </c>
      <c r="AN29" s="62" t="s">
        <v>101</v>
      </c>
      <c r="AO29" s="133">
        <f ca="1">IFERROR(IF(AND(V29&lt;&gt;"",V29&lt;&gt;Ap_1,  Art&lt;&gt;V29),IF(D_Fijos=_OK,
   VLOOKUP(Nombre_Datos_Fijos,    T_D_FIJOS[[#All],[NOMBRE]:[q_MO]],HLOOKUP(AN29,    'DATOS FIJOS'!$1:$2,2,0),0),
   VLOOKUP(Nombre_Datos_Variables,T_D_VAR[[#All],[NOMBRE]:[q_MO]],HLOOKUP(AN29,'DATOS VARIABLES'!$1:$2,2,0),0)), 0 ),0)</f>
        <v>0</v>
      </c>
      <c r="AP29" s="65" t="str">
        <f t="shared" ca="1" si="2"/>
        <v/>
      </c>
      <c r="AQ29" s="66" t="s">
        <v>117</v>
      </c>
      <c r="AR29" s="134">
        <f ca="1">IFERROR(IF(D_Fijos=_OK,
   VLOOKUP(Nombre_Datos_Fijos,    T_D_FIJOS[[#All],[NOMBRE]:[q_MO]],HLOOKUP(AQ29,    'DATOS FIJOS'!$1:$2,2,0),0),
   VLOOKUP(Nombre_Datos_Variables,T_D_VAR[[#All],[NOMBRE]:[q_MO]],HLOOKUP(AQ29,'DATOS VARIABLES'!$1:$2,2,0),0)),0)</f>
        <v>0</v>
      </c>
      <c r="AS29" s="67" t="str">
        <f ca="1">IF(AR29=0,"",IF(AR29&gt;0,REPT(_Abajo,6),REPT(_Arriba,6)))</f>
        <v/>
      </c>
    </row>
    <row r="30" spans="2:49" ht="15" customHeight="1" outlineLevel="1">
      <c r="B30" s="600"/>
      <c r="C30" s="600"/>
      <c r="D30" s="600"/>
      <c r="E30" s="600"/>
      <c r="F30" s="600"/>
      <c r="G30" s="600"/>
      <c r="H30" s="600"/>
      <c r="I30" s="600"/>
      <c r="J30" s="600"/>
      <c r="K30" s="600"/>
      <c r="L30" s="600"/>
      <c r="M30" s="600"/>
      <c r="N30" s="600"/>
      <c r="O30" s="600"/>
      <c r="P30" s="600"/>
      <c r="Q30" s="600"/>
      <c r="R30" s="600"/>
      <c r="S30" s="600"/>
      <c r="T30" s="600"/>
      <c r="V30" s="151" t="str">
        <f ca="1">IF(OR($X29&lt;&gt;0),"O","")</f>
        <v/>
      </c>
      <c r="W30" s="153" t="s">
        <v>405</v>
      </c>
      <c r="X30" s="207">
        <f ca="1">IFERROR(IF(D_Fijos=_OK,VLOOKUP(Nombre_Datos_Fijos,T_D_FIJOS[[#All],[NOMBRE]:[q_MO]],
                         HLOOKUP(W30,            'DATOS FIJOS'!$1:$2,2,0),0),
                         VLOOKUP(Nombre_Datos_Variables,T_D_VAR[[#All],[NOMBRE]:[q_MO]],
                         HLOOKUP(W30,        'DATOS VARIABLES'!$1:$2,2,0),0)),0)</f>
        <v>0</v>
      </c>
      <c r="Y30" s="460" t="str">
        <f ca="1">IF(OR(alfa_C=0,alfa_C=90),"","∡")</f>
        <v/>
      </c>
      <c r="Z30" s="456" t="str">
        <f ca="1">IF(OR(alfa_C=0,alfa_C=90),"",IF(Ver_Datos=_OK,alfa_C,"α"))</f>
        <v/>
      </c>
      <c r="AA30" s="119" t="str">
        <f t="shared" ca="1" si="3"/>
        <v/>
      </c>
      <c r="AB30" s="125" t="str">
        <f ca="1">IFERROR(VLOOKUP($V30,OCULTOS!$P$2:$V$3,AB$13,FALSE),"")</f>
        <v/>
      </c>
      <c r="AC30" s="126" t="str">
        <f ca="1">IFERROR(VLOOKUP($V30,OCULTOS!$P$2:$V$3,AC$13,FALSE),"")</f>
        <v/>
      </c>
      <c r="AD30" s="127" t="str">
        <f ca="1">IFERROR(VLOOKUP($V30,OCULTOS!$P$2:$V$3,AD$13,FALSE),"")</f>
        <v/>
      </c>
      <c r="AE30" s="128" t="str">
        <f ca="1">IFERROR(VLOOKUP($V30,OCULTOS!$P$2:$V$3,AE$13,FALSE),"")</f>
        <v/>
      </c>
      <c r="AF30" s="129" t="str">
        <f ca="1">IFERROR(VLOOKUP($V30,OCULTOS!$P$2:$V$3,AF$13,FALSE),"")</f>
        <v/>
      </c>
      <c r="AG30" s="128" t="str">
        <f ca="1">IFERROR(IF(Art=V30,OCULTOS!$S$4,""),"")</f>
        <v/>
      </c>
      <c r="AH30" s="135" t="s">
        <v>72</v>
      </c>
      <c r="AI30" s="131">
        <f ca="1">IFERROR(IF(AND(V30&lt;&gt;"",V30&lt;&gt;Ap_1, V30&lt;&gt;Ap_2),  IF(D_Fijos=_OK,
   VLOOKUP(Nombre_Datos_Fijos,    T_D_FIJOS[[#All],[NOMBRE]:[q_MO]],HLOOKUP(AH30,    'DATOS FIJOS'!$1:$2,2,0),0),
   VLOOKUP(Nombre_Datos_Variables,T_D_VAR[[#All],[NOMBRE]:[q_MO]],HLOOKUP(AH30,'DATOS VARIABLES'!$1:$2,2,0),0)), 0 ),0)</f>
        <v>0</v>
      </c>
      <c r="AJ30" s="136" t="str">
        <f t="shared" ca="1" si="0"/>
        <v/>
      </c>
      <c r="AK30" s="135" t="s">
        <v>87</v>
      </c>
      <c r="AL30" s="137">
        <f ca="1">IFERROR(IF(AND(V30&lt;&gt;"",V30&lt;&gt;Ap_1),  IF(D_Fijos=_OK,
   VLOOKUP(Nombre_Datos_Fijos,    T_D_FIJOS[[#All],[NOMBRE]:[q_MO]],HLOOKUP(AK30,    'DATOS FIJOS'!$1:$2,2,0),0),
   VLOOKUP(Nombre_Datos_Variables,T_D_VAR[[#All],[NOMBRE]:[q_MO]],HLOOKUP(AK30,'DATOS VARIABLES'!$1:$2,2,0),0)), 0 ),0)</f>
        <v>0</v>
      </c>
      <c r="AM30" s="138" t="str">
        <f t="shared" ca="1" si="1"/>
        <v/>
      </c>
      <c r="AN30" s="135" t="s">
        <v>102</v>
      </c>
      <c r="AO30" s="139">
        <f ca="1">IFERROR(IF(AND(V30&lt;&gt;"",V30&lt;&gt;Ap_1,  Art&lt;&gt;V30),IF(D_Fijos=_OK,
   VLOOKUP(Nombre_Datos_Fijos,    T_D_FIJOS[[#All],[NOMBRE]:[q_MO]],HLOOKUP(AN30,    'DATOS FIJOS'!$1:$2,2,0),0),
   VLOOKUP(Nombre_Datos_Variables,T_D_VAR[[#All],[NOMBRE]:[q_MO]],HLOOKUP(AN30,'DATOS VARIABLES'!$1:$2,2,0),0)), 0 ),0)</f>
        <v>0</v>
      </c>
      <c r="AP30" s="140" t="str">
        <f t="shared" ca="1" si="2"/>
        <v/>
      </c>
      <c r="AQ30" s="25"/>
      <c r="AR30" s="141"/>
      <c r="AS30" s="142"/>
    </row>
    <row r="31" spans="2:49" ht="16" thickBot="1">
      <c r="B31" s="592"/>
      <c r="C31" s="592"/>
      <c r="D31" s="592"/>
      <c r="E31" s="592"/>
      <c r="F31" s="592"/>
      <c r="G31" s="592"/>
      <c r="H31" s="592"/>
      <c r="I31" s="592"/>
      <c r="J31" s="592"/>
      <c r="K31" s="592"/>
      <c r="L31" s="592"/>
      <c r="M31" s="592"/>
      <c r="N31" s="592"/>
      <c r="O31" s="592"/>
      <c r="P31" s="592"/>
      <c r="Q31" s="592"/>
      <c r="R31" s="592"/>
      <c r="S31" s="592"/>
      <c r="T31" s="592"/>
      <c r="V31" s="339">
        <f ca="1">N("NUMERO DE COTAS") + COUNTA(V15:V30)-COUNTIF(V15:V30,"")-1</f>
        <v>-1</v>
      </c>
      <c r="W31" s="40" t="s">
        <v>444</v>
      </c>
      <c r="X31" s="41">
        <f ca="1">IF(OR(alfa_C=0,alfa_C=90),0,L_CE_v/2/SIN(RADIANS(alfa_C)))</f>
        <v>0</v>
      </c>
      <c r="Y31" s="21" t="s">
        <v>558</v>
      </c>
      <c r="Z31" s="21" cm="1">
        <f t="array" aca="1" ref="Z31" ca="1">IFERROR(IF(D_Fijos=_OK,IF(OR(Tipo_Ap=OCULTOS!N3,Ap_2=0),0,VLOOKUP(Nombre_Datos_Fijos,T_D_FIJOS[[#All],[NOMBRE]:[q_MO]],HLOOKUP(Y31,'DATOS FIJOS'!$1:$2,2,0),0)),INDIRECT("O"&amp;RANDBETWEEN(16,25))),0)</f>
        <v>0</v>
      </c>
      <c r="AB31" s="21" cm="1">
        <f t="array" aca="1" ref="AB31" ca="1">IFERROR(INDIRECT("M_"&amp;CHAR(CODE(Art)-1)&amp;Art&amp;"_j"),0)</f>
        <v>0</v>
      </c>
      <c r="AH31" s="614" t="s">
        <v>564</v>
      </c>
      <c r="AI31" s="615"/>
      <c r="AJ31" s="616"/>
      <c r="AK31" s="614" t="s">
        <v>565</v>
      </c>
      <c r="AL31" s="615"/>
      <c r="AM31" s="616"/>
      <c r="AN31" s="614" t="s">
        <v>566</v>
      </c>
      <c r="AO31" s="615"/>
      <c r="AP31" s="616"/>
      <c r="AQ31" s="614" t="s">
        <v>567</v>
      </c>
      <c r="AR31" s="615"/>
      <c r="AS31" s="616"/>
      <c r="AU31" s="22"/>
      <c r="AV31" s="22"/>
    </row>
    <row r="32" spans="2:49" outlineLevel="1">
      <c r="B32" s="560" t="s">
        <v>674</v>
      </c>
      <c r="C32" s="574" t="s">
        <v>143</v>
      </c>
      <c r="D32" s="575"/>
      <c r="E32" s="575"/>
      <c r="F32" s="575"/>
      <c r="G32" s="575"/>
      <c r="H32" s="575"/>
      <c r="I32" s="575"/>
      <c r="J32" s="575"/>
      <c r="K32" s="575"/>
      <c r="L32" s="575"/>
      <c r="M32" s="575"/>
      <c r="N32" s="575"/>
      <c r="O32" s="575"/>
      <c r="P32" s="575"/>
      <c r="Q32" s="576"/>
      <c r="W32" s="154" t="s">
        <v>445</v>
      </c>
      <c r="X32" s="155">
        <f ca="1">L_CD1</f>
        <v>0</v>
      </c>
      <c r="AA32" s="22" t="s">
        <v>648</v>
      </c>
      <c r="AB32" s="21" cm="1">
        <f t="array" aca="1" ref="AB32" ca="1">IFERROR(INDIRECT("M_"&amp;Art&amp;CHAR(CODE(Art)+1)&amp;"_i"),0)</f>
        <v>0</v>
      </c>
      <c r="AF32" t="str">
        <f ca="1">AH32&amp;AI32&amp;AJ32&amp;AK32&amp;AL32&amp;AM32&amp;AN32&amp;AO32&amp;AP32</f>
        <v/>
      </c>
      <c r="AG32" s="156" t="str">
        <f ca="1">$V15</f>
        <v/>
      </c>
      <c r="AH32" s="258" t="str">
        <f ca="1">IF($AG32="","","R{N{Nudo "&amp;AG32&amp;":}N}R  Pv = ")</f>
        <v/>
      </c>
      <c r="AI32" s="259" t="str">
        <f t="shared" ref="AI32:AI47" ca="1" si="7">IF(AH32="","","{"&amp;IF(AI15=0,0,3)&amp;":NM:~%100%"&amp;ABS(AI15)&amp;":0#"&amp;Retro_MuyBien&amp;"} "&amp;" kN ; ")</f>
        <v/>
      </c>
      <c r="AJ32" s="260" t="str">
        <f t="shared" ref="AJ32:AJ47" ca="1" si="8">IF(AI32="","",IF(AJ15=_Arriba, " {1:MCS:~%100%"&amp;_Arriba      &amp;"#"&amp;Retro_MuyBien&amp; "~%-50%"&amp;_Abajo&amp;"#"&amp;Retro_Mal&amp;"} ",
                             IF(AJ15=_Abajo,  " {1:MCS:~%100%"&amp;_Abajo       &amp;"#"&amp;Retro_MuyBien&amp; "~%-50%"&amp;_Arriba&amp;"#"&amp;Retro_Mal&amp;"} ",
                                                               " {0:MCS:~%100%"&amp;_Arriba      &amp;"#Sin carga vertical~%0%"    &amp;_Abajo &amp;"#Sin carga vertical} ") ))</f>
        <v/>
      </c>
      <c r="AK32" s="156" t="str">
        <f ca="1">IF($AG32="",""," Ph = ")</f>
        <v/>
      </c>
      <c r="AL32" s="259" t="str">
        <f t="shared" ref="AL32:AL47" ca="1" si="9">IF(AK32="",""," {"&amp;IF(AL15=0,0,3)&amp;":NM:~%100%"&amp;ABS(AL15)&amp;":0#"&amp;Retro_MuyBien&amp;"} "&amp;" kN ; ")</f>
        <v/>
      </c>
      <c r="AM32" s="260" t="str">
        <f t="shared" ref="AM32:AM47" ca="1" si="10">IF(AL32="","",IF(AM15=_Derecha,  "{1:MCS:~%100%"&amp;_Derecha &amp;"#"&amp;Retro_MuyBien&amp;        "~%-50%"&amp;_Izquierda&amp;"#"&amp;Retro_Mal&amp;"}",
                             IF(AM15=_Izquierda, "{1:MCS:~%100%"&amp;_Izquierda&amp;"#"&amp;Retro_MuyBien&amp;       "~%-50%"&amp;_Derecha  &amp;"#"&amp;Retro_Mal&amp;"}",
                                                                    "{0:MCS:~%100%"&amp;_Derecha  &amp;"#Sin carga horizontal~%0%"    &amp;_Izquierda &amp;"#Sin carga horizontal}") ))</f>
        <v/>
      </c>
      <c r="AN32" s="156" t="str">
        <f ca="1">IF($AG32="",""," Mz = ")</f>
        <v/>
      </c>
      <c r="AO32" s="259" t="str">
        <f t="shared" ref="AO32:AO47" ca="1" si="11">IF(AN32="",""," {"&amp;IF(AO15=0,0,3)&amp;":NM:~%100%"&amp;ABS(AO15)&amp;":0#"&amp;Retro_MuyBien&amp;"} "&amp;" kNm ; ")</f>
        <v/>
      </c>
      <c r="AP32" s="260" t="str">
        <f t="shared" ref="AP32:AP47" ca="1" si="12">IF(AO32="","",IF(AP15=_M_Pos, " {1:MCS:~%100%"&amp;_M_Pos &amp;"#"&amp;Retro_MuyBien&amp;        "~%-50%"&amp;_M_Neg&amp;"#"&amp;Retro_Mal,
                             IF(AP15=_M_Neg, " {1:MCS:~%100%"&amp;_M_Neg&amp;"#"&amp;Retro_MuyBien&amp;       "~%-50%"&amp;_M_Pos  &amp;"#"&amp;Retro_Mal,
                                                               " {0:MCS:~%100%"&amp;_M_Pos  &amp;"#Sin momento en z~%0%"        &amp;_M_Neg&amp;"#Sin momento en z") ) &amp;"}&lt;br&gt;" )</f>
        <v/>
      </c>
      <c r="AQ32" s="156" t="str" cm="1">
        <f t="array" aca="1" ref="AQ32" ca="1">IF(INDIRECT("L_"&amp;MID(AQ15,3,2))=0,""," "&amp;REPLACE(AQ15,2,1," ")&amp;" = ")</f>
        <v/>
      </c>
      <c r="AR32" s="259" t="str">
        <f ca="1">IF(AQ32="",""," {"&amp;IF(AR15=0,0,3)&amp;":NM:~%100%"&amp;ABS(AR15)&amp;":0#"&amp;Retro_MuyBien&amp;"} "&amp;" kN/m ")</f>
        <v/>
      </c>
      <c r="AS32" s="260" t="str">
        <f ca="1">IF(AR32="","",IF(AR15&gt;0, " {1:MCS:~%100%"&amp;_Derecha&amp;"#"  &amp;Retro_MuyBien&amp;       "~%-50%"&amp;_Izquierda&amp;"#"&amp;Retro_Mal,
                             IF(AR15&lt;0, " {1:MCS:~%100%"&amp;_Izquierda&amp;"#"&amp;Retro_MuyBien&amp;       "~%-50%"&amp;_Derecha  &amp;"#"&amp;Retro_Mal,
                                                   " {0:MCS:~%100%"&amp;_Derecha&amp;"#Sin carga uniforme~%0%"        &amp;_Izquierda&amp;"#Sin carga uniforme") ) &amp;"}&lt;br&gt;" )</f>
        <v/>
      </c>
      <c r="AT32" t="s">
        <v>1</v>
      </c>
      <c r="AV32" t="str">
        <f ca="1">AQ32&amp;AR32&amp;AS32</f>
        <v/>
      </c>
    </row>
    <row r="33" spans="2:48" ht="14.7" outlineLevel="1" thickBot="1">
      <c r="B33" s="561"/>
      <c r="C33" s="577" t="s">
        <v>652</v>
      </c>
      <c r="D33" s="578"/>
      <c r="E33" s="578"/>
      <c r="F33" s="578"/>
      <c r="G33" s="579"/>
      <c r="H33" s="577" t="s">
        <v>653</v>
      </c>
      <c r="I33" s="578"/>
      <c r="J33" s="578"/>
      <c r="K33" s="578"/>
      <c r="L33" s="579"/>
      <c r="M33" s="577" t="s">
        <v>654</v>
      </c>
      <c r="N33" s="578"/>
      <c r="O33" s="578"/>
      <c r="P33" s="578"/>
      <c r="Q33" s="580"/>
      <c r="R33" s="591" t="s">
        <v>144</v>
      </c>
      <c r="S33" s="591"/>
      <c r="T33" s="591"/>
      <c r="V33" s="4" t="s">
        <v>403</v>
      </c>
      <c r="W33" s="38" t="s">
        <v>142</v>
      </c>
      <c r="X33" s="21" t="s">
        <v>141</v>
      </c>
      <c r="AB33" s="618" t="s">
        <v>123</v>
      </c>
      <c r="AC33" s="619"/>
      <c r="AF33" t="str">
        <f t="shared" ref="AF33:AF47" ca="1" si="13">AH33&amp;AI33&amp;AJ33&amp;AK33&amp;AL33&amp;AM33&amp;AN33&amp;AO33&amp;AP33</f>
        <v/>
      </c>
      <c r="AG33" s="157" t="str">
        <f t="shared" ref="AG33:AG47" ca="1" si="14">$V16</f>
        <v/>
      </c>
      <c r="AH33" s="261" t="str">
        <f t="shared" ref="AH33:AH47" ca="1" si="15">IF($AG33="","","R{N{Nudo "&amp;AG33&amp;":}N}R  Pv = ")</f>
        <v/>
      </c>
      <c r="AI33" s="262" t="str">
        <f t="shared" ca="1" si="7"/>
        <v/>
      </c>
      <c r="AJ33" s="263" t="str">
        <f t="shared" ca="1" si="8"/>
        <v/>
      </c>
      <c r="AK33" s="157" t="str">
        <f t="shared" ref="AK33:AK47" ca="1" si="16">IF($AG33="",""," Ph = ")</f>
        <v/>
      </c>
      <c r="AL33" s="262" t="str">
        <f t="shared" ca="1" si="9"/>
        <v/>
      </c>
      <c r="AM33" s="263" t="str">
        <f t="shared" ca="1" si="10"/>
        <v/>
      </c>
      <c r="AN33" s="157" t="str">
        <f t="shared" ref="AN33:AN47" ca="1" si="17">IF($AG33="",""," Mz = ")</f>
        <v/>
      </c>
      <c r="AO33" s="262" t="str">
        <f t="shared" ca="1" si="11"/>
        <v/>
      </c>
      <c r="AP33" s="263" t="str">
        <f t="shared" ca="1" si="12"/>
        <v/>
      </c>
      <c r="AQ33" s="157" t="str" cm="1">
        <f t="array" aca="1" ref="AQ33" ca="1">IF(INDIRECT("L_"&amp;MID(AQ16,3,2))=0,""," "&amp;REPLACE(AQ16,2,1," ")&amp;" = ")</f>
        <v/>
      </c>
      <c r="AR33" s="262" t="str">
        <f ca="1">IF(AQ33="",""," {"&amp;IF(AR16=0,0,3)&amp;":NM:~%100%"&amp;ABS(AR16)&amp;":0#"&amp;Retro_MuyBien&amp;"} "&amp;" kN/m ")</f>
        <v/>
      </c>
      <c r="AS33" s="263" t="str">
        <f ca="1">IF(AR33="","",IF(AR16&gt;0, " {1:MCS:~%100%"&amp;_Derecha&amp;"#"  &amp;Retro_MuyBien&amp;       "~%-50%"&amp;_Izquierda&amp;"#"&amp;Retro_Mal,
                             IF(AR16&lt;0, " {1:MCS:~%100%"&amp;_Izquierda&amp;"#"&amp;Retro_MuyBien&amp;       "~%-50%"&amp;_Derecha  &amp;"#"&amp;Retro_Mal,
                                                   " {0:MCS:~%100%"&amp;_Derecha&amp;"#Sin carga uniforme~%0%"        &amp;_Izquierda&amp;"#Sin carga uniforme") ) &amp;"}&lt;br&gt;" )</f>
        <v/>
      </c>
      <c r="AT33" t="s">
        <v>1</v>
      </c>
      <c r="AV33" t="str">
        <f t="shared" ref="AV33:AV46" ca="1" si="18">AQ33&amp;AR33&amp;AS33</f>
        <v/>
      </c>
    </row>
    <row r="34" spans="2:48" ht="22.95" customHeight="1" outlineLevel="1">
      <c r="B34" s="595" t="s">
        <v>41</v>
      </c>
      <c r="C34" s="581">
        <f ca="1">IF(L_AB=0,0, - ( RFv_A + Fv_A ))</f>
        <v>0</v>
      </c>
      <c r="D34" s="587">
        <f ca="1">IFERROR(VLOOKUP('RESULTADOS - FTP'!M8,'ENLACES DIAGRAMAS'!$B:$J,9,0),0)</f>
        <v>0</v>
      </c>
      <c r="E34" s="587"/>
      <c r="F34" s="587"/>
      <c r="G34" s="583">
        <f ca="1" xml:space="preserve"> + N_AB_i</f>
        <v>0</v>
      </c>
      <c r="H34" s="581">
        <f ca="1">IF(L_AB=0,0,  - Fh_A  -  RFh_A)</f>
        <v>0</v>
      </c>
      <c r="I34" s="589">
        <f ca="1">IFERROR(VLOOKUP('RESULTADOS - FTP'!N8,'ENLACES DIAGRAMAS'!$B:$J,9,0),0)</f>
        <v>0</v>
      </c>
      <c r="J34" s="589"/>
      <c r="K34" s="589"/>
      <c r="L34" s="583">
        <f ca="1" xml:space="preserve"> + V_AB_i  -   q_AB * L_AB</f>
        <v>0</v>
      </c>
      <c r="M34" s="581">
        <f ca="1" xml:space="preserve"> IF(L_AB=0,0, +  Mz_A  +  RM_A)</f>
        <v>0</v>
      </c>
      <c r="N34" s="589">
        <f ca="1">IFERROR(VLOOKUP('RESULTADOS - FTP'!O8,'ENLACES DIAGRAMAS'!$B:$J,9,0),0)</f>
        <v>0</v>
      </c>
      <c r="O34" s="589"/>
      <c r="P34" s="589"/>
      <c r="Q34" s="585">
        <f ca="1" xml:space="preserve"> + M_AB_i   +  ( V_AB_i  *  L_AB  -  q_AB*L_AB^2/2 )</f>
        <v>0</v>
      </c>
      <c r="R34" s="610" t="str">
        <f ca="1">IF( OR( AND(V_AB_i &gt; 0, V_AB_j &lt; 0),  AND(V_AB_i &lt; 0, V_AB_j &gt; 0)  ),
        ABS(V_AB_i) * L_AB  / (ABS(V_AB_i) + ABS(V_AB_j) ) * 1000, "")</f>
        <v/>
      </c>
      <c r="S34" s="611" t="str">
        <f ca="1">IF( OR( AND(V_AB_i &gt; 0, V_AB_j &lt; 0),  AND(V_AB_i &lt; 0, V_AB_j &gt; 0)  ),
        ABS(V_AB_i) * L_AB  / (ABS(V_AB_i) + ABS(V_AB_j) ) * 1000, "")</f>
        <v/>
      </c>
      <c r="T34" s="611" t="str">
        <f ca="1">IF( OR( AND(V_AB_i &gt; 0, V_AB_j &lt; 0),  AND(V_AB_i &lt; 0, V_AB_j &gt; 0)  ),
        ABS(V_AB_i) * L_AB  / (ABS(V_AB_i) + ABS(V_AB_j) ) * 1000, "")</f>
        <v/>
      </c>
      <c r="V34" s="617" t="str">
        <f ca="1">IF(R34&lt;&gt;"", "En la barra "&amp;B34&amp;" el momento es de "&amp;TEXT(ROUND(R35,2),"#.##0,00")&amp;" kNm, a "&amp;TEXT(ROUND(R34,0),"#.##0")&amp;" mm del nudo "&amp;MID(B34,1,1)&amp;".
","")</f>
        <v/>
      </c>
      <c r="W34" s="88" t="s">
        <v>146</v>
      </c>
      <c r="X34" s="87" t="s">
        <v>145</v>
      </c>
      <c r="AB34" s="180" cm="1">
        <f t="array" aca="1" ref="AB34" ca="1">IFERROR(ROUND(INDIRECT(AC34),2),0)</f>
        <v>0</v>
      </c>
      <c r="AC34" s="239" t="str">
        <f ca="1">"RFh_"&amp;Ap_1</f>
        <v>RFh_</v>
      </c>
      <c r="AF34" t="str">
        <f t="shared" ca="1" si="13"/>
        <v/>
      </c>
      <c r="AG34" s="157" t="str">
        <f t="shared" ca="1" si="14"/>
        <v/>
      </c>
      <c r="AH34" s="261" t="str">
        <f t="shared" ca="1" si="15"/>
        <v/>
      </c>
      <c r="AI34" s="262" t="str">
        <f t="shared" ca="1" si="7"/>
        <v/>
      </c>
      <c r="AJ34" s="263" t="str">
        <f t="shared" ca="1" si="8"/>
        <v/>
      </c>
      <c r="AK34" s="157" t="str">
        <f t="shared" ca="1" si="16"/>
        <v/>
      </c>
      <c r="AL34" s="262" t="str">
        <f t="shared" ca="1" si="9"/>
        <v/>
      </c>
      <c r="AM34" s="263" t="str">
        <f t="shared" ca="1" si="10"/>
        <v/>
      </c>
      <c r="AN34" s="157" t="str">
        <f t="shared" ca="1" si="17"/>
        <v/>
      </c>
      <c r="AO34" s="262" t="str">
        <f t="shared" ca="1" si="11"/>
        <v/>
      </c>
      <c r="AP34" s="263" t="str">
        <f t="shared" ca="1" si="12"/>
        <v/>
      </c>
      <c r="AQ34" s="157" t="str" cm="1">
        <f t="array" aca="1" ref="AQ34" ca="1">IF(INDIRECT("L_"&amp;MID(AQ17,3,2))=0,""," "&amp;REPLACE(AQ17,2,1," ")&amp;" = ")</f>
        <v/>
      </c>
      <c r="AR34" s="262" t="str">
        <f ca="1">IF(AQ34="",""," {"&amp;IF(AR17=0,0,3)&amp;":NM:~%100%"&amp;ABS(AR17)&amp;":0#"&amp;Retro_MuyBien&amp;"} "&amp;" kN/m ")</f>
        <v/>
      </c>
      <c r="AS34" s="263" t="str">
        <f ca="1">IF(AR34="","",IF(AR17&gt;0, " {1:MCS:~%100%"&amp;_Derecha&amp;"#"  &amp;Retro_MuyBien&amp;       "~%-50%"&amp;_Izquierda&amp;"#"&amp;Retro_Mal,
                             IF(AR17&lt;0, " {1:MCS:~%100%"&amp;_Izquierda&amp;"#"&amp;Retro_MuyBien&amp;       "~%-50%"&amp;_Derecha  &amp;"#"&amp;Retro_Mal,
                                                   " {0:MCS:~%100%"&amp;_Derecha&amp;"#Sin carga uniforme~%0%"        &amp;_Izquierda&amp;"#Sin carga uniforme") ) &amp;"}&lt;br&gt;" )</f>
        <v/>
      </c>
      <c r="AT34" t="s">
        <v>1</v>
      </c>
      <c r="AV34" t="str">
        <f t="shared" ca="1" si="18"/>
        <v/>
      </c>
    </row>
    <row r="35" spans="2:48" ht="22.95" customHeight="1" outlineLevel="1" thickBot="1">
      <c r="B35" s="596"/>
      <c r="C35" s="582"/>
      <c r="D35" s="588"/>
      <c r="E35" s="588"/>
      <c r="F35" s="588"/>
      <c r="G35" s="584"/>
      <c r="H35" s="582"/>
      <c r="I35" s="590"/>
      <c r="J35" s="590"/>
      <c r="K35" s="590"/>
      <c r="L35" s="584"/>
      <c r="M35" s="582"/>
      <c r="N35" s="590"/>
      <c r="O35" s="590"/>
      <c r="P35" s="590"/>
      <c r="Q35" s="586"/>
      <c r="R35" s="612" t="str">
        <f ca="1" xml:space="preserve"> IF( X_AB&lt;&gt;"", + M_AB_i  +  V_AB_i * X_AB/1000  -  q_AB * (X_AB/1000) ^2/2,"")</f>
        <v/>
      </c>
      <c r="S35" s="613" t="str">
        <f ca="1" xml:space="preserve"> IF( X_AB&lt;&gt;"", + M_AB_i  +  V_AB_i * X_AB/1000  -  q_AB * (X_AB/1000) ^2/2,"")</f>
        <v/>
      </c>
      <c r="T35" s="613" t="str">
        <f ca="1" xml:space="preserve"> IF( X_AB&lt;&gt;"", + M_AB_i  +  V_AB_i * X_AB/1000  -  q_AB * (X_AB/1000) ^2/2,"")</f>
        <v/>
      </c>
      <c r="V35" s="617"/>
      <c r="W35" s="88" t="s">
        <v>148</v>
      </c>
      <c r="X35" s="89" t="s">
        <v>147</v>
      </c>
      <c r="AB35" s="181" cm="1">
        <f t="array" aca="1" ref="AB35" ca="1">IFERROR(ROUND(INDIRECT(AC35),2),0)</f>
        <v>0</v>
      </c>
      <c r="AC35" s="240" t="str">
        <f ca="1">"RFv_"&amp;Ap_1</f>
        <v>RFv_</v>
      </c>
      <c r="AF35" t="str">
        <f t="shared" ca="1" si="13"/>
        <v/>
      </c>
      <c r="AG35" s="157" t="str">
        <f t="shared" ca="1" si="14"/>
        <v/>
      </c>
      <c r="AH35" s="261" t="str">
        <f t="shared" ca="1" si="15"/>
        <v/>
      </c>
      <c r="AI35" s="262" t="str">
        <f t="shared" ca="1" si="7"/>
        <v/>
      </c>
      <c r="AJ35" s="263" t="str">
        <f t="shared" ca="1" si="8"/>
        <v/>
      </c>
      <c r="AK35" s="157" t="str">
        <f t="shared" ca="1" si="16"/>
        <v/>
      </c>
      <c r="AL35" s="262" t="str">
        <f t="shared" ca="1" si="9"/>
        <v/>
      </c>
      <c r="AM35" s="263" t="str">
        <f t="shared" ca="1" si="10"/>
        <v/>
      </c>
      <c r="AN35" s="157" t="str">
        <f t="shared" ca="1" si="17"/>
        <v/>
      </c>
      <c r="AO35" s="262" t="str">
        <f t="shared" ca="1" si="11"/>
        <v/>
      </c>
      <c r="AP35" s="263" t="str">
        <f t="shared" ca="1" si="12"/>
        <v/>
      </c>
      <c r="AQ35" s="157" t="str" cm="1">
        <f t="array" aca="1" ref="AQ35" ca="1">IF(INDIRECT("L_"&amp;MID(AQ18,3,2))=0,""," "&amp;REPLACE(AQ18,2,1," ")&amp;" = ")</f>
        <v/>
      </c>
      <c r="AR35" s="262" t="str">
        <f ca="1">IF(AQ35="",""," {"&amp;IF(AR18=0,0,3)&amp;":NM:~%100%"&amp;ABS(AR18)&amp;":0#"&amp;Retro_MuyBien&amp;"} "&amp;" kN/m ")</f>
        <v/>
      </c>
      <c r="AS35" s="263" t="str">
        <f ca="1">IF(AR35="","",IF(AR18&gt;0, " {1:MCS:~%100%"&amp;_Arriba &amp;"#"  &amp;Retro_MuyBien&amp;  "~%-50%"&amp;_Abajo  &amp;"#"&amp;Retro_Mal,
                             IF(AR18&lt;0, " {1:MCS:~%100%"&amp;_Abajo  &amp;"#"&amp;Retro_MuyBien&amp;    "~%-50%"&amp;_Arriba &amp;"#"&amp;Retro_Mal,
                                                   " {0:MCS:~%100%"&amp;_Arriba&amp;"#Sin carga uniforme~%0%"     &amp;_Abajo &amp;"#Sin carga uniforme") ) &amp;"}&lt;br&gt;" )</f>
        <v/>
      </c>
      <c r="AT35" t="s">
        <v>129</v>
      </c>
      <c r="AV35" t="str">
        <f t="shared" ca="1" si="18"/>
        <v/>
      </c>
    </row>
    <row r="36" spans="2:48" ht="22.95" customHeight="1" outlineLevel="1">
      <c r="B36" s="595" t="s">
        <v>128</v>
      </c>
      <c r="C36" s="581">
        <f ca="1">IF(L_BC=0,0, + N_AB_j  - ( Fv_B  +  RFv_B ))</f>
        <v>0</v>
      </c>
      <c r="D36" s="589">
        <f ca="1">IFERROR(VLOOKUP('RESULTADOS - FTP'!M10,'ENLACES DIAGRAMAS'!$B:$J,9,0),0)</f>
        <v>0</v>
      </c>
      <c r="E36" s="589"/>
      <c r="F36" s="589"/>
      <c r="G36" s="583">
        <f ca="1" xml:space="preserve"> + N_BC_i</f>
        <v>0</v>
      </c>
      <c r="H36" s="581">
        <f ca="1" xml:space="preserve"> IF(L_BC=0,0,+ V_AB_j  -  Fh_B  -  RFh_B)</f>
        <v>0</v>
      </c>
      <c r="I36" s="589">
        <f ca="1">IFERROR(VLOOKUP('RESULTADOS - FTP'!N10,'ENLACES DIAGRAMAS'!$B:$J,9,0),0)</f>
        <v>0</v>
      </c>
      <c r="J36" s="589"/>
      <c r="K36" s="589"/>
      <c r="L36" s="583">
        <f ca="1" xml:space="preserve"> + V_BC_i  -  q_BC*L_BC</f>
        <v>0</v>
      </c>
      <c r="M36" s="581">
        <f ca="1" xml:space="preserve"> IF(L_BC=0,0, + M_AB_j  +  Mz_B  +  RM_B)</f>
        <v>0</v>
      </c>
      <c r="N36" s="589">
        <f ca="1">IFERROR(VLOOKUP('RESULTADOS - FTP'!O10,'ENLACES DIAGRAMAS'!$B:$J,9,0),0)</f>
        <v>0</v>
      </c>
      <c r="O36" s="589"/>
      <c r="P36" s="589"/>
      <c r="Q36" s="585">
        <f ca="1" xml:space="preserve">  + M_BC_i   + ( V_BC_i * L_BC  - q_BC * L_BC^2/2 )</f>
        <v>0</v>
      </c>
      <c r="R36" s="610" t="str">
        <f ca="1">IF( OR( AND(V_BC_i &gt; 0, V_BC_j &lt; 0),  AND(V_BC_i &lt; 0, V_BC_j &gt; 0)  ),
        ABS(V_BC_i) * L_BC  / (ABS(V_BC_i) + ABS(V_BC_j) ) * 1000, "")</f>
        <v/>
      </c>
      <c r="S36" s="611" t="str">
        <f ca="1">IF( OR( AND(V_BC_i &gt; 0, V_BC_j &lt; 0),  AND(V_BC_i &lt; 0, V_BC_j &gt; 0)  ),
        ABS(V_BC_i) * L_BC  / (ABS(V_BC_i) + ABS(V_BC_j) ) * 1000, "")</f>
        <v/>
      </c>
      <c r="T36" s="611" t="str">
        <f ca="1">IF( OR( AND(V_BC_i &gt; 0, V_BC_j &lt; 0),  AND(V_BC_i &lt; 0, V_BC_j &gt; 0)  ),
        ABS(V_BC_i) * L_BC  / (ABS(V_BC_i) + ABS(V_BC_j) ) * 1000, "")</f>
        <v/>
      </c>
      <c r="V36" s="617" t="str">
        <f t="shared" ref="V36" ca="1" si="19">IF(R36&lt;&gt;"", "En la barra "&amp;B36&amp;" el momento es de "&amp;TEXT(ROUND(R37,2),"#.##0,00")&amp;" kNm, a "&amp;TEXT(ROUND(R36,0),"#.##0")&amp;" mm del nudo "&amp;MID(B36,1,1)&amp;".
","")</f>
        <v/>
      </c>
      <c r="W36" s="88" t="s">
        <v>150</v>
      </c>
      <c r="X36" s="89" t="s">
        <v>149</v>
      </c>
      <c r="AB36" s="182" cm="1">
        <f t="array" aca="1" ref="AB36" ca="1">IFERROR(ROUND(INDIRECT(AC36),2),0)</f>
        <v>0</v>
      </c>
      <c r="AC36" s="240" t="str">
        <f ca="1">IF(OR(Ap_2=0,Ap_2="",Ap_1=Ap_2),"RM_"&amp;Ap_1,"RFv_"&amp;Ap_2)</f>
        <v>RM_</v>
      </c>
      <c r="AF36" t="str">
        <f t="shared" ca="1" si="13"/>
        <v/>
      </c>
      <c r="AG36" s="157" t="str">
        <f t="shared" ca="1" si="14"/>
        <v/>
      </c>
      <c r="AH36" s="261" t="str">
        <f t="shared" ca="1" si="15"/>
        <v/>
      </c>
      <c r="AI36" s="262" t="str">
        <f t="shared" ca="1" si="7"/>
        <v/>
      </c>
      <c r="AJ36" s="263" t="str">
        <f t="shared" ca="1" si="8"/>
        <v/>
      </c>
      <c r="AK36" s="157" t="str">
        <f t="shared" ca="1" si="16"/>
        <v/>
      </c>
      <c r="AL36" s="262" t="str">
        <f t="shared" ca="1" si="9"/>
        <v/>
      </c>
      <c r="AM36" s="263" t="str">
        <f t="shared" ca="1" si="10"/>
        <v/>
      </c>
      <c r="AN36" s="157" t="str">
        <f t="shared" ca="1" si="17"/>
        <v/>
      </c>
      <c r="AO36" s="262" t="str">
        <f t="shared" ca="1" si="11"/>
        <v/>
      </c>
      <c r="AP36" s="263" t="str">
        <f t="shared" ca="1" si="12"/>
        <v/>
      </c>
      <c r="AQ36" s="298"/>
      <c r="AR36" s="299"/>
      <c r="AS36" s="300"/>
      <c r="AT36" s="301" t="s">
        <v>569</v>
      </c>
      <c r="AU36" s="302"/>
      <c r="AV36" t="str">
        <f t="shared" si="18"/>
        <v/>
      </c>
    </row>
    <row r="37" spans="2:48" ht="22.95" customHeight="1" outlineLevel="1" thickBot="1">
      <c r="B37" s="596"/>
      <c r="C37" s="582"/>
      <c r="D37" s="590"/>
      <c r="E37" s="590"/>
      <c r="F37" s="590"/>
      <c r="G37" s="584"/>
      <c r="H37" s="582"/>
      <c r="I37" s="590"/>
      <c r="J37" s="590"/>
      <c r="K37" s="590"/>
      <c r="L37" s="584"/>
      <c r="M37" s="582"/>
      <c r="N37" s="590"/>
      <c r="O37" s="590"/>
      <c r="P37" s="590"/>
      <c r="Q37" s="586"/>
      <c r="R37" s="612" t="str">
        <f ca="1" xml:space="preserve"> IF( X_BC&lt;&gt;"",  + M_BC_i  +  V_BC_i * X_BC/1000  -  q_BC * (X_BC/1000) ^2/2,"")</f>
        <v/>
      </c>
      <c r="S37" s="613" t="str">
        <f ca="1" xml:space="preserve"> IF( X_BC&lt;&gt;"",  + M_BC_i  +  V_BC_i * X_BC/1000  -  q_BC * (X_BC/1000) ^2/2,"")</f>
        <v/>
      </c>
      <c r="T37" s="613" t="str">
        <f ca="1" xml:space="preserve"> IF( X_BC&lt;&gt;"",  + M_BC_i  +  V_BC_i * X_BC/1000  -  q_BC * (X_BC/1000) ^2/2,"")</f>
        <v/>
      </c>
      <c r="V37" s="617"/>
      <c r="W37" s="88" t="s">
        <v>152</v>
      </c>
      <c r="X37" s="89" t="s">
        <v>151</v>
      </c>
      <c r="AB37" s="283" t="str" cm="1">
        <f t="array" aca="1" ref="AB37" ca="1">IFERROR(ROUND(INDIRECT(AC37),2),"")</f>
        <v/>
      </c>
      <c r="AC37" s="240" t="str">
        <f ca="1">IF(Art=0,"","RM_"&amp;Ap_1)</f>
        <v/>
      </c>
      <c r="AF37" t="str">
        <f t="shared" ca="1" si="13"/>
        <v/>
      </c>
      <c r="AG37" s="157" t="str">
        <f t="shared" ca="1" si="14"/>
        <v/>
      </c>
      <c r="AH37" s="261" t="str">
        <f t="shared" ca="1" si="15"/>
        <v/>
      </c>
      <c r="AI37" s="262" t="str">
        <f t="shared" ca="1" si="7"/>
        <v/>
      </c>
      <c r="AJ37" s="263" t="str">
        <f t="shared" ca="1" si="8"/>
        <v/>
      </c>
      <c r="AK37" s="157" t="str">
        <f t="shared" ca="1" si="16"/>
        <v/>
      </c>
      <c r="AL37" s="262" t="str">
        <f t="shared" ca="1" si="9"/>
        <v/>
      </c>
      <c r="AM37" s="263" t="str">
        <f t="shared" ca="1" si="10"/>
        <v/>
      </c>
      <c r="AN37" s="157" t="str">
        <f t="shared" ca="1" si="17"/>
        <v/>
      </c>
      <c r="AO37" s="262" t="str">
        <f t="shared" ca="1" si="11"/>
        <v/>
      </c>
      <c r="AP37" s="263" t="str">
        <f t="shared" ca="1" si="12"/>
        <v/>
      </c>
      <c r="AQ37" s="157" t="str" cm="1">
        <f t="array" aca="1" ref="AQ37" ca="1">IF(INDIRECT("L_"&amp;MID(AQ20,3,2))=0,""," "&amp;REPLACE(AQ20,2,1," ")&amp;" = ")</f>
        <v/>
      </c>
      <c r="AR37" s="262" t="str">
        <f t="shared" ref="AR37:AR46" ca="1" si="20">IF(AQ37="",""," {"&amp;IF(AR20=0,0,3)&amp;":NM:~%100%"&amp;ABS(AR20)&amp;":0#"&amp;Retro_MuyBien&amp;"} "&amp;" kN/m ")</f>
        <v/>
      </c>
      <c r="AS37" s="263" t="str">
        <f ca="1">IF(AR37="","",IF(AR20&gt;0, " {1:MCS:~%100%"&amp;_Arriba &amp;"#"  &amp;Retro_MuyBien&amp;  "~%-50%"&amp;_Abajo  &amp;"#"&amp;Retro_Mal,
                             IF(AR20&lt;0, " {1:MCS:~%100%"&amp;_Abajo  &amp;"#"&amp;Retro_MuyBien&amp;    "~%-50%"&amp;_Arriba &amp;"#"&amp;Retro_Mal,
                                                   " {0:MCS:~%100%"&amp;_Arriba&amp;"#Sin carga uniforme~%0%"     &amp;_Abajo &amp;"#Sin carga uniforme") ) &amp;"}&lt;br&gt;" )</f>
        <v/>
      </c>
      <c r="AT37" t="s">
        <v>129</v>
      </c>
      <c r="AV37" t="str">
        <f t="shared" ca="1" si="18"/>
        <v/>
      </c>
    </row>
    <row r="38" spans="2:48" ht="22.95" customHeight="1" outlineLevel="1">
      <c r="B38" s="595" t="s">
        <v>449</v>
      </c>
      <c r="C38" s="581">
        <f ca="1">IF(AND(L_CD1=0,L_CD=0), 0, IF(OR(alfa_C=0,alfa_C=90), +N_BC_j - ( Fv_C + RFv_C ),
                                                                                                    (+N_BC_j - ( Fv_C + RFv_C ) ) * SIN(RADIANS(alfa_C))
                                                                                                 + (+V_BC_j - ( Fh_C + RFh_C ) ) *   COS(RADIANS(alfa_C))))</f>
        <v>0</v>
      </c>
      <c r="D38" s="589">
        <f ca="1">IFERROR(VLOOKUP('RESULTADOS - FTP'!M12,'ENLACES DIAGRAMAS'!$B:$J,9,0),0)</f>
        <v>0</v>
      </c>
      <c r="E38" s="589"/>
      <c r="F38" s="589"/>
      <c r="G38" s="583">
        <f ca="1">+N_CD_i  + IF(OR(alfa_C=0,alfa_C=90), 0,  - F_qCE_v / 2 *  SIN(RADIANS(alfa_C))
                                                                                - F_qCE_h / 2*    COS(RADIANS(alfa_C)) )</f>
        <v>0</v>
      </c>
      <c r="H38" s="581">
        <f ca="1">IF( AND(L_CD1 = 0,L_CD = 0), 0,  IF(OR(alfa_C=0,alfa_C=90),( + V_BC_j  -  Fh_C  -  RFh_C),
                                                          ( + V_BC_j  -  Fh_C  -  RFh_C)  * SIN(RADIANS(alfa_C))
                                                       +  (- N_BC_j  +  Fv_C  +  RFv_C ) *   COS(RADIANS(alfa_C))))</f>
        <v>0</v>
      </c>
      <c r="I38" s="589">
        <f ca="1">IFERROR(VLOOKUP('RESULTADOS - FTP'!N12,'ENLACES DIAGRAMAS'!$B:$J,9,0),0)</f>
        <v>0</v>
      </c>
      <c r="J38" s="589"/>
      <c r="K38" s="589"/>
      <c r="L38" s="583">
        <f ca="1" xml:space="preserve"> + V_CD_i  + IF(OR(alfa_C=0,alfa_C=90), - q_CD * L_CD, - F_qCE_h / 2 *  SIN(RADIANS(alfa_C))
                                                                                                        + F_qCE_v / 2 *    COS(RADIANS(alfa_C)) )</f>
        <v>0</v>
      </c>
      <c r="M38" s="581">
        <f ca="1" xml:space="preserve"> IF( AND( L_CD = 0, L_CD1 = 0), 0, + M_BC_j   +   Mz_C  +   RM_C)</f>
        <v>0</v>
      </c>
      <c r="N38" s="589">
        <f ca="1">IFERROR(VLOOKUP('RESULTADOS - FTP'!O12,'ENLACES DIAGRAMAS'!$B:$J,9,0),0)</f>
        <v>0</v>
      </c>
      <c r="O38" s="589"/>
      <c r="P38" s="589"/>
      <c r="Q38" s="585">
        <f ca="1" xml:space="preserve"> + M_CD_i  +  IF(OR(alfa_C=0, alfa_C=90), + V_CD_i  * L_CD    -  F_qCE_h       * L_CD / 2,
                                                                               + V_CD_i  * L_CD1 -  F_qCE_h / 2 * L_CE_v / 4  + F_qCE_v  / 2 * L_DE  / 4  )</f>
        <v>0</v>
      </c>
      <c r="R38" s="610" t="str">
        <f ca="1">IF( OR( AND(V_CD_i &gt; 0, V_CD_j &lt; 0),  AND(V_CD_i &lt; 0, V_CD_j &gt; 0)  ),
        ABS(V_CD_i) * IF(OR(alfa_C=0,alfa_C=90),L_CE_v/2,L_CD1)  / (ABS(V_CD_i) + ABS(V_CD_j) ) * 1000, "")</f>
        <v/>
      </c>
      <c r="S38" s="611" t="str">
        <f ca="1">IF( OR( AND(V_CD_i &gt; 0, V_CD_j &lt; 0),  AND(V_CD_i &lt; 0, V_CD_j &gt; 0)  ),
        ABS(V_CD_i) * IF(OR(alfa_C=0,alfa_C=90),L_CE_v/2,L_CD1)  / (ABS(V_CD_i) + ABS(V_CD_j) ) * 1000, "")</f>
        <v/>
      </c>
      <c r="T38" s="611" t="str">
        <f ca="1">IF( OR( AND(V_CD_i &gt; 0, V_CD_j &lt; 0),  AND(V_CD_i &lt; 0, V_CD_j &gt; 0)  ),
        ABS(V_CD_i) * IF(OR(alfa_C=0,alfa_C=90),L_CE_v/2,L_CD1)  / (ABS(V_CD_i) + ABS(V_CD_j) ) * 1000, "")</f>
        <v/>
      </c>
      <c r="V38" s="617" t="str">
        <f t="shared" ref="V38" ca="1" si="21">IF(R38&lt;&gt;"", "En la barra "&amp;B38&amp;" el momento es de "&amp;TEXT(ROUND(R39,2),"#.##0,00")&amp;" kNm, a "&amp;TEXT(ROUND(R38,0),"#.##0")&amp;" mm del nudo "&amp;MID(B38,1,1)&amp;".
","")</f>
        <v/>
      </c>
      <c r="W38" s="88" t="s">
        <v>154</v>
      </c>
      <c r="X38" s="89" t="s">
        <v>153</v>
      </c>
      <c r="AF38" t="str">
        <f t="shared" ca="1" si="13"/>
        <v/>
      </c>
      <c r="AG38" s="157" t="str">
        <f t="shared" ca="1" si="14"/>
        <v/>
      </c>
      <c r="AH38" s="261" t="str">
        <f t="shared" ca="1" si="15"/>
        <v/>
      </c>
      <c r="AI38" s="262" t="str">
        <f t="shared" ca="1" si="7"/>
        <v/>
      </c>
      <c r="AJ38" s="263" t="str">
        <f t="shared" ca="1" si="8"/>
        <v/>
      </c>
      <c r="AK38" s="157" t="str">
        <f t="shared" ca="1" si="16"/>
        <v/>
      </c>
      <c r="AL38" s="262" t="str">
        <f t="shared" ca="1" si="9"/>
        <v/>
      </c>
      <c r="AM38" s="263" t="str">
        <f t="shared" ca="1" si="10"/>
        <v/>
      </c>
      <c r="AN38" s="157" t="str">
        <f t="shared" ca="1" si="17"/>
        <v/>
      </c>
      <c r="AO38" s="262" t="str">
        <f t="shared" ca="1" si="11"/>
        <v/>
      </c>
      <c r="AP38" s="263" t="str">
        <f t="shared" ca="1" si="12"/>
        <v/>
      </c>
      <c r="AQ38" s="157" t="str" cm="1">
        <f t="array" aca="1" ref="AQ38" ca="1">IF(INDIRECT("L_"&amp;MID(AQ21,3,2))=0,""," "&amp;REPLACE(AQ21,2,1," ")&amp;" = ")</f>
        <v/>
      </c>
      <c r="AR38" s="262" t="str">
        <f t="shared" ca="1" si="20"/>
        <v/>
      </c>
      <c r="AS38" s="263" t="str">
        <f ca="1">IF(AR38="","",IF(AR21&gt;0, " {1:MCS:~%100%"&amp;_Arriba &amp;"#"  &amp;Retro_MuyBien&amp;  "~%-50%"&amp;_Abajo  &amp;"#"&amp;Retro_Mal,
                             IF(AR21&lt;0, " {1:MCS:~%100%"&amp;_Abajo  &amp;"#"&amp;Retro_MuyBien&amp;    "~%-50%"&amp;_Arriba &amp;"#"&amp;Retro_Mal,
                                                   " {0:MCS:~%100%"&amp;_Arriba&amp;"#Sin carga uniforme~%0%"     &amp;_Abajo &amp;"#Sin carga uniforme") ) &amp;"}&lt;br&gt;" )</f>
        <v/>
      </c>
      <c r="AT38" t="s">
        <v>129</v>
      </c>
      <c r="AV38" t="str">
        <f t="shared" ca="1" si="18"/>
        <v/>
      </c>
    </row>
    <row r="39" spans="2:48" ht="22.95" customHeight="1" outlineLevel="1" thickBot="1">
      <c r="B39" s="596"/>
      <c r="C39" s="582"/>
      <c r="D39" s="590"/>
      <c r="E39" s="590"/>
      <c r="F39" s="590"/>
      <c r="G39" s="584"/>
      <c r="H39" s="582"/>
      <c r="I39" s="590"/>
      <c r="J39" s="590"/>
      <c r="K39" s="590"/>
      <c r="L39" s="584"/>
      <c r="M39" s="582"/>
      <c r="N39" s="590"/>
      <c r="O39" s="590"/>
      <c r="P39" s="590"/>
      <c r="Q39" s="586"/>
      <c r="R39" s="612" t="str">
        <f ca="1" xml:space="preserve"> IF( X_CD&lt;&gt;"",  + M_CD_i  + RM_C + Mz_C + ( V_CD_i * X_CD/1000 /2),  "")</f>
        <v/>
      </c>
      <c r="S39" s="613" t="str">
        <f ca="1" xml:space="preserve"> IF( X_CD&lt;&gt;"",  + M_CD_i  + RM_C + Mz_C + ( V_CD_i * X_CD/1000 /2),  "")</f>
        <v/>
      </c>
      <c r="T39" s="613" t="str">
        <f ca="1" xml:space="preserve"> IF( X_CD&lt;&gt;"",  + M_CD_i  + RM_C + Mz_C + ( V_CD_i * X_CD/1000 /2),  "")</f>
        <v/>
      </c>
      <c r="V39" s="617"/>
      <c r="W39" s="88" t="s">
        <v>156</v>
      </c>
      <c r="X39" s="89" t="s">
        <v>155</v>
      </c>
      <c r="AF39" t="str">
        <f t="shared" ca="1" si="13"/>
        <v/>
      </c>
      <c r="AG39" s="157" t="str">
        <f t="shared" ca="1" si="14"/>
        <v/>
      </c>
      <c r="AH39" s="261" t="str">
        <f t="shared" ca="1" si="15"/>
        <v/>
      </c>
      <c r="AI39" s="262" t="str">
        <f t="shared" ca="1" si="7"/>
        <v/>
      </c>
      <c r="AJ39" s="263" t="str">
        <f t="shared" ca="1" si="8"/>
        <v/>
      </c>
      <c r="AK39" s="157" t="str">
        <f t="shared" ca="1" si="16"/>
        <v/>
      </c>
      <c r="AL39" s="262" t="str">
        <f t="shared" ca="1" si="9"/>
        <v/>
      </c>
      <c r="AM39" s="263" t="str">
        <f t="shared" ca="1" si="10"/>
        <v/>
      </c>
      <c r="AN39" s="157" t="str">
        <f t="shared" ca="1" si="17"/>
        <v/>
      </c>
      <c r="AO39" s="262" t="str">
        <f t="shared" ca="1" si="11"/>
        <v/>
      </c>
      <c r="AP39" s="263" t="str">
        <f t="shared" ca="1" si="12"/>
        <v/>
      </c>
      <c r="AQ39" s="157" t="str" cm="1">
        <f t="array" aca="1" ref="AQ39" ca="1">IF(INDIRECT("L_"&amp;MID(AQ22,3,2))=0,""," "&amp;REPLACE(AQ22,2,1," ")&amp;" = ")</f>
        <v/>
      </c>
      <c r="AR39" s="262" t="str">
        <f t="shared" ca="1" si="20"/>
        <v/>
      </c>
      <c r="AS39" s="263" t="str">
        <f ca="1">IF(AR39="","",IF(AR22&gt;0, " {1:MCS:~%100%"&amp;_Arriba &amp;"#"  &amp;Retro_MuyBien&amp;  "~%-50%"&amp;_Abajo  &amp;"#"&amp;Retro_Mal,
                             IF(AR22&lt;0, " {1:MCS:~%100%"&amp;_Abajo  &amp;"#"&amp;Retro_MuyBien&amp;    "~%-50%"&amp;_Arriba &amp;"#"&amp;Retro_Mal,
                                                   " {0:MCS:~%100%"&amp;_Arriba&amp;"#Sin carga uniforme~%0%"     &amp;_Abajo &amp;"#Sin carga uniforme") ) &amp;"}&lt;br&gt;" )</f>
        <v/>
      </c>
      <c r="AT39" t="s">
        <v>129</v>
      </c>
      <c r="AV39" t="str">
        <f t="shared" ca="1" si="18"/>
        <v/>
      </c>
    </row>
    <row r="40" spans="2:48" ht="22.95" customHeight="1" outlineLevel="1">
      <c r="B40" s="595" t="s">
        <v>42</v>
      </c>
      <c r="C40" s="581">
        <f ca="1" xml:space="preserve"> IF(AND( L_DE = 0, L_D1E = 0), 0,  IF(OR(alfa_C=0,alfa_C=90), + V_CD_j  -  ( Fh_D   +  RFh_D   ),
                                                                                                              + N_CD_j  - ( Fh_D1 ) * COS(RADIANS(alfa_C))
                                                                                                                                -  ( Fv_D1 ) * SIN(RADIANS(alfa_C))))</f>
        <v>0</v>
      </c>
      <c r="D40" s="589">
        <f ca="1">IFERROR(VLOOKUP('RESULTADOS - FTP'!M14,'ENLACES DIAGRAMAS'!$B:$J,9,0),0)</f>
        <v>0</v>
      </c>
      <c r="E40" s="589"/>
      <c r="F40" s="589"/>
      <c r="G40" s="583">
        <f ca="1">+N_DE_i  + IF(OR(alfa_C=0,alfa_C=90), 0,  - F_qCE_v / 2 *  SIN(RADIANS(alfa_C))
                                                                                - F_qCE_h / 2*    COS(RADIANS(alfa_C)) )</f>
        <v>0</v>
      </c>
      <c r="H40" s="581">
        <f ca="1" xml:space="preserve"> IF( AND( L_DE = 0, L_D1E = 0), 0, + IF(OR(alfa_C=90,alfa_C=0), - N_CD_j  + Fv_D + RFv_D,
                                                                                                                 + V_CD_j  -  Fh_D1 * SIN(RADIANS(alfa_C))
                                                                                                                                   +  Fv_D1 * COS(RADIANS(alfa_C))))</f>
        <v>0</v>
      </c>
      <c r="I40" s="589">
        <f ca="1">IFERROR(VLOOKUP('RESULTADOS - FTP'!N14,'ENLACES DIAGRAMAS'!$B:$J,9,0),0)</f>
        <v>0</v>
      </c>
      <c r="J40" s="589"/>
      <c r="K40" s="589"/>
      <c r="L40" s="583">
        <f ca="1" xml:space="preserve"> + V_DE_i  + IF(OR(alfa_C=0,alfa_C=90), q_DE * L_DE, - F_qCE_h / 2 *  SIN(RADIANS(alfa_C))
                                                                                                      + F_qCE_v / 2 *    COS(RADIANS(alfa_C)) )</f>
        <v>0</v>
      </c>
      <c r="M40" s="581">
        <f ca="1" xml:space="preserve"> IF( AND( L_DE = 0, L_D1E = 0), 0,  + M_CD_j  +  Mz_D  +  RM_D +  Mz_D1 )</f>
        <v>0</v>
      </c>
      <c r="N40" s="589">
        <f ca="1">IFERROR(VLOOKUP('RESULTADOS - FTP'!O14,'ENLACES DIAGRAMAS'!$B:$J,9,0),0)</f>
        <v>0</v>
      </c>
      <c r="O40" s="589"/>
      <c r="P40" s="589"/>
      <c r="Q40" s="585">
        <f ca="1" xml:space="preserve"> + M_DE_i  +  IF(OR(alfa_C=90, alfa_C=0), + V_DE_i  * L_DE    +  F_qCE_v       * L_DE / 2,
                                                                               + V_DE_i  * L_D1E +  F_qCE_v / 2 * L_DE / 4  - F_qCE_h  / 2 * L_CE_v  / 4  )</f>
        <v>0</v>
      </c>
      <c r="R40" s="610" t="str">
        <f ca="1">IF( OR( AND(V_DE_i &gt; 0, V_DE_j &lt; 0),  AND(V_DE_i &lt; 0, V_DE_j &gt; 0)  ),
        ABS(V_DE_i) * IF(OR(alfa_C=0,alfa_C=90),L_DE,L_D1E) / (ABS(V_DE_i) + ABS(V_DE_j) ) * 1000, "")</f>
        <v/>
      </c>
      <c r="S40" s="611" t="str">
        <f ca="1">IF( OR( AND(V_DE_i &gt; 0, V_DE_j &lt; 0),  AND(V_DE_i &lt; 0, V_DE_j &gt; 0)  ),
        ABS(V_DE_i) * IF(OR(alfa_C=0,alfa_C=90),L_DE,L_D1E) / (ABS(V_DE_i) + ABS(V_DE_j) ) * 1000, "")</f>
        <v/>
      </c>
      <c r="T40" s="611" t="str">
        <f ca="1">IF( OR( AND(V_DE_i &gt; 0, V_DE_j &lt; 0),  AND(V_DE_i &lt; 0, V_DE_j &gt; 0)  ),
        ABS(V_DE_i) * IF(OR(alfa_C=0,alfa_C=90),L_DE,L_D1E) / (ABS(V_DE_i) + ABS(V_DE_j) ) * 1000, "")</f>
        <v/>
      </c>
      <c r="V40" s="617" t="str">
        <f t="shared" ref="V40" ca="1" si="22">IF(R40&lt;&gt;"", "En la barra "&amp;B40&amp;" el momento es de "&amp;TEXT(ROUND(R41,2),"#.##0,00")&amp;" kNm, a "&amp;TEXT(ROUND(R40,0),"#.##0")&amp;" mm del nudo "&amp;MID(B40,1,1)&amp;".
","")</f>
        <v/>
      </c>
      <c r="W40" s="88" t="s">
        <v>158</v>
      </c>
      <c r="X40" s="89" t="s">
        <v>157</v>
      </c>
      <c r="AF40" t="str">
        <f t="shared" ca="1" si="13"/>
        <v/>
      </c>
      <c r="AG40" s="157" t="str">
        <f t="shared" ca="1" si="14"/>
        <v/>
      </c>
      <c r="AH40" s="261" t="str">
        <f t="shared" ca="1" si="15"/>
        <v/>
      </c>
      <c r="AI40" s="262" t="str">
        <f t="shared" ca="1" si="7"/>
        <v/>
      </c>
      <c r="AJ40" s="263" t="str">
        <f t="shared" ca="1" si="8"/>
        <v/>
      </c>
      <c r="AK40" s="157" t="str">
        <f t="shared" ca="1" si="16"/>
        <v/>
      </c>
      <c r="AL40" s="262" t="str">
        <f t="shared" ca="1" si="9"/>
        <v/>
      </c>
      <c r="AM40" s="263" t="str">
        <f t="shared" ca="1" si="10"/>
        <v/>
      </c>
      <c r="AN40" s="157" t="str">
        <f t="shared" ca="1" si="17"/>
        <v/>
      </c>
      <c r="AO40" s="262" t="str">
        <f t="shared" ca="1" si="11"/>
        <v/>
      </c>
      <c r="AP40" s="263" t="str">
        <f t="shared" ca="1" si="12"/>
        <v/>
      </c>
      <c r="AQ40" s="157" t="str" cm="1">
        <f t="array" aca="1" ref="AQ40" ca="1">IF(INDIRECT("L_"&amp;MID(AQ23,3,2))=0,""," "&amp;REPLACE(AQ23,2,1," ")&amp;" = ")</f>
        <v/>
      </c>
      <c r="AR40" s="262" t="str">
        <f t="shared" ca="1" si="20"/>
        <v/>
      </c>
      <c r="AS40" s="263" t="str">
        <f ca="1">IF(AR40="","",IF(AR23&gt;0, " {1:MCS:~%100%"&amp;_Arriba &amp;"#"  &amp;Retro_MuyBien&amp;  "~%-50%"&amp;_Abajo  &amp;"#"&amp;Retro_Mal,
                             IF(AR23&lt;0, " {1:MCS:~%100%"&amp;_Abajo  &amp;"#"&amp;Retro_MuyBien&amp;    "~%-50%"&amp;_Arriba &amp;"#"&amp;Retro_Mal,
                                                   " {0:MCS:~%100%"&amp;_Arriba&amp;"#Sin carga uniforme~%0%"     &amp;_Abajo &amp;"#Sin carga uniforme") ) &amp;"}&lt;br&gt;" )</f>
        <v/>
      </c>
      <c r="AT40" t="s">
        <v>129</v>
      </c>
      <c r="AV40" t="str">
        <f t="shared" ca="1" si="18"/>
        <v/>
      </c>
    </row>
    <row r="41" spans="2:48" ht="22.95" customHeight="1" outlineLevel="1" thickBot="1">
      <c r="B41" s="596"/>
      <c r="C41" s="582"/>
      <c r="D41" s="590"/>
      <c r="E41" s="590"/>
      <c r="F41" s="590"/>
      <c r="G41" s="584"/>
      <c r="H41" s="582"/>
      <c r="I41" s="590"/>
      <c r="J41" s="590"/>
      <c r="K41" s="590"/>
      <c r="L41" s="584"/>
      <c r="M41" s="582"/>
      <c r="N41" s="590"/>
      <c r="O41" s="590"/>
      <c r="P41" s="590"/>
      <c r="Q41" s="586"/>
      <c r="R41" s="612" t="str">
        <f ca="1" xml:space="preserve"> IF( X_DE&lt;&gt;"",  + M_DE_i  + RM_D + Mz_D + ( V_DE_i * X_DE/1000 /2),  "")</f>
        <v/>
      </c>
      <c r="S41" s="613" t="str">
        <f ca="1" xml:space="preserve"> IF( X_DE&lt;&gt;"",  + M_DE_i  + RM_D + Mz_D + ( V_DE_i * X_DE/1000 /2),  "")</f>
        <v/>
      </c>
      <c r="T41" s="613" t="str">
        <f ca="1" xml:space="preserve"> IF( X_DE&lt;&gt;"",  + M_DE_i  + RM_D + Mz_D + ( V_DE_i * X_DE/1000 /2),  "")</f>
        <v/>
      </c>
      <c r="V41" s="617"/>
      <c r="W41" s="88" t="s">
        <v>160</v>
      </c>
      <c r="X41" s="89" t="s">
        <v>159</v>
      </c>
      <c r="AF41" t="str">
        <f t="shared" ca="1" si="13"/>
        <v/>
      </c>
      <c r="AG41" s="157" t="str">
        <f t="shared" ca="1" si="14"/>
        <v/>
      </c>
      <c r="AH41" s="261" t="str">
        <f t="shared" ca="1" si="15"/>
        <v/>
      </c>
      <c r="AI41" s="262" t="str">
        <f t="shared" ca="1" si="7"/>
        <v/>
      </c>
      <c r="AJ41" s="263" t="str">
        <f t="shared" ca="1" si="8"/>
        <v/>
      </c>
      <c r="AK41" s="157" t="str">
        <f t="shared" ca="1" si="16"/>
        <v/>
      </c>
      <c r="AL41" s="262" t="str">
        <f t="shared" ca="1" si="9"/>
        <v/>
      </c>
      <c r="AM41" s="263" t="str">
        <f t="shared" ca="1" si="10"/>
        <v/>
      </c>
      <c r="AN41" s="157" t="str">
        <f t="shared" ca="1" si="17"/>
        <v/>
      </c>
      <c r="AO41" s="262" t="str">
        <f t="shared" ca="1" si="11"/>
        <v/>
      </c>
      <c r="AP41" s="263" t="str">
        <f t="shared" ca="1" si="12"/>
        <v/>
      </c>
      <c r="AQ41" s="157" t="str" cm="1">
        <f t="array" aca="1" ref="AQ41" ca="1">IF(INDIRECT("L_"&amp;MID(AQ24,3,2))=0,""," "&amp;REPLACE(AQ24,2,1," ")&amp;" = ")</f>
        <v/>
      </c>
      <c r="AR41" s="262" t="str">
        <f t="shared" ca="1" si="20"/>
        <v/>
      </c>
      <c r="AS41" s="263" t="str">
        <f ca="1">IF(AR41="","",IF(AR24&gt;0, " {1:MCS:~%100%"&amp;_Derecha&amp;"#"  &amp;Retro_MuyBien&amp;       "~%-50%"&amp;_Izquierda&amp;"#"&amp;Retro_Mal,
                             IF(AR24&lt;0, " {1:MCS:~%100%"&amp;_Izquierda&amp;"#"&amp;Retro_MuyBien&amp;       "~%-50%"&amp;_Derecha  &amp;"#"&amp;Retro_Mal,
                                                   " {0:MCS:~%100%"&amp;_Derecha&amp;"#Sin carga uniforme~%0%"        &amp;_Izquierda&amp;"#Sin carga uniforme") ) &amp;"}&lt;br&gt;" )</f>
        <v/>
      </c>
      <c r="AT41" t="s">
        <v>1</v>
      </c>
      <c r="AV41" t="str">
        <f t="shared" ca="1" si="18"/>
        <v/>
      </c>
    </row>
    <row r="42" spans="2:48" ht="22.95" customHeight="1" outlineLevel="1">
      <c r="B42" s="595" t="s">
        <v>130</v>
      </c>
      <c r="C42" s="581">
        <f ca="1" xml:space="preserve"> IF( L_EF = 0, 0, + IF(alfa_C=90, N_DE_j,  N_DE_j * COS(RADIANS(alfa_C))  +  V_DE_j  *  SIN(RADIANS(alfa_C))) - Fh_E  -  RFh_E)</f>
        <v>0</v>
      </c>
      <c r="D42" s="589">
        <f ca="1">IFERROR(VLOOKUP('RESULTADOS - FTP'!M16,'ENLACES DIAGRAMAS'!$B:$J,9,0),0)</f>
        <v>0</v>
      </c>
      <c r="E42" s="589"/>
      <c r="F42" s="589"/>
      <c r="G42" s="583">
        <f ca="1" xml:space="preserve"> + N_EF_i</f>
        <v>0</v>
      </c>
      <c r="H42" s="581">
        <f ca="1" xml:space="preserve"> IF( L_EF = 0, 0, IF(alfa_C=90, V_DE_j,  - N_DE_j * SIN(RADIANS(alfa_C))  +  V_DE_j  *  COS(RADIANS(alfa_C)) ) + Fv_E  +  RFv_E)</f>
        <v>0</v>
      </c>
      <c r="I42" s="589">
        <f ca="1">IFERROR(VLOOKUP('RESULTADOS - FTP'!N16,'ENLACES DIAGRAMAS'!$B:$J,9,0),0)</f>
        <v>0</v>
      </c>
      <c r="J42" s="589"/>
      <c r="K42" s="589"/>
      <c r="L42" s="583">
        <f ca="1" xml:space="preserve"> + V_EF_i  +  q_EF  *  L_EF</f>
        <v>0</v>
      </c>
      <c r="M42" s="581">
        <f ca="1" xml:space="preserve"> IF( L_EF = 0, 0, + M_DE_j  +  Mz_E  +  RM_E)</f>
        <v>0</v>
      </c>
      <c r="N42" s="589">
        <f ca="1">IFERROR(VLOOKUP('RESULTADOS - FTP'!O16,'ENLACES DIAGRAMAS'!$B:$J,9,0),0)</f>
        <v>0</v>
      </c>
      <c r="O42" s="589"/>
      <c r="P42" s="589"/>
      <c r="Q42" s="585">
        <f ca="1" xml:space="preserve">  + M_EF_i  + ( +  V_EF_i  *  L_EF  +  q_EF *  L_EF^2/2 )</f>
        <v>0</v>
      </c>
      <c r="R42" s="610" t="str">
        <f ca="1">IF( OR( AND(V_EF_i &gt; 0, V_EF_j &lt; 0),  AND(V_EF_i &lt; 0, V_EF_j &gt; 0)  ),
        ABS(V_EF_i) * L_EF  / (ABS(V_EF_i) + ABS(V_EF_j) ) * 1000, "")</f>
        <v/>
      </c>
      <c r="S42" s="611" t="str">
        <f ca="1">IF( OR( AND(V_EF_i &gt; 0, V_EF_j &lt; 0),  AND(V_EF_i &lt; 0, V_EF_j &gt; 0)  ),
        ABS(V_EF_i) * L_EF  / (ABS(V_EF_i) + ABS(V_EF_j) ) * 1000, "")</f>
        <v/>
      </c>
      <c r="T42" s="611" t="str">
        <f ca="1">IF( OR( AND(V_EF_i &gt; 0, V_EF_j &lt; 0),  AND(V_EF_i &lt; 0, V_EF_j &gt; 0)  ),
        ABS(V_EF_i) * L_EF  / (ABS(V_EF_i) + ABS(V_EF_j) ) * 1000, "")</f>
        <v/>
      </c>
      <c r="V42" s="617" t="str">
        <f t="shared" ref="V42" ca="1" si="23">IF(R42&lt;&gt;"", "En la barra "&amp;B42&amp;" el momento es de "&amp;TEXT(ROUND(R43,2),"#.##0,00")&amp;" kNm, a "&amp;TEXT(ROUND(R42,0),"#.##0")&amp;" mm del nudo "&amp;MID(B42,1,1)&amp;".
","")</f>
        <v/>
      </c>
      <c r="W42" s="88" t="s">
        <v>162</v>
      </c>
      <c r="X42" s="89" t="s">
        <v>161</v>
      </c>
      <c r="AF42" t="str">
        <f t="shared" ca="1" si="13"/>
        <v/>
      </c>
      <c r="AG42" s="157" t="str">
        <f t="shared" ca="1" si="14"/>
        <v/>
      </c>
      <c r="AH42" s="261" t="str">
        <f t="shared" ca="1" si="15"/>
        <v/>
      </c>
      <c r="AI42" s="262" t="str">
        <f t="shared" ca="1" si="7"/>
        <v/>
      </c>
      <c r="AJ42" s="263" t="str">
        <f t="shared" ca="1" si="8"/>
        <v/>
      </c>
      <c r="AK42" s="157" t="str">
        <f t="shared" ca="1" si="16"/>
        <v/>
      </c>
      <c r="AL42" s="262" t="str">
        <f t="shared" ca="1" si="9"/>
        <v/>
      </c>
      <c r="AM42" s="263" t="str">
        <f t="shared" ca="1" si="10"/>
        <v/>
      </c>
      <c r="AN42" s="157" t="str">
        <f t="shared" ca="1" si="17"/>
        <v/>
      </c>
      <c r="AO42" s="262" t="str">
        <f t="shared" ca="1" si="11"/>
        <v/>
      </c>
      <c r="AP42" s="263" t="str">
        <f t="shared" ca="1" si="12"/>
        <v/>
      </c>
      <c r="AQ42" s="157" t="str" cm="1">
        <f t="array" aca="1" ref="AQ42" ca="1">IF(INDIRECT("L_"&amp;MID(AQ25,3,2))=0,""," "&amp;REPLACE(AQ25,2,1," ")&amp;" = ")</f>
        <v/>
      </c>
      <c r="AR42" s="262" t="str">
        <f t="shared" ca="1" si="20"/>
        <v/>
      </c>
      <c r="AS42" s="263" t="str">
        <f ca="1">IF(AR42="","",IF(AR25&gt;0, " {1:MCS:~%100%"&amp;_Derecha&amp;"#"  &amp;Retro_MuyBien&amp;       "~%-50%"&amp;_Izquierda&amp;"#"&amp;Retro_Mal,
                             IF(AR25&lt;0, " {1:MCS:~%100%"&amp;_Izquierda&amp;"#"&amp;Retro_MuyBien&amp;       "~%-50%"&amp;_Derecha  &amp;"#"&amp;Retro_Mal,
                                                   " {0:MCS:~%100%"&amp;_Derecha&amp;"#Sin carga uniforme~%0%"        &amp;_Izquierda&amp;"#Sin carga uniforme") ) &amp;"}&lt;br&gt;" )</f>
        <v/>
      </c>
      <c r="AT42" t="s">
        <v>1</v>
      </c>
      <c r="AV42" t="str">
        <f t="shared" ca="1" si="18"/>
        <v/>
      </c>
    </row>
    <row r="43" spans="2:48" ht="22.95" customHeight="1" outlineLevel="1" thickBot="1">
      <c r="B43" s="596"/>
      <c r="C43" s="582"/>
      <c r="D43" s="590"/>
      <c r="E43" s="590"/>
      <c r="F43" s="590"/>
      <c r="G43" s="584"/>
      <c r="H43" s="582"/>
      <c r="I43" s="590"/>
      <c r="J43" s="590"/>
      <c r="K43" s="590"/>
      <c r="L43" s="584"/>
      <c r="M43" s="582"/>
      <c r="N43" s="590"/>
      <c r="O43" s="590"/>
      <c r="P43" s="590"/>
      <c r="Q43" s="586"/>
      <c r="R43" s="612" t="str">
        <f ca="1" xml:space="preserve"> IF( X_EF&lt;&gt;"",  + M_EF_i  +  V_EF_i * X_EF/1000  +  q_EF * (X_EF/1000) ^2/2, "")</f>
        <v/>
      </c>
      <c r="S43" s="613" t="str">
        <f ca="1" xml:space="preserve"> IF( X_EF&lt;&gt;"",  + M_EF_i  +  V_EF_i * X_EF/1000  +  q_EF * (X_EF/1000) ^2/2, "")</f>
        <v/>
      </c>
      <c r="T43" s="613" t="str">
        <f ca="1" xml:space="preserve"> IF( X_EF&lt;&gt;"",  + M_EF_i  +  V_EF_i * X_EF/1000  +  q_EF * (X_EF/1000) ^2/2, "")</f>
        <v/>
      </c>
      <c r="V43" s="617"/>
      <c r="W43" s="88" t="s">
        <v>164</v>
      </c>
      <c r="X43" s="89" t="s">
        <v>163</v>
      </c>
      <c r="AF43" t="str">
        <f t="shared" ca="1" si="13"/>
        <v/>
      </c>
      <c r="AG43" s="157" t="str">
        <f t="shared" ca="1" si="14"/>
        <v/>
      </c>
      <c r="AH43" s="261" t="str">
        <f t="shared" ca="1" si="15"/>
        <v/>
      </c>
      <c r="AI43" s="262" t="str">
        <f t="shared" ca="1" si="7"/>
        <v/>
      </c>
      <c r="AJ43" s="263" t="str">
        <f t="shared" ca="1" si="8"/>
        <v/>
      </c>
      <c r="AK43" s="157" t="str">
        <f t="shared" ca="1" si="16"/>
        <v/>
      </c>
      <c r="AL43" s="262" t="str">
        <f t="shared" ca="1" si="9"/>
        <v/>
      </c>
      <c r="AM43" s="263" t="str">
        <f t="shared" ca="1" si="10"/>
        <v/>
      </c>
      <c r="AN43" s="157" t="str">
        <f t="shared" ca="1" si="17"/>
        <v/>
      </c>
      <c r="AO43" s="262" t="str">
        <f t="shared" ca="1" si="11"/>
        <v/>
      </c>
      <c r="AP43" s="263" t="str">
        <f t="shared" ca="1" si="12"/>
        <v/>
      </c>
      <c r="AQ43" s="157" t="str" cm="1">
        <f t="array" aca="1" ref="AQ43" ca="1">IF(INDIRECT("L_"&amp;MID(AQ26,3,2))=0,""," "&amp;REPLACE(AQ26,2,1," ")&amp;" = ")</f>
        <v/>
      </c>
      <c r="AR43" s="262" t="str">
        <f t="shared" ca="1" si="20"/>
        <v/>
      </c>
      <c r="AS43" s="263" t="str">
        <f ca="1">IF(AR43="","",IF(AR26&gt;0, " {1:MCS:~%100%"&amp;_Arriba &amp;"#"  &amp;Retro_MuyBien&amp;  "~%-50%"&amp;_Abajo  &amp;"#"&amp;Retro_Mal,
                             IF(AR26&lt;0, " {1:MCS:~%100%"&amp;_Abajo  &amp;"#"&amp;Retro_MuyBien&amp;    "~%-50%"&amp;_Arriba &amp;"#"&amp;Retro_Mal,
                                                   " {0:MCS:~%100%"&amp;_Arriba&amp;"#Sin carga uniforme~%0%"     &amp;_Abajo &amp;"#Sin carga uniforme") ) &amp;"}&lt;br&gt;" )</f>
        <v/>
      </c>
      <c r="AT43" t="s">
        <v>129</v>
      </c>
      <c r="AV43" t="str">
        <f t="shared" ca="1" si="18"/>
        <v/>
      </c>
    </row>
    <row r="44" spans="2:48" ht="22.95" customHeight="1" outlineLevel="1">
      <c r="B44" s="595" t="s">
        <v>131</v>
      </c>
      <c r="C44" s="581">
        <f ca="1" xml:space="preserve"> IF( L_FG = 0, 0,  + N_EF_j   -  Fh_F  -  RFh_F)</f>
        <v>0</v>
      </c>
      <c r="D44" s="589">
        <f ca="1">IFERROR(VLOOKUP('RESULTADOS - FTP'!M18,'ENLACES DIAGRAMAS'!$B:$J,9,0),0)</f>
        <v>0</v>
      </c>
      <c r="E44" s="589"/>
      <c r="F44" s="589"/>
      <c r="G44" s="583">
        <f ca="1" xml:space="preserve"> + N_FG_i</f>
        <v>0</v>
      </c>
      <c r="H44" s="581">
        <f ca="1" xml:space="preserve"> IF( L_FG = 0, 0, + V_EF_j  +  Fv_F  +  RFv_F)</f>
        <v>0</v>
      </c>
      <c r="I44" s="589">
        <f ca="1">IFERROR(VLOOKUP('RESULTADOS - FTP'!N18,'ENLACES DIAGRAMAS'!$B:$J,9,0),0)</f>
        <v>0</v>
      </c>
      <c r="J44" s="589"/>
      <c r="K44" s="589"/>
      <c r="L44" s="583">
        <f ca="1" xml:space="preserve"> + V_FG_i   +  q_FG  *  L_FG</f>
        <v>0</v>
      </c>
      <c r="M44" s="581">
        <f ca="1" xml:space="preserve"> IF( L_FG = 0, 0, + M_EF_j  +  Mz_F  +  RM_F)</f>
        <v>0</v>
      </c>
      <c r="N44" s="589">
        <f ca="1">IFERROR(VLOOKUP('RESULTADOS - FTP'!O18,'ENLACES DIAGRAMAS'!$B:$J,9,0),0)</f>
        <v>0</v>
      </c>
      <c r="O44" s="589"/>
      <c r="P44" s="589"/>
      <c r="Q44" s="585">
        <f ca="1" xml:space="preserve"> + M_FG_i  + ( + V_FG_i  *  L_FG  +  q_FG  *  L_FG^2/2 )</f>
        <v>0</v>
      </c>
      <c r="R44" s="610" t="str">
        <f ca="1">IF( OR( AND(V_FG_i &gt; 0, V_FG_j &lt; 0),  AND(V_FG_i &lt; 0, V_FG_j &gt; 0)  ),
        ABS(V_FG_i) * L_FG  / (ABS(V_FG_i) + ABS(V_FG_j) ) * 1000, "")</f>
        <v/>
      </c>
      <c r="S44" s="611" t="str">
        <f ca="1">IF( OR( AND(V_FG_i &gt; 0, V_FG_j &lt; 0),  AND(V_FG_i &lt; 0, V_FG_j &gt; 0)  ),
        ABS(V_FG_i) * L_FG  / (ABS(V_FG_i) + ABS(V_FG_j) ) * 1000, "")</f>
        <v/>
      </c>
      <c r="T44" s="611" t="str">
        <f ca="1">IF( OR( AND(V_FG_i &gt; 0, V_FG_j &lt; 0),  AND(V_FG_i &lt; 0, V_FG_j &gt; 0)  ),
        ABS(V_FG_i) * L_FG  / (ABS(V_FG_i) + ABS(V_FG_j) ) * 1000, "")</f>
        <v/>
      </c>
      <c r="V44" s="617" t="str">
        <f t="shared" ref="V44" ca="1" si="24">IF(R44&lt;&gt;"", "En la barra "&amp;B44&amp;" el momento es de "&amp;TEXT(ROUND(R45,2),"#.##0,00")&amp;" kNm, a "&amp;TEXT(ROUND(R44,0),"#.##0")&amp;" mm del nudo "&amp;MID(B44,1,1)&amp;".
","")</f>
        <v/>
      </c>
      <c r="W44" s="88" t="s">
        <v>166</v>
      </c>
      <c r="X44" s="89" t="s">
        <v>165</v>
      </c>
      <c r="AF44" t="str">
        <f t="shared" ca="1" si="13"/>
        <v/>
      </c>
      <c r="AG44" s="157" t="str">
        <f t="shared" ca="1" si="14"/>
        <v/>
      </c>
      <c r="AH44" s="261" t="str">
        <f t="shared" ca="1" si="15"/>
        <v/>
      </c>
      <c r="AI44" s="262" t="str">
        <f t="shared" ca="1" si="7"/>
        <v/>
      </c>
      <c r="AJ44" s="263" t="str">
        <f t="shared" ca="1" si="8"/>
        <v/>
      </c>
      <c r="AK44" s="157" t="str">
        <f t="shared" ca="1" si="16"/>
        <v/>
      </c>
      <c r="AL44" s="262" t="str">
        <f t="shared" ca="1" si="9"/>
        <v/>
      </c>
      <c r="AM44" s="263" t="str">
        <f t="shared" ca="1" si="10"/>
        <v/>
      </c>
      <c r="AN44" s="157" t="str">
        <f t="shared" ca="1" si="17"/>
        <v/>
      </c>
      <c r="AO44" s="262" t="str">
        <f t="shared" ca="1" si="11"/>
        <v/>
      </c>
      <c r="AP44" s="263" t="str">
        <f t="shared" ca="1" si="12"/>
        <v/>
      </c>
      <c r="AQ44" s="157" t="str" cm="1">
        <f t="array" aca="1" ref="AQ44" ca="1">IF(INDIRECT("L_"&amp;MID(AQ27,3,2))=0,""," "&amp;REPLACE(AQ27,2,1," ")&amp;" = ")</f>
        <v/>
      </c>
      <c r="AR44" s="262" t="str">
        <f t="shared" ca="1" si="20"/>
        <v/>
      </c>
      <c r="AS44" s="263" t="str">
        <f ca="1">IF(AR44="","",IF(AR27&gt;0, " {1:MCS:~%100%"&amp;_Arriba &amp;"#"  &amp;Retro_MuyBien&amp;  "~%-50%"&amp;_Abajo  &amp;"#"&amp;Retro_Mal,
                             IF(AR27&lt;0, " {1:MCS:~%100%"&amp;_Abajo  &amp;"#"&amp;Retro_MuyBien&amp;    "~%-50%"&amp;_Arriba &amp;"#"&amp;Retro_Mal,
                                                   " {0:MCS:~%100%"&amp;_Arriba&amp;"#Sin carga uniforme~%0%"     &amp;_Abajo &amp;"#Sin carga uniforme") ) &amp;"}&lt;br&gt;" )</f>
        <v/>
      </c>
      <c r="AT44" t="s">
        <v>129</v>
      </c>
      <c r="AV44" t="str">
        <f t="shared" ca="1" si="18"/>
        <v/>
      </c>
    </row>
    <row r="45" spans="2:48" ht="22.95" customHeight="1" outlineLevel="1" thickBot="1">
      <c r="B45" s="596"/>
      <c r="C45" s="582"/>
      <c r="D45" s="590"/>
      <c r="E45" s="590"/>
      <c r="F45" s="590"/>
      <c r="G45" s="584"/>
      <c r="H45" s="582"/>
      <c r="I45" s="590"/>
      <c r="J45" s="590"/>
      <c r="K45" s="590"/>
      <c r="L45" s="584"/>
      <c r="M45" s="582"/>
      <c r="N45" s="590"/>
      <c r="O45" s="590"/>
      <c r="P45" s="590"/>
      <c r="Q45" s="586"/>
      <c r="R45" s="612" t="str">
        <f ca="1" xml:space="preserve"> IF( X_FG&lt;&gt;"",  + M_FG_i  +  V_FG_i * (X_FG/1000)  +  q_FG * (X_FG/1000) ^2/2, "")</f>
        <v/>
      </c>
      <c r="S45" s="613" t="str">
        <f ca="1" xml:space="preserve"> IF( X_FG&lt;&gt;"",  + M_FG_i  +  V_FG_i * (X_FG/1000)  +  q_FG * (X_FG/1000) ^2/2, "")</f>
        <v/>
      </c>
      <c r="T45" s="613" t="str">
        <f ca="1" xml:space="preserve"> IF( X_FG&lt;&gt;"",  + M_FG_i  +  V_FG_i * (X_FG/1000)  +  q_FG * (X_FG/1000) ^2/2, "")</f>
        <v/>
      </c>
      <c r="V45" s="617"/>
      <c r="W45" s="88" t="s">
        <v>168</v>
      </c>
      <c r="X45" s="89" t="s">
        <v>167</v>
      </c>
      <c r="AF45" t="str">
        <f t="shared" ca="1" si="13"/>
        <v/>
      </c>
      <c r="AG45" s="157" t="str">
        <f t="shared" ca="1" si="14"/>
        <v/>
      </c>
      <c r="AH45" s="261" t="str">
        <f t="shared" ca="1" si="15"/>
        <v/>
      </c>
      <c r="AI45" s="262" t="str">
        <f t="shared" ca="1" si="7"/>
        <v/>
      </c>
      <c r="AJ45" s="263" t="str">
        <f t="shared" ca="1" si="8"/>
        <v/>
      </c>
      <c r="AK45" s="157" t="str">
        <f t="shared" ca="1" si="16"/>
        <v/>
      </c>
      <c r="AL45" s="262" t="str">
        <f t="shared" ca="1" si="9"/>
        <v/>
      </c>
      <c r="AM45" s="263" t="str">
        <f t="shared" ca="1" si="10"/>
        <v/>
      </c>
      <c r="AN45" s="157" t="str">
        <f t="shared" ca="1" si="17"/>
        <v/>
      </c>
      <c r="AO45" s="262" t="str">
        <f t="shared" ca="1" si="11"/>
        <v/>
      </c>
      <c r="AP45" s="263" t="str">
        <f t="shared" ca="1" si="12"/>
        <v/>
      </c>
      <c r="AQ45" s="157" t="str" cm="1">
        <f t="array" aca="1" ref="AQ45" ca="1">IF(INDIRECT("L_"&amp;MID(AQ28,3,2))=0,""," "&amp;REPLACE(AQ28,2,1," ")&amp;" = ")</f>
        <v/>
      </c>
      <c r="AR45" s="262" t="str">
        <f t="shared" ca="1" si="20"/>
        <v/>
      </c>
      <c r="AS45" s="263" t="str">
        <f ca="1">IF(AR45="","",IF(AR28&gt;0, " {1:MCS:~%100%"&amp;_Arriba &amp;"#"  &amp;Retro_MuyBien&amp;  "~%-50%"&amp;_Abajo  &amp;"#"&amp;Retro_Mal,
                             IF(AR28&lt;0, " {1:MCS:~%100%"&amp;_Abajo  &amp;"#"&amp;Retro_MuyBien&amp;    "~%-50%"&amp;_Arriba &amp;"#"&amp;Retro_Mal,
                                                   " {0:MCS:~%100%"&amp;_Arriba&amp;"#Sin carga uniforme~%0%"     &amp;_Abajo &amp;"#Sin carga uniforme") ) &amp;"}&lt;br&gt;" )</f>
        <v/>
      </c>
      <c r="AT45" t="s">
        <v>129</v>
      </c>
      <c r="AV45" t="str">
        <f t="shared" ca="1" si="18"/>
        <v/>
      </c>
    </row>
    <row r="46" spans="2:48" ht="22.95" customHeight="1" outlineLevel="1">
      <c r="B46" s="595" t="s">
        <v>132</v>
      </c>
      <c r="C46" s="581">
        <f ca="1" xml:space="preserve"> + N_GH_j</f>
        <v>0</v>
      </c>
      <c r="D46" s="589">
        <f ca="1">IFERROR(VLOOKUP('RESULTADOS - FTP'!M20,'ENLACES DIAGRAMAS'!$B:$J,9,0),0)</f>
        <v>0</v>
      </c>
      <c r="E46" s="589"/>
      <c r="F46" s="589"/>
      <c r="G46" s="583">
        <f ca="1" xml:space="preserve"> IF( L_GH = 0, 0, + N_HI_i  +  Fh_H  +  RFh_H)</f>
        <v>0</v>
      </c>
      <c r="H46" s="581">
        <f ca="1" xml:space="preserve"> + V_GH_j  -  q_GH  *  L_GH</f>
        <v>0</v>
      </c>
      <c r="I46" s="589">
        <f ca="1">IFERROR(VLOOKUP('RESULTADOS - FTP'!N20,'ENLACES DIAGRAMAS'!$B:$J,9,0),0)</f>
        <v>0</v>
      </c>
      <c r="J46" s="589"/>
      <c r="K46" s="589"/>
      <c r="L46" s="583">
        <f ca="1" xml:space="preserve"> IF( L_GH = 0, 0,  + V_HI_i  - Fv_H  -  RFv_H)</f>
        <v>0</v>
      </c>
      <c r="M46" s="581">
        <f ca="1" xml:space="preserve"> + M_GH_j +  ( - V_GH_j  * L_GH  +  q_GH * L_GH^2/2 )</f>
        <v>0</v>
      </c>
      <c r="N46" s="589">
        <f ca="1">IFERROR(VLOOKUP('RESULTADOS - FTP'!O20,'ENLACES DIAGRAMAS'!$B:$J,9,0),0)</f>
        <v>0</v>
      </c>
      <c r="O46" s="589"/>
      <c r="P46" s="589"/>
      <c r="Q46" s="585">
        <f ca="1" xml:space="preserve"> IF( L_GH = 0, 0,  + M_HI_i  -  Mz_H  -  RM_H)</f>
        <v>0</v>
      </c>
      <c r="R46" s="610" t="str">
        <f ca="1">IF( OR( AND(V_GH_i &gt; 0, V_GH_j &lt; 0),  AND(V_GH_i &lt; 0, V_GH_j &gt; 0)  ),
        ABS(V_GH_i) * L_GH  / (ABS(V_GH_i) + ABS(V_GH_j) ) * 1000, "")</f>
        <v/>
      </c>
      <c r="S46" s="611" t="str">
        <f ca="1">IF( OR( AND(V_GH_i &gt; 0, V_GH_j &lt; 0),  AND(V_GH_i &lt; 0, V_GH_j &gt; 0)  ),
        ABS(V_GH_i) * L_GH  / (ABS(V_GH_i) + ABS(V_GH_j) ) * 1000, "")</f>
        <v/>
      </c>
      <c r="T46" s="611" t="str">
        <f ca="1">IF( OR( AND(V_GH_i &gt; 0, V_GH_j &lt; 0),  AND(V_GH_i &lt; 0, V_GH_j &gt; 0)  ),
        ABS(V_GH_i) * L_GH  / (ABS(V_GH_i) + ABS(V_GH_j) ) * 1000, "")</f>
        <v/>
      </c>
      <c r="V46" s="617" t="str">
        <f t="shared" ref="V46" ca="1" si="25">IF(R46&lt;&gt;"", "En la barra "&amp;B46&amp;" el momento es de "&amp;TEXT(ROUND(R47,2),"#.##0,00")&amp;" kNm, a "&amp;TEXT(ROUND(R46,0),"#.##0")&amp;" mm del nudo "&amp;MID(B46,1,1)&amp;".
","")</f>
        <v/>
      </c>
      <c r="W46" s="88" t="s">
        <v>169</v>
      </c>
      <c r="X46" s="90" t="s">
        <v>151</v>
      </c>
      <c r="AF46" t="str">
        <f t="shared" ca="1" si="13"/>
        <v/>
      </c>
      <c r="AG46" s="157" t="str">
        <f t="shared" ca="1" si="14"/>
        <v/>
      </c>
      <c r="AH46" s="261" t="str">
        <f t="shared" ca="1" si="15"/>
        <v/>
      </c>
      <c r="AI46" s="262" t="str">
        <f t="shared" ca="1" si="7"/>
        <v/>
      </c>
      <c r="AJ46" s="263" t="str">
        <f t="shared" ca="1" si="8"/>
        <v/>
      </c>
      <c r="AK46" s="157" t="str">
        <f t="shared" ca="1" si="16"/>
        <v/>
      </c>
      <c r="AL46" s="262" t="str">
        <f t="shared" ca="1" si="9"/>
        <v/>
      </c>
      <c r="AM46" s="263" t="str">
        <f t="shared" ca="1" si="10"/>
        <v/>
      </c>
      <c r="AN46" s="157" t="str">
        <f t="shared" ca="1" si="17"/>
        <v/>
      </c>
      <c r="AO46" s="262" t="str">
        <f t="shared" ca="1" si="11"/>
        <v/>
      </c>
      <c r="AP46" s="263" t="str">
        <f t="shared" ca="1" si="12"/>
        <v/>
      </c>
      <c r="AQ46" s="157" t="str" cm="1">
        <f t="array" aca="1" ref="AQ46" ca="1">IF(INDIRECT("L_"&amp;MID(AQ29,3,2))=0,""," "&amp;REPLACE(AQ29,2,1," ")&amp;" = ")</f>
        <v/>
      </c>
      <c r="AR46" s="262" t="str">
        <f t="shared" ca="1" si="20"/>
        <v/>
      </c>
      <c r="AS46" s="263" t="str">
        <f ca="1">IF(AR46="","",IF(AR29&gt;0, " {1:MCS:~%100%"&amp;_Derecha&amp;"#"  &amp;Retro_MuyBien&amp;       "~%-50%"&amp;_Izquierda&amp;"#"&amp;Retro_Mal,
                             IF(AR29&lt;0, " {1:MCS:~%100%"&amp;_Izquierda&amp;"#"&amp;Retro_MuyBien&amp;       "~%-50%"&amp;_Derecha  &amp;"#"&amp;Retro_Mal,
                                                   " {0:MCS:~%100%"&amp;_Derecha&amp;"#Sin carga uniforme~%0%"        &amp;_Izquierda&amp;"#Sin carga uniforme") ) &amp;"}&lt;br&gt;" )</f>
        <v/>
      </c>
      <c r="AT46" t="s">
        <v>1</v>
      </c>
      <c r="AV46" t="str">
        <f t="shared" ca="1" si="18"/>
        <v/>
      </c>
    </row>
    <row r="47" spans="2:48" ht="22.95" customHeight="1" outlineLevel="1" thickBot="1">
      <c r="B47" s="596"/>
      <c r="C47" s="582"/>
      <c r="D47" s="590"/>
      <c r="E47" s="590"/>
      <c r="F47" s="590"/>
      <c r="G47" s="584"/>
      <c r="H47" s="582"/>
      <c r="I47" s="590"/>
      <c r="J47" s="590"/>
      <c r="K47" s="590"/>
      <c r="L47" s="584"/>
      <c r="M47" s="582"/>
      <c r="N47" s="590"/>
      <c r="O47" s="590"/>
      <c r="P47" s="590"/>
      <c r="Q47" s="586"/>
      <c r="R47" s="612" t="str">
        <f ca="1" xml:space="preserve"> IF( X_GH&lt;&gt;"",  + M_GH_i  +  V_GH_i * X_GH/1000  +  q_GH * (X_GH/1000) ^2/2, "" )</f>
        <v/>
      </c>
      <c r="S47" s="613" t="str">
        <f ca="1" xml:space="preserve"> IF( X_GH&lt;&gt;"",  + M_GH_i  +  V_GH_i * X_GH/1000  +  q_GH * (X_GH/1000) ^2/2, "" )</f>
        <v/>
      </c>
      <c r="T47" s="613" t="str">
        <f ca="1" xml:space="preserve"> IF( X_GH&lt;&gt;"",  + M_GH_i  +  V_GH_i * X_GH/1000  +  q_GH * (X_GH/1000) ^2/2, "" )</f>
        <v/>
      </c>
      <c r="V47" s="617"/>
      <c r="W47" s="88" t="s">
        <v>170</v>
      </c>
      <c r="X47" s="90" t="s">
        <v>149</v>
      </c>
      <c r="AF47" t="str">
        <f t="shared" ca="1" si="13"/>
        <v/>
      </c>
      <c r="AG47" s="257" t="str">
        <f t="shared" ca="1" si="14"/>
        <v/>
      </c>
      <c r="AH47" s="264" t="str">
        <f t="shared" ca="1" si="15"/>
        <v/>
      </c>
      <c r="AI47" s="265" t="str">
        <f t="shared" ca="1" si="7"/>
        <v/>
      </c>
      <c r="AJ47" s="266" t="str">
        <f t="shared" ca="1" si="8"/>
        <v/>
      </c>
      <c r="AK47" s="257" t="str">
        <f t="shared" ca="1" si="16"/>
        <v/>
      </c>
      <c r="AL47" s="265" t="str">
        <f t="shared" ca="1" si="9"/>
        <v/>
      </c>
      <c r="AM47" s="266" t="str">
        <f t="shared" ca="1" si="10"/>
        <v/>
      </c>
      <c r="AN47" s="257" t="str">
        <f t="shared" ca="1" si="17"/>
        <v/>
      </c>
      <c r="AO47" s="265" t="str">
        <f t="shared" ca="1" si="11"/>
        <v/>
      </c>
      <c r="AP47" s="266" t="str">
        <f t="shared" ca="1" si="12"/>
        <v/>
      </c>
      <c r="AQ47" s="257" t="s">
        <v>568</v>
      </c>
      <c r="AR47" s="265"/>
      <c r="AS47" s="266" t="str">
        <f>IF(AR47="","",IF(AS30="","---",AS30))</f>
        <v/>
      </c>
    </row>
    <row r="48" spans="2:48" ht="22.95" customHeight="1" outlineLevel="1">
      <c r="B48" s="595" t="s">
        <v>133</v>
      </c>
      <c r="C48" s="581">
        <f ca="1" xml:space="preserve"> + N_HI_j</f>
        <v>0</v>
      </c>
      <c r="D48" s="589">
        <f ca="1">IFERROR(VLOOKUP('RESULTADOS - FTP'!M22,'ENLACES DIAGRAMAS'!$B:$J,9,0),0)</f>
        <v>0</v>
      </c>
      <c r="E48" s="589"/>
      <c r="F48" s="589"/>
      <c r="G48" s="583">
        <f ca="1" xml:space="preserve"> IF( L_HI = 0, 0, + Fh_I  +  RFh_I)</f>
        <v>0</v>
      </c>
      <c r="H48" s="581">
        <f ca="1" xml:space="preserve"> + V_HI_j   - q_HI  * L_HI</f>
        <v>0</v>
      </c>
      <c r="I48" s="589">
        <f ca="1">IFERROR(VLOOKUP('RESULTADOS - FTP'!N22,'ENLACES DIAGRAMAS'!$B:$J,9,0),0)</f>
        <v>0</v>
      </c>
      <c r="J48" s="589"/>
      <c r="K48" s="589"/>
      <c r="L48" s="583">
        <f ca="1" xml:space="preserve"> IF( L_HI = 0, 0, - Fv_I  -  RFv_I)</f>
        <v>0</v>
      </c>
      <c r="M48" s="581">
        <f ca="1" xml:space="preserve"> + M_HI_j  +  ( - V_HI_j  * L_HI  +  q_HI *L_HI^2/2 )</f>
        <v>0</v>
      </c>
      <c r="N48" s="589">
        <f ca="1">IFERROR(VLOOKUP('RESULTADOS - FTP'!O22,'ENLACES DIAGRAMAS'!$B:$J,9,0),0)</f>
        <v>0</v>
      </c>
      <c r="O48" s="589"/>
      <c r="P48" s="589"/>
      <c r="Q48" s="585">
        <f ca="1" xml:space="preserve">  IF( L_HI = 0, 0, - Mz_I  -  RM_I)</f>
        <v>0</v>
      </c>
      <c r="R48" s="610" t="str">
        <f ca="1">IF( OR( AND(V_HI_i &gt; 0, V_HI_j &lt; 0),  AND(V_HI_i &lt; 0, V_HI_j &gt; 0)  ),
        ABS(V_HI_i) * L_HI  / (ABS(V_HI_i) + ABS(V_HI_j) ) * 1000, "")</f>
        <v/>
      </c>
      <c r="S48" s="611" t="str">
        <f ca="1">IF( OR( AND(V_HI_i &gt; 0, V_HI_j &lt; 0),  AND(V_HI_i &lt; 0, V_HI_j &gt; 0)  ),
        ABS(V_HI_i) * L_HI  / (ABS(V_HI_i) + ABS(V_HI_j) ) * 1000, "")</f>
        <v/>
      </c>
      <c r="T48" s="611" t="str">
        <f ca="1">IF( OR( AND(V_HI_i &gt; 0, V_HI_j &lt; 0),  AND(V_HI_i &lt; 0, V_HI_j &gt; 0)  ),
        ABS(V_HI_i) * L_HI  / (ABS(V_HI_i) + ABS(V_HI_j) ) * 1000, "")</f>
        <v/>
      </c>
      <c r="V48" s="617" t="str">
        <f t="shared" ref="V48" ca="1" si="26">IF(R48&lt;&gt;"", "En la barra "&amp;B48&amp;" el momento es de "&amp;TEXT(ROUND(R49,2),"#.##0,00")&amp;" kNm, a "&amp;TEXT(ROUND(R48,0),"#.##0")&amp;" mm del nudo "&amp;MID(B48,1,1)&amp;".
","")</f>
        <v/>
      </c>
      <c r="W48" s="88" t="s">
        <v>171</v>
      </c>
      <c r="X48" s="90" t="s">
        <v>147</v>
      </c>
      <c r="AG48" t="str">
        <f ca="1">AF32&amp;AF33&amp;AF34&amp;AF35&amp;AF36&amp;AF37&amp;AF38&amp;AF39&amp;AF40&amp;AF41&amp;AF42&amp;AF43&amp;AF44&amp;AF45&amp;AF46&amp;AF47</f>
        <v/>
      </c>
      <c r="AI48" s="261"/>
      <c r="AV48" t="str">
        <f ca="1">AV32&amp;AV33&amp;AV34&amp;AV35&amp;AV36&amp;AV37&amp;AV38&amp;AV39&amp;AV40&amp;AV41&amp;AV42&amp;AV43&amp;AV44&amp;AV45&amp;AV46</f>
        <v/>
      </c>
    </row>
    <row r="49" spans="2:43" ht="22.95" customHeight="1" outlineLevel="1" thickBot="1">
      <c r="B49" s="596"/>
      <c r="C49" s="582"/>
      <c r="D49" s="590"/>
      <c r="E49" s="590"/>
      <c r="F49" s="590"/>
      <c r="G49" s="584"/>
      <c r="H49" s="582"/>
      <c r="I49" s="590"/>
      <c r="J49" s="590"/>
      <c r="K49" s="590"/>
      <c r="L49" s="584"/>
      <c r="M49" s="582"/>
      <c r="N49" s="590"/>
      <c r="O49" s="590"/>
      <c r="P49" s="590"/>
      <c r="Q49" s="586"/>
      <c r="R49" s="612" t="str">
        <f ca="1" xml:space="preserve"> IF( X_HI&lt;&gt;"",  + M_HI_i  +  V_HI_i * X_HI/1000  +  q_HI * (X_HI/1000) ^2/2, "")</f>
        <v/>
      </c>
      <c r="S49" s="613" t="str">
        <f ca="1" xml:space="preserve"> IF( X_HI&lt;&gt;"",  + M_HI_i  +  V_HI_i * X_HI/1000  +  q_HI * (X_HI/1000) ^2/2, "")</f>
        <v/>
      </c>
      <c r="T49" s="613" t="str">
        <f ca="1" xml:space="preserve"> IF( X_HI&lt;&gt;"",  + M_HI_i  +  V_HI_i * X_HI/1000  +  q_HI * (X_HI/1000) ^2/2, "")</f>
        <v/>
      </c>
      <c r="V49" s="617"/>
      <c r="W49" s="88" t="s">
        <v>172</v>
      </c>
      <c r="X49" s="91" t="s">
        <v>145</v>
      </c>
      <c r="AG49" t="str">
        <f ca="1">"R{N{CARGAS UNIFORMES}N}R&lt;br&gt;"&amp;AV48</f>
        <v>R{N{CARGAS UNIFORMES}N}R&lt;br&gt;</v>
      </c>
      <c r="AK49" s="37"/>
      <c r="AN49" s="37"/>
      <c r="AQ49" s="37"/>
    </row>
    <row r="50" spans="2:43" ht="22.95" customHeight="1" outlineLevel="1">
      <c r="B50" s="595" t="s">
        <v>134</v>
      </c>
      <c r="C50" s="581">
        <f ca="1" xml:space="preserve"> + N_GJ_j</f>
        <v>0</v>
      </c>
      <c r="D50" s="589">
        <f ca="1">IFERROR(VLOOKUP('RESULTADOS - FTP'!M24,'ENLACES DIAGRAMAS'!$B:$J,9,0),0)</f>
        <v>0</v>
      </c>
      <c r="E50" s="589"/>
      <c r="F50" s="589"/>
      <c r="G50" s="583">
        <f ca="1" xml:space="preserve"> IF(L_GJ = 0, 0, + N_JK_i  -  Fv_J  -  RFv_J )</f>
        <v>0</v>
      </c>
      <c r="H50" s="581">
        <f ca="1" xml:space="preserve">  + V_GJ_j  -  q_GJ * L_GJ</f>
        <v>0</v>
      </c>
      <c r="I50" s="589">
        <f ca="1">IFERROR(VLOOKUP('RESULTADOS - FTP'!N24,'ENLACES DIAGRAMAS'!$B:$J,9,0),0)</f>
        <v>0</v>
      </c>
      <c r="J50" s="589"/>
      <c r="K50" s="589"/>
      <c r="L50" s="583">
        <f ca="1" xml:space="preserve"> IF( L_GJ = 0, 0,  +  V_JK_i  -  Fh_J  -  RFh_J)</f>
        <v>0</v>
      </c>
      <c r="M50" s="581">
        <f ca="1" xml:space="preserve"> + M_GJ_j  +  ( -  V_GJ_j  * L_GJ  +  q_GJ  * L_GJ^2/2 )</f>
        <v>0</v>
      </c>
      <c r="N50" s="589">
        <f ca="1">IFERROR(VLOOKUP('RESULTADOS - FTP'!O24,'ENLACES DIAGRAMAS'!$B:$J,9,0),0)</f>
        <v>0</v>
      </c>
      <c r="O50" s="589"/>
      <c r="P50" s="589"/>
      <c r="Q50" s="585">
        <f ca="1" xml:space="preserve"> IF( L_GJ = 0, 0,  + M_JK_i  -  Mz_J  -  RM_J)</f>
        <v>0</v>
      </c>
      <c r="R50" s="610" t="str">
        <f ca="1">IF( OR( AND(V_GJ_i &gt; 0, V_GJ_j &lt; 0),  AND(V_GJ_i &lt; 0, V_GJ_j &gt; 0)  ),
        ABS(V_GJ_i) * L_GJ  / (ABS(V_GJ_i) + ABS(V_GJ_j) ) * 1000, "")</f>
        <v/>
      </c>
      <c r="S50" s="611" t="str">
        <f ca="1">IF( OR( AND(V_GJ_i &gt; 0, V_GJ_j &lt; 0),  AND(V_GJ_i &lt; 0, V_GJ_j &gt; 0)  ),
        ABS(V_GJ_i) * L_GJ  / (ABS(V_GJ_i) + ABS(V_GJ_j) ) * 1000, "")</f>
        <v/>
      </c>
      <c r="T50" s="611" t="str">
        <f ca="1">IF( OR( AND(V_GJ_i &gt; 0, V_GJ_j &lt; 0),  AND(V_GJ_i &lt; 0, V_GJ_j &gt; 0)  ),
        ABS(V_GJ_i) * L_GJ  / (ABS(V_GJ_i) + ABS(V_GJ_j) ) * 1000, "")</f>
        <v/>
      </c>
      <c r="V50" s="617" t="str">
        <f t="shared" ref="V50" ca="1" si="27">IF(R50&lt;&gt;"", "En la barra "&amp;B50&amp;" el momento es de "&amp;TEXT(ROUND(R51,2),"#.##0,00")&amp;" kNm, a "&amp;TEXT(ROUND(R50,0),"#.##0")&amp;" mm del nudo "&amp;MID(B50,1,1)&amp;".
","")</f>
        <v/>
      </c>
      <c r="W50" s="88" t="s">
        <v>174</v>
      </c>
      <c r="X50" s="92" t="s">
        <v>173</v>
      </c>
    </row>
    <row r="51" spans="2:43" ht="22.95" customHeight="1" outlineLevel="1" thickBot="1">
      <c r="B51" s="596"/>
      <c r="C51" s="582"/>
      <c r="D51" s="590"/>
      <c r="E51" s="590"/>
      <c r="F51" s="590"/>
      <c r="G51" s="584"/>
      <c r="H51" s="582"/>
      <c r="I51" s="590"/>
      <c r="J51" s="590"/>
      <c r="K51" s="590"/>
      <c r="L51" s="584"/>
      <c r="M51" s="582"/>
      <c r="N51" s="590"/>
      <c r="O51" s="590"/>
      <c r="P51" s="590"/>
      <c r="Q51" s="586"/>
      <c r="R51" s="612" t="str">
        <f ca="1" xml:space="preserve"> IF( X_GJ&lt;&gt;"",  + M_GJ_i  +  V_GJ_i * X_GJ/1000  +  q_GJ * (X_GJ/1000) ^2/2, "" )</f>
        <v/>
      </c>
      <c r="S51" s="613" t="str">
        <f ca="1" xml:space="preserve"> IF( X_GJ&lt;&gt;"",  + M_GJ_i  +  V_GJ_i * X_GJ/1000  +  q_GJ * (X_GJ/1000) ^2/2, "" )</f>
        <v/>
      </c>
      <c r="T51" s="613" t="str">
        <f ca="1" xml:space="preserve"> IF( X_GJ&lt;&gt;"",  + M_GJ_i  +  V_GJ_i * X_GJ/1000  +  q_GJ * (X_GJ/1000) ^2/2, "" )</f>
        <v/>
      </c>
      <c r="V51" s="617"/>
      <c r="W51" s="88" t="s">
        <v>176</v>
      </c>
      <c r="X51" s="92" t="s">
        <v>175</v>
      </c>
    </row>
    <row r="52" spans="2:43" ht="22.95" customHeight="1" outlineLevel="1">
      <c r="B52" s="595" t="s">
        <v>135</v>
      </c>
      <c r="C52" s="581">
        <f ca="1" xml:space="preserve"> + N_JK_j</f>
        <v>0</v>
      </c>
      <c r="D52" s="589">
        <f ca="1">IFERROR(VLOOKUP('RESULTADOS - FTP'!M26,'ENLACES DIAGRAMAS'!$B:$J,9,0),0)</f>
        <v>0</v>
      </c>
      <c r="E52" s="589"/>
      <c r="F52" s="589"/>
      <c r="G52" s="583">
        <f ca="1" xml:space="preserve"> IF(L_JK = 0, 0, + V_KL_i  -  Fv_K  -  RFv_K)</f>
        <v>0</v>
      </c>
      <c r="H52" s="581">
        <f ca="1" xml:space="preserve"> + V_JK_j  -  q_JK * L_JK</f>
        <v>0</v>
      </c>
      <c r="I52" s="589">
        <f ca="1">IFERROR(VLOOKUP('RESULTADOS - FTP'!N26,'ENLACES DIAGRAMAS'!$B:$J,9,0),0)</f>
        <v>0</v>
      </c>
      <c r="J52" s="589"/>
      <c r="K52" s="589"/>
      <c r="L52" s="583">
        <f ca="1" xml:space="preserve"> IF( L_JK = 0, 0, - N_KL_i  -  Fh_K  -  RFh_K)</f>
        <v>0</v>
      </c>
      <c r="M52" s="581">
        <f ca="1" xml:space="preserve"> + M_JK_j  + ( - V_JK_j * L_JK  + q_JK * L_JK^2/2 )</f>
        <v>0</v>
      </c>
      <c r="N52" s="589">
        <f ca="1">IFERROR(VLOOKUP('RESULTADOS - FTP'!O26,'ENLACES DIAGRAMAS'!$B:$J,9,0),0)</f>
        <v>0</v>
      </c>
      <c r="O52" s="589"/>
      <c r="P52" s="589"/>
      <c r="Q52" s="585">
        <f ca="1" xml:space="preserve"> IF( L_JK = 0, 0,  + M_KL_i  -  Mz_K -  RM_K)</f>
        <v>0</v>
      </c>
      <c r="R52" s="610" t="str">
        <f ca="1">IF( OR( AND(V_JK_i &gt; 0, V_JK_j &lt; 0),  AND(V_JK_i &lt; 0, V_JK_j &gt; 0)  ),
        ABS(V_JK_i) * L_JK  / (ABS(V_JK_i) + ABS(V_JK_j) ) * 1000, "")</f>
        <v/>
      </c>
      <c r="S52" s="611" t="str">
        <f ca="1">IF( OR( AND(V_JK_i &gt; 0, V_JK_j &lt; 0),  AND(V_JK_i &lt; 0, V_JK_j &gt; 0)  ),
        ABS(V_JK_i) * L_JK  / (ABS(V_JK_i) + ABS(V_JK_j) ) * 1000, "")</f>
        <v/>
      </c>
      <c r="T52" s="611" t="str">
        <f ca="1">IF( OR( AND(V_JK_i &gt; 0, V_JK_j &lt; 0),  AND(V_JK_i &lt; 0, V_JK_j &gt; 0)  ),
        ABS(V_JK_i) * L_JK  / (ABS(V_JK_i) + ABS(V_JK_j) ) * 1000, "")</f>
        <v/>
      </c>
      <c r="V52" s="617" t="str">
        <f t="shared" ref="V52" ca="1" si="28">IF(R52&lt;&gt;"", "En la barra "&amp;B52&amp;" el momento es de "&amp;TEXT(ROUND(R53,2),"#.##0,00")&amp;" kNm, a "&amp;TEXT(ROUND(R52,0),"#.##0")&amp;" mm del nudo "&amp;MID(B52,1,1)&amp;".
","")</f>
        <v/>
      </c>
      <c r="W52" s="88" t="s">
        <v>178</v>
      </c>
      <c r="X52" s="92" t="s">
        <v>177</v>
      </c>
    </row>
    <row r="53" spans="2:43" ht="22.95" customHeight="1" outlineLevel="1" thickBot="1">
      <c r="B53" s="596"/>
      <c r="C53" s="582"/>
      <c r="D53" s="590"/>
      <c r="E53" s="590"/>
      <c r="F53" s="590"/>
      <c r="G53" s="584"/>
      <c r="H53" s="582"/>
      <c r="I53" s="590"/>
      <c r="J53" s="590"/>
      <c r="K53" s="590"/>
      <c r="L53" s="584"/>
      <c r="M53" s="582"/>
      <c r="N53" s="590"/>
      <c r="O53" s="590"/>
      <c r="P53" s="590"/>
      <c r="Q53" s="586"/>
      <c r="R53" s="612" t="str">
        <f ca="1" xml:space="preserve"> IF( X_JK&lt;&gt;"",  + M_JK_i  +  V_JK_i * X_JK/1000  +  q_JK * (X_JK/1000) ^2/2, "")</f>
        <v/>
      </c>
      <c r="S53" s="613" t="str">
        <f ca="1" xml:space="preserve"> IF( X_JK&lt;&gt;"",  + M_JK_i  +  V_JK_i * X_JK/1000  +  q_JK * (X_JK/1000) ^2/2, "")</f>
        <v/>
      </c>
      <c r="T53" s="613" t="str">
        <f ca="1" xml:space="preserve"> IF( X_JK&lt;&gt;"",  + M_JK_i  +  V_JK_i * X_JK/1000  +  q_JK * (X_JK/1000) ^2/2, "")</f>
        <v/>
      </c>
      <c r="V53" s="617"/>
      <c r="W53" s="88" t="s">
        <v>180</v>
      </c>
      <c r="X53" s="92" t="s">
        <v>179</v>
      </c>
      <c r="AJ53" s="16"/>
    </row>
    <row r="54" spans="2:43" ht="22.95" customHeight="1" outlineLevel="1">
      <c r="B54" s="595" t="s">
        <v>136</v>
      </c>
      <c r="C54" s="581">
        <f ca="1" xml:space="preserve"> + N_KL_j</f>
        <v>0</v>
      </c>
      <c r="D54" s="589">
        <f ca="1">IFERROR(VLOOKUP('RESULTADOS - FTP'!M28,'ENLACES DIAGRAMAS'!$B:$J,9,0),0)</f>
        <v>0</v>
      </c>
      <c r="E54" s="589"/>
      <c r="F54" s="589"/>
      <c r="G54" s="583">
        <f ca="1" xml:space="preserve"> IF( L_KL = 0, 0, + N_LM_i  +  Fh_L  +  RFh_L)</f>
        <v>0</v>
      </c>
      <c r="H54" s="581">
        <f ca="1" xml:space="preserve"> + V_KL_j  -  q_KL * L_KL</f>
        <v>0</v>
      </c>
      <c r="I54" s="589">
        <f ca="1">IFERROR(VLOOKUP('RESULTADOS - FTP'!N28,'ENLACES DIAGRAMAS'!$B:$J,9,0),0)</f>
        <v>0</v>
      </c>
      <c r="J54" s="589"/>
      <c r="K54" s="589"/>
      <c r="L54" s="583">
        <f ca="1" xml:space="preserve"> IF( L_KL = 0, 0, + V_LM_i  -  Fv_L  -  RFv_L)</f>
        <v>0</v>
      </c>
      <c r="M54" s="581">
        <f ca="1" xml:space="preserve"> + M_KL_j  +  ( -  V_KL_j * L_KL  +  q_KL * L_KL^2/2 )</f>
        <v>0</v>
      </c>
      <c r="N54" s="589">
        <f ca="1">IFERROR(VLOOKUP('RESULTADOS - FTP'!O28,'ENLACES DIAGRAMAS'!$B:$J,9,0),0)</f>
        <v>0</v>
      </c>
      <c r="O54" s="589"/>
      <c r="P54" s="589"/>
      <c r="Q54" s="585">
        <f ca="1" xml:space="preserve">  IF( L_KL = 0, 0, + M_LM_i  -  Mz_L  -  RM_L)</f>
        <v>0</v>
      </c>
      <c r="R54" s="610" t="str">
        <f ca="1">IF( OR( AND(V_KL_i &gt; 0, V_KL_j &lt; 0),  AND(V_KL_i &lt; 0, V_KL_j &gt; 0)  ),
        ABS(V_KL_i) * L_KL  / (ABS(V_KL_i) + ABS(V_KL_j) ) * 1000, "")</f>
        <v/>
      </c>
      <c r="S54" s="611" t="str">
        <f ca="1">IF( OR( AND(V_KL_i &gt; 0, V_KL_j &lt; 0),  AND(V_KL_i &lt; 0, V_KL_j &gt; 0)  ),
        ABS(V_KL_i) * L_KL  / (ABS(V_KL_i) + ABS(V_KL_j) ) * 1000, "")</f>
        <v/>
      </c>
      <c r="T54" s="611" t="str">
        <f ca="1">IF( OR( AND(V_KL_i &gt; 0, V_KL_j &lt; 0),  AND(V_KL_i &lt; 0, V_KL_j &gt; 0)  ),
        ABS(V_KL_i) * L_KL  / (ABS(V_KL_i) + ABS(V_KL_j) ) * 1000, "")</f>
        <v/>
      </c>
      <c r="V54" s="617" t="str">
        <f t="shared" ref="V54" ca="1" si="29">IF(R54&lt;&gt;"", "En la barra "&amp;B54&amp;" el momento es de "&amp;TEXT(ROUND(R55,2),"#.##0,00")&amp;" kNm, a "&amp;TEXT(ROUND(R54,0),"#.##0")&amp;" mm del nudo "&amp;MID(B54,1,1)&amp;".
","")</f>
        <v/>
      </c>
      <c r="W54" s="88" t="s">
        <v>181</v>
      </c>
      <c r="X54" s="93" t="s">
        <v>173</v>
      </c>
    </row>
    <row r="55" spans="2:43" ht="22.95" customHeight="1" outlineLevel="1" thickBot="1">
      <c r="B55" s="596"/>
      <c r="C55" s="582"/>
      <c r="D55" s="590"/>
      <c r="E55" s="590"/>
      <c r="F55" s="590"/>
      <c r="G55" s="584"/>
      <c r="H55" s="582"/>
      <c r="I55" s="590"/>
      <c r="J55" s="590"/>
      <c r="K55" s="590"/>
      <c r="L55" s="584"/>
      <c r="M55" s="582"/>
      <c r="N55" s="590"/>
      <c r="O55" s="590"/>
      <c r="P55" s="590"/>
      <c r="Q55" s="586"/>
      <c r="R55" s="612" t="str">
        <f ca="1" xml:space="preserve"> IF( X_KL&lt;&gt;"",  + M_KL_i  +  V_KL_i * X_KL/1000  +  q_KL * (X_KL/1000) ^2/2, "" )</f>
        <v/>
      </c>
      <c r="S55" s="613" t="str">
        <f ca="1" xml:space="preserve"> IF( X_KL&lt;&gt;"",  + M_KL_i  +  V_KL_i * X_KL/1000  +  q_KL * (X_KL/1000) ^2/2, "" )</f>
        <v/>
      </c>
      <c r="T55" s="613" t="str">
        <f ca="1" xml:space="preserve"> IF( X_KL&lt;&gt;"",  + M_KL_i  +  V_KL_i * X_KL/1000  +  q_KL * (X_KL/1000) ^2/2, "" )</f>
        <v/>
      </c>
      <c r="V55" s="617"/>
      <c r="W55" s="88" t="s">
        <v>182</v>
      </c>
      <c r="X55" s="93" t="s">
        <v>175</v>
      </c>
      <c r="AN55" s="36"/>
    </row>
    <row r="56" spans="2:43" ht="22.95" customHeight="1" outlineLevel="1">
      <c r="B56" s="595" t="s">
        <v>137</v>
      </c>
      <c r="C56" s="581">
        <f ca="1" xml:space="preserve"> + N_LM_j</f>
        <v>0</v>
      </c>
      <c r="D56" s="589">
        <f ca="1">IFERROR(VLOOKUP('RESULTADOS - FTP'!M30,'ENLACES DIAGRAMAS'!$B:$J,9,0),0)</f>
        <v>0</v>
      </c>
      <c r="E56" s="589"/>
      <c r="F56" s="589"/>
      <c r="G56" s="583">
        <f ca="1" xml:space="preserve"> IF( L_LM = 0, 0, + N_MN_i  -  V_MO_i  +  Fh_M  +  RFh_M)</f>
        <v>0</v>
      </c>
      <c r="H56" s="581">
        <f ca="1" xml:space="preserve"> + V_LM_j  -  q_LM  * L_LM</f>
        <v>0</v>
      </c>
      <c r="I56" s="589">
        <f ca="1">IFERROR(VLOOKUP('RESULTADOS - FTP'!N30,'ENLACES DIAGRAMAS'!$B:$J,9,0),0)</f>
        <v>0</v>
      </c>
      <c r="J56" s="589"/>
      <c r="K56" s="589"/>
      <c r="L56" s="583">
        <f ca="1" xml:space="preserve"> IF( L_LM = 0, 0,  + V_MN_i  +  N_MO_j  - Fv_M  -  RFv_M)</f>
        <v>0</v>
      </c>
      <c r="M56" s="581">
        <f ca="1" xml:space="preserve"> + M_LM_j  +  ( -  V_LM_j * L_LM  +  q_LM * L_LM^2/2 )</f>
        <v>0</v>
      </c>
      <c r="N56" s="589">
        <f ca="1">IFERROR(VLOOKUP('RESULTADOS - FTP'!O30,'ENLACES DIAGRAMAS'!$B:$J,9,0),0)</f>
        <v>0</v>
      </c>
      <c r="O56" s="589"/>
      <c r="P56" s="589"/>
      <c r="Q56" s="585">
        <f ca="1" xml:space="preserve">  IF( L_LM = 0, 0, + M_MN_i  +  M_MO_i  - Mz_M  -  RM_M)</f>
        <v>0</v>
      </c>
      <c r="R56" s="610" t="str">
        <f ca="1">IF( OR( AND(V_LM_i &gt; 0, V_LM_j &lt; 0),  AND(V_LM_i &lt; 0, V_LM_j &gt; 0)  ),
        ABS(V_LM_i) * L_LM  / (ABS(V_LM_i) + ABS(V_LM_j) ) * 1000, "")</f>
        <v/>
      </c>
      <c r="S56" s="611" t="str">
        <f ca="1">IF( OR( AND(V_LM_i &gt; 0, V_LM_j &lt; 0),  AND(V_LM_i &lt; 0, V_LM_j &gt; 0)  ),
        ABS(V_LM_i) * L_LM  / (ABS(V_LM_i) + ABS(V_LM_j) ) * 1000, "")</f>
        <v/>
      </c>
      <c r="T56" s="611" t="str">
        <f ca="1">IF( OR( AND(V_LM_i &gt; 0, V_LM_j &lt; 0),  AND(V_LM_i &lt; 0, V_LM_j &gt; 0)  ),
        ABS(V_LM_i) * L_LM  / (ABS(V_LM_i) + ABS(V_LM_j) ) * 1000, "")</f>
        <v/>
      </c>
      <c r="V56" s="617" t="str">
        <f t="shared" ref="V56" ca="1" si="30">IF(R56&lt;&gt;"", "En la barra "&amp;B56&amp;" el momento es de "&amp;TEXT(ROUND(R57,2),"#.##0,00")&amp;" kNm, a "&amp;TEXT(ROUND(R56,0),"#.##0")&amp;" mm del nudo "&amp;MID(B56,1,1)&amp;".
","")</f>
        <v/>
      </c>
      <c r="W56" s="88" t="s">
        <v>183</v>
      </c>
      <c r="X56" s="93" t="s">
        <v>177</v>
      </c>
    </row>
    <row r="57" spans="2:43" ht="22.95" customHeight="1" outlineLevel="1" thickBot="1">
      <c r="B57" s="596"/>
      <c r="C57" s="582"/>
      <c r="D57" s="590"/>
      <c r="E57" s="590"/>
      <c r="F57" s="590"/>
      <c r="G57" s="584"/>
      <c r="H57" s="582"/>
      <c r="I57" s="590"/>
      <c r="J57" s="590"/>
      <c r="K57" s="590"/>
      <c r="L57" s="584"/>
      <c r="M57" s="582"/>
      <c r="N57" s="590"/>
      <c r="O57" s="590"/>
      <c r="P57" s="590"/>
      <c r="Q57" s="586"/>
      <c r="R57" s="612" t="str">
        <f ca="1" xml:space="preserve"> IF( X_LM&lt;&gt;"",  + M_LM_i  +  V_LM_i * X_LM/1000  +  q_LM * (X_LM/1000) ^2/2, "")</f>
        <v/>
      </c>
      <c r="S57" s="613" t="str">
        <f ca="1" xml:space="preserve"> IF( X_LM&lt;&gt;"",  + M_LM_i  +  V_LM_i * X_LM/1000  +  q_LM * (X_LM/1000) ^2/2, "")</f>
        <v/>
      </c>
      <c r="T57" s="613" t="str">
        <f ca="1" xml:space="preserve"> IF( X_LM&lt;&gt;"",  + M_LM_i  +  V_LM_i * X_LM/1000  +  q_LM * (X_LM/1000) ^2/2, "")</f>
        <v/>
      </c>
      <c r="V57" s="617"/>
      <c r="W57" s="88" t="s">
        <v>184</v>
      </c>
      <c r="X57" s="94" t="s">
        <v>179</v>
      </c>
    </row>
    <row r="58" spans="2:43" ht="22.95" customHeight="1" outlineLevel="1">
      <c r="B58" s="595" t="s">
        <v>138</v>
      </c>
      <c r="C58" s="581">
        <f ca="1" xml:space="preserve"> + N_MN_j</f>
        <v>0</v>
      </c>
      <c r="D58" s="589">
        <f ca="1">IFERROR(VLOOKUP('RESULTADOS - FTP'!M32,'ENLACES DIAGRAMAS'!$B:$J,9,0),0)</f>
        <v>0</v>
      </c>
      <c r="E58" s="589"/>
      <c r="F58" s="589"/>
      <c r="G58" s="583">
        <f ca="1" xml:space="preserve"> IF( L_MN = 0, 0,  + Fh_N  +  RFh_N)</f>
        <v>0</v>
      </c>
      <c r="H58" s="581">
        <f ca="1" xml:space="preserve"> + V_MN_j  - q_MN * L_MN</f>
        <v>0</v>
      </c>
      <c r="I58" s="589">
        <f ca="1">IFERROR(VLOOKUP('RESULTADOS - FTP'!N32,'ENLACES DIAGRAMAS'!$B:$J,9,0),0)</f>
        <v>0</v>
      </c>
      <c r="J58" s="589"/>
      <c r="K58" s="589"/>
      <c r="L58" s="583">
        <f ca="1" xml:space="preserve"> IF( L_MN = 0, 0, -  Fv_N  -  RFv_N)</f>
        <v>0</v>
      </c>
      <c r="M58" s="581">
        <f ca="1" xml:space="preserve"> + M_MN_j  + ( - V_MN_j  * L_MN  +  q_MN *  L_MN^2/2 )</f>
        <v>0</v>
      </c>
      <c r="N58" s="589">
        <f ca="1">IFERROR(VLOOKUP('RESULTADOS - FTP'!O32,'ENLACES DIAGRAMAS'!$B:$J,9,0),0)</f>
        <v>0</v>
      </c>
      <c r="O58" s="589"/>
      <c r="P58" s="589"/>
      <c r="Q58" s="585">
        <f ca="1" xml:space="preserve"> IF( L_MN = 0, 0, - Mz_N  -  RM_N)</f>
        <v>0</v>
      </c>
      <c r="R58" s="610" t="str">
        <f ca="1">IF( OR( AND(V_MN_i &gt; 0, V_MN_j &lt; 0),  AND(V_MN_i &lt; 0, V_MN_j &gt; 0)  ),
        ABS(V_MN_i) * L_MN  / (ABS(V_MN_i) + ABS(V_MN_j) ) * 1000, "")</f>
        <v/>
      </c>
      <c r="S58" s="611" t="str">
        <f ca="1">IF( OR( AND(V_MN_i &gt; 0, V_MN_j &lt; 0),  AND(V_MN_i &lt; 0, V_MN_j &gt; 0)  ),
        ABS(V_MN_i) * L_MN  / (ABS(V_MN_i) + ABS(V_MN_j) ) * 1000, "")</f>
        <v/>
      </c>
      <c r="T58" s="611" t="str">
        <f ca="1">IF( OR( AND(V_MN_i &gt; 0, V_MN_j &lt; 0),  AND(V_MN_i &lt; 0, V_MN_j &gt; 0)  ),
        ABS(V_MN_i) * L_MN  / (ABS(V_MN_i) + ABS(V_MN_j) ) * 1000, "")</f>
        <v/>
      </c>
      <c r="V58" s="617" t="str">
        <f t="shared" ref="V58" ca="1" si="31">IF(R58&lt;&gt;"", "En la barra "&amp;B58&amp;" el momento es de "&amp;TEXT(ROUND(R59,2),"#.##0,00")&amp;" kNm, a "&amp;TEXT(ROUND(R58,0),"#.##0")&amp;" mm del nudo "&amp;MID(B58,1,1)&amp;".
","")</f>
        <v/>
      </c>
      <c r="W58" s="88" t="s">
        <v>185</v>
      </c>
      <c r="X58" s="95" t="s">
        <v>147</v>
      </c>
    </row>
    <row r="59" spans="2:43" ht="22.95" customHeight="1" outlineLevel="1" thickBot="1">
      <c r="B59" s="596"/>
      <c r="C59" s="582"/>
      <c r="D59" s="590"/>
      <c r="E59" s="590"/>
      <c r="F59" s="590"/>
      <c r="G59" s="584"/>
      <c r="H59" s="582"/>
      <c r="I59" s="590"/>
      <c r="J59" s="590"/>
      <c r="K59" s="590"/>
      <c r="L59" s="584"/>
      <c r="M59" s="582"/>
      <c r="N59" s="590"/>
      <c r="O59" s="590"/>
      <c r="P59" s="590"/>
      <c r="Q59" s="586"/>
      <c r="R59" s="612" t="str">
        <f ca="1">IF( X_MN&lt;&gt;"",   + M_MN_i  +  V_MN_i * X_MN/1000  +  q_MN * (X_MN/1000) ^2/2, "")</f>
        <v/>
      </c>
      <c r="S59" s="613" t="str">
        <f ca="1">IF( X_MN&lt;&gt;"",   + M_MN_i  +  V_MN_i * X_MN/1000  +  q_MN * (X_MN/1000) ^2/2, "")</f>
        <v/>
      </c>
      <c r="T59" s="613" t="str">
        <f ca="1">IF( X_MN&lt;&gt;"",   + M_MN_i  +  V_MN_i * X_MN/1000  +  q_MN * (X_MN/1000) ^2/2, "")</f>
        <v/>
      </c>
      <c r="V59" s="617"/>
      <c r="W59" s="88" t="s">
        <v>186</v>
      </c>
      <c r="X59" s="96" t="s">
        <v>145</v>
      </c>
    </row>
    <row r="60" spans="2:43" ht="22.95" customHeight="1" outlineLevel="1">
      <c r="B60" s="595" t="s">
        <v>139</v>
      </c>
      <c r="C60" s="581">
        <f ca="1" xml:space="preserve"> + N_MO_j</f>
        <v>0</v>
      </c>
      <c r="D60" s="589">
        <f ca="1">IFERROR(VLOOKUP('RESULTADOS - FTP'!M34,'ENLACES DIAGRAMAS'!$B:$J,9,0),0)</f>
        <v>0</v>
      </c>
      <c r="E60" s="589"/>
      <c r="F60" s="589"/>
      <c r="G60" s="583">
        <f ca="1" xml:space="preserve"> IF( L_MO = 0, 0, - Fv_O  -  RFv_O)</f>
        <v>0</v>
      </c>
      <c r="H60" s="581">
        <f ca="1" xml:space="preserve"> + V_MO_j  - q_MO  * L_MO</f>
        <v>0</v>
      </c>
      <c r="I60" s="589">
        <f ca="1">IFERROR(VLOOKUP('RESULTADOS - FTP'!N34,'ENLACES DIAGRAMAS'!$B:$J,9,0),0)</f>
        <v>0</v>
      </c>
      <c r="J60" s="589"/>
      <c r="K60" s="589"/>
      <c r="L60" s="583">
        <f ca="1" xml:space="preserve"> IF( L_MO = 0, 0, - Fh_O  -  RFh_O)</f>
        <v>0</v>
      </c>
      <c r="M60" s="581">
        <f ca="1" xml:space="preserve"> - M_MO_j  + ( - V_MO_j * L_MO  +  q_MO*L_MO^2/2 )</f>
        <v>0</v>
      </c>
      <c r="N60" s="589">
        <f ca="1">IFERROR(VLOOKUP('RESULTADOS - FTP'!O34,'ENLACES DIAGRAMAS'!$B:$J,9,0),0)</f>
        <v>0</v>
      </c>
      <c r="O60" s="589"/>
      <c r="P60" s="589"/>
      <c r="Q60" s="585">
        <f ca="1" xml:space="preserve"> IF( L_MO = 0, 0, - Mz_O  +  RM_O)</f>
        <v>0</v>
      </c>
      <c r="R60" s="610" t="str">
        <f ca="1">IF( OR( AND(V_MO_i &gt; 0, V_MO_j &lt; 0),  AND(V_MO_i &lt; 0, V_MO_j &gt; 0)  ),
        ABS(V_MO_i) * L_MO  / (ABS(V_MO_i) + ABS(V_MO_j) ) * 1000, "")</f>
        <v/>
      </c>
      <c r="S60" s="611" t="str">
        <f ca="1">IF( OR( AND(V_MO_i &gt; 0, V_MO_j &lt; 0),  AND(V_MO_i &lt; 0, V_MO_j &gt; 0)  ),
        ABS(V_MO_i) * L_MO  / (ABS(V_MO_i) + ABS(V_MO_j) ) * 1000, "")</f>
        <v/>
      </c>
      <c r="T60" s="611" t="str">
        <f ca="1">IF( OR( AND(V_MO_i &gt; 0, V_MO_j &lt; 0),  AND(V_MO_i &lt; 0, V_MO_j &gt; 0)  ),
        ABS(V_MO_i) * L_MO  / (ABS(V_MO_i) + ABS(V_MO_j) ) * 1000, "")</f>
        <v/>
      </c>
      <c r="V60" s="617" t="str">
        <f t="shared" ref="V60" ca="1" si="32">IF(R60&lt;&gt;"", "En la barra "&amp;B60&amp;" el momento es de "&amp;TEXT(ROUND(R61,2),"#.##0,00")&amp;" kNm, a "&amp;TEXT(ROUND(R60,0),"#.##0")&amp;" mm del nudo "&amp;MID(B60,1,1)&amp;".
","")</f>
        <v/>
      </c>
      <c r="W60" s="88" t="s">
        <v>187</v>
      </c>
      <c r="X60" s="97" t="s">
        <v>147</v>
      </c>
    </row>
    <row r="61" spans="2:43" ht="22.95" customHeight="1" outlineLevel="1">
      <c r="B61" s="596"/>
      <c r="C61" s="582"/>
      <c r="D61" s="622"/>
      <c r="E61" s="622"/>
      <c r="F61" s="622"/>
      <c r="G61" s="584"/>
      <c r="H61" s="582"/>
      <c r="I61" s="622"/>
      <c r="J61" s="622"/>
      <c r="K61" s="622"/>
      <c r="L61" s="584"/>
      <c r="M61" s="582"/>
      <c r="N61" s="622"/>
      <c r="O61" s="622"/>
      <c r="P61" s="622"/>
      <c r="Q61" s="586"/>
      <c r="R61" s="612" t="str">
        <f ca="1" xml:space="preserve"> IF( X_MO&lt;&gt;"",  + M_MO_i  +  V_MO_i * X_MO/1000  +  q_MO * (X_MO/1000) ^2/2, "")</f>
        <v/>
      </c>
      <c r="S61" s="613" t="str">
        <f ca="1" xml:space="preserve"> IF( X_MO&lt;&gt;"",  + M_MO_i  +  V_MO_i * X_MO/1000  +  q_MO * (X_MO/1000) ^2/2, "")</f>
        <v/>
      </c>
      <c r="T61" s="613" t="str">
        <f ca="1" xml:space="preserve"> IF( X_MO&lt;&gt;"",  + M_MO_i  +  V_MO_i * X_MO/1000  +  q_MO * (X_MO/1000) ^2/2, "")</f>
        <v/>
      </c>
      <c r="V61" s="617"/>
      <c r="W61" s="88" t="s">
        <v>188</v>
      </c>
      <c r="X61" s="98" t="s">
        <v>145</v>
      </c>
      <c r="AF61" s="22"/>
      <c r="AG61" s="22"/>
      <c r="AI61" s="22"/>
    </row>
    <row r="62" spans="2:43" ht="300" customHeight="1" thickBot="1">
      <c r="B62" s="621"/>
      <c r="C62" s="621"/>
      <c r="D62" s="621"/>
      <c r="E62" s="621"/>
      <c r="F62" s="621"/>
      <c r="G62" s="621"/>
      <c r="H62" s="621"/>
      <c r="I62" s="621"/>
      <c r="J62" s="621"/>
      <c r="K62" s="621"/>
      <c r="L62" s="621"/>
      <c r="M62" s="621"/>
      <c r="N62" s="621"/>
      <c r="O62" s="621"/>
      <c r="P62" s="621"/>
      <c r="Q62" s="621"/>
      <c r="R62" s="621"/>
      <c r="S62" s="621"/>
      <c r="T62" s="621"/>
    </row>
    <row r="63" spans="2:43" ht="30" customHeight="1" thickBot="1">
      <c r="B63" s="563" t="s">
        <v>681</v>
      </c>
      <c r="C63" s="564"/>
      <c r="D63" s="564"/>
      <c r="E63" s="564"/>
      <c r="F63" s="564"/>
      <c r="G63" s="564"/>
      <c r="H63" s="564"/>
      <c r="I63" s="564"/>
      <c r="J63" s="564"/>
      <c r="K63" s="564"/>
      <c r="L63" s="564"/>
      <c r="M63" s="564"/>
      <c r="N63" s="564"/>
      <c r="O63" s="564"/>
      <c r="P63" s="564"/>
      <c r="Q63" s="564"/>
      <c r="R63" s="564"/>
      <c r="S63" s="564"/>
      <c r="T63" s="565"/>
      <c r="U63" s="22"/>
    </row>
    <row r="64" spans="2:43" ht="37.700000000000003" customHeight="1">
      <c r="B64" s="7"/>
      <c r="C64" s="314">
        <f ca="1">IF(OR(alfa_C=0,alfa_C=90),$C40,"")</f>
        <v>0</v>
      </c>
      <c r="D64" s="305"/>
      <c r="E64" s="315">
        <f ca="1">IF(OR(alfa_C=0,alfa_C=90),$G40,"")</f>
        <v>0</v>
      </c>
      <c r="F64" s="314">
        <f ca="1">$C42</f>
        <v>0</v>
      </c>
      <c r="G64" s="305"/>
      <c r="H64" s="315">
        <f ca="1">$G42</f>
        <v>0</v>
      </c>
      <c r="I64" s="314">
        <f ca="1">$C44</f>
        <v>0</v>
      </c>
      <c r="J64" s="305"/>
      <c r="K64" s="315">
        <f ca="1">$G44</f>
        <v>0</v>
      </c>
      <c r="L64" s="314">
        <f ca="1">$C46</f>
        <v>0</v>
      </c>
      <c r="M64" s="305"/>
      <c r="N64" s="315">
        <f ca="1">$G46</f>
        <v>0</v>
      </c>
      <c r="O64" s="314">
        <f ca="1">$C48</f>
        <v>0</v>
      </c>
      <c r="P64" s="305"/>
      <c r="Q64" s="315">
        <f ca="1">$G48</f>
        <v>0</v>
      </c>
      <c r="R64" s="12"/>
      <c r="S64" s="12"/>
      <c r="T64" s="8"/>
    </row>
    <row r="65" spans="2:21" ht="49.95" customHeight="1">
      <c r="B65" s="306"/>
      <c r="C65" s="567">
        <f ca="1">IF(OR(alfa_C=0,alfa_C=90),D40,"BARRA INCLINADA")</f>
        <v>0</v>
      </c>
      <c r="D65" s="567"/>
      <c r="E65" s="567"/>
      <c r="F65" s="566">
        <f ca="1">D42</f>
        <v>0</v>
      </c>
      <c r="G65" s="566"/>
      <c r="H65" s="566"/>
      <c r="I65" s="566">
        <f ca="1">D44</f>
        <v>0</v>
      </c>
      <c r="J65" s="566"/>
      <c r="K65" s="566"/>
      <c r="L65" s="566">
        <f ca="1">D46</f>
        <v>0</v>
      </c>
      <c r="M65" s="566"/>
      <c r="N65" s="566"/>
      <c r="O65" s="566">
        <f ca="1">D48</f>
        <v>0</v>
      </c>
      <c r="P65" s="566"/>
      <c r="Q65" s="566"/>
      <c r="T65" s="10"/>
    </row>
    <row r="66" spans="2:21" ht="40.1" customHeight="1">
      <c r="B66" s="571">
        <f ca="1">IF(OR(alfa_C=0,alfa_C=90),IFERROR(VLOOKUP('RESULTADOS - FTP'!M12,'ENLACES DIAGRAMAS'!$B:$K,10,0),0),"")</f>
        <v>0</v>
      </c>
      <c r="C66" s="552"/>
      <c r="D66" s="316">
        <f ca="1">IF(OR(alfa_C=0,alfa_C=90),G38,$C38)</f>
        <v>0</v>
      </c>
      <c r="E66" s="317" t="str">
        <f ca="1">IF(OR(alfa_C=0,alfa_C=90),"",$G38)</f>
        <v/>
      </c>
      <c r="F66" s="316" t="str">
        <f ca="1">IF(OR(alfa_C=0,alfa_C=90),"",$C40)</f>
        <v/>
      </c>
      <c r="G66" s="317" t="str">
        <f ca="1">IF(OR(alfa_C=0,alfa_C=90),"",$G40)</f>
        <v/>
      </c>
      <c r="H66" s="308"/>
      <c r="I66" s="308"/>
      <c r="J66" s="572">
        <f ca="1">IFERROR(VLOOKUP('RESULTADOS - FTP'!M24,'ENLACES DIAGRAMAS'!$B:$L,11,0),0)</f>
        <v>0</v>
      </c>
      <c r="K66" s="572"/>
      <c r="L66" s="556">
        <f ca="1">$C50</f>
        <v>0</v>
      </c>
      <c r="M66" s="556"/>
      <c r="N66" s="556"/>
      <c r="O66" s="308"/>
      <c r="P66" s="308"/>
      <c r="Q66" s="308"/>
      <c r="T66" s="10"/>
    </row>
    <row r="67" spans="2:21" ht="40.1" customHeight="1">
      <c r="B67" s="571"/>
      <c r="C67" s="552"/>
      <c r="D67" s="557">
        <f ca="1">IF(OR(alfa_C=0,alfa_C=90),C38,D38)</f>
        <v>0</v>
      </c>
      <c r="E67" s="557"/>
      <c r="F67" s="562" t="str">
        <f ca="1">IF(OR(alfa_C=0,alfa_C=90),"",D40)</f>
        <v/>
      </c>
      <c r="G67" s="562"/>
      <c r="H67" s="309"/>
      <c r="I67" s="36"/>
      <c r="J67" s="572"/>
      <c r="K67" s="572"/>
      <c r="L67" s="557">
        <f ca="1">$G50</f>
        <v>0</v>
      </c>
      <c r="M67" s="557"/>
      <c r="N67" s="557"/>
      <c r="T67" s="10"/>
    </row>
    <row r="68" spans="2:21" ht="30" customHeight="1">
      <c r="B68" s="571">
        <f ca="1">IFERROR(VLOOKUP('RESULTADOS - FTP'!M10,'ENLACES DIAGRAMAS'!$B:$K,10,0),0)</f>
        <v>0</v>
      </c>
      <c r="C68" s="552"/>
      <c r="D68" s="556">
        <f ca="1">$G36</f>
        <v>0</v>
      </c>
      <c r="E68" s="556"/>
      <c r="F68" s="2"/>
      <c r="G68" s="2"/>
      <c r="H68" s="309"/>
      <c r="I68" s="36"/>
      <c r="J68" s="572">
        <f ca="1">IFERROR(VLOOKUP('RESULTADOS - FTP'!M26,'ENLACES DIAGRAMAS'!$B:$L,11,0),0)</f>
        <v>0</v>
      </c>
      <c r="K68" s="572"/>
      <c r="L68" s="556">
        <f ca="1">$C52</f>
        <v>0</v>
      </c>
      <c r="M68" s="556"/>
      <c r="N68" s="556"/>
      <c r="T68" s="10"/>
    </row>
    <row r="69" spans="2:21" ht="19.95" customHeight="1">
      <c r="B69" s="571"/>
      <c r="C69" s="552"/>
      <c r="E69" s="310"/>
      <c r="F69" s="6"/>
      <c r="G69" s="310"/>
      <c r="H69" s="36"/>
      <c r="I69" s="36"/>
      <c r="J69" s="572"/>
      <c r="K69" s="572"/>
      <c r="L69" s="316">
        <f ca="1">$C54</f>
        <v>0</v>
      </c>
      <c r="M69" s="311"/>
      <c r="N69" s="317">
        <f ca="1">$G54</f>
        <v>0</v>
      </c>
      <c r="O69" s="316">
        <f ca="1">$C56</f>
        <v>0</v>
      </c>
      <c r="P69" s="311"/>
      <c r="Q69" s="317">
        <f ca="1">$G56</f>
        <v>0</v>
      </c>
      <c r="R69" s="316">
        <f ca="1">$C58</f>
        <v>0</v>
      </c>
      <c r="S69" s="311"/>
      <c r="T69" s="319">
        <f ca="1">$G58</f>
        <v>0</v>
      </c>
    </row>
    <row r="70" spans="2:21" ht="30" customHeight="1">
      <c r="B70" s="571"/>
      <c r="C70" s="552"/>
      <c r="D70" s="557">
        <f ca="1">$C36</f>
        <v>0</v>
      </c>
      <c r="E70" s="557"/>
      <c r="J70" s="572"/>
      <c r="K70" s="572"/>
      <c r="L70" s="552">
        <f ca="1">D54</f>
        <v>0</v>
      </c>
      <c r="M70" s="552"/>
      <c r="N70" s="552"/>
      <c r="O70" s="552">
        <f ca="1">D56</f>
        <v>0</v>
      </c>
      <c r="P70" s="552"/>
      <c r="Q70" s="552"/>
      <c r="R70" s="552">
        <f ca="1">D58</f>
        <v>0</v>
      </c>
      <c r="S70" s="552"/>
      <c r="T70" s="553"/>
    </row>
    <row r="71" spans="2:21" ht="19.95" customHeight="1">
      <c r="B71" s="571">
        <f ca="1">IFERROR(VLOOKUP('RESULTADOS - FTP'!M8,'ENLACES DIAGRAMAS'!$B:$K,10,0),0)</f>
        <v>0</v>
      </c>
      <c r="C71" s="552"/>
      <c r="D71" s="556">
        <f ca="1">$G34</f>
        <v>0</v>
      </c>
      <c r="E71" s="556"/>
      <c r="F71" s="312"/>
      <c r="J71" s="556">
        <f ca="1">$G52</f>
        <v>0</v>
      </c>
      <c r="K71" s="556"/>
      <c r="L71" s="552"/>
      <c r="M71" s="552"/>
      <c r="N71" s="552"/>
      <c r="O71" s="552"/>
      <c r="P71" s="552"/>
      <c r="Q71" s="552"/>
      <c r="R71" s="552"/>
      <c r="S71" s="552"/>
      <c r="T71" s="553"/>
    </row>
    <row r="72" spans="2:21" ht="55.1" customHeight="1">
      <c r="B72" s="571"/>
      <c r="C72" s="552"/>
      <c r="D72" s="557">
        <f ca="1">$C34</f>
        <v>0</v>
      </c>
      <c r="E72" s="557"/>
      <c r="F72" s="313"/>
      <c r="N72" s="558">
        <f ca="1">$C60</f>
        <v>0</v>
      </c>
      <c r="O72" s="558"/>
      <c r="P72" s="558"/>
      <c r="Q72" s="552">
        <f ca="1">IFERROR(VLOOKUP('RESULTADOS - FTP'!M34,'ENLACES DIAGRAMAS'!$B:$L,11,0),0)</f>
        <v>0</v>
      </c>
      <c r="R72" s="552"/>
      <c r="T72" s="10"/>
    </row>
    <row r="73" spans="2:21" ht="25.1" customHeight="1">
      <c r="B73" s="13"/>
      <c r="N73" s="559">
        <f ca="1">$G60</f>
        <v>0</v>
      </c>
      <c r="O73" s="559"/>
      <c r="P73" s="559"/>
      <c r="Q73" s="552"/>
      <c r="R73" s="552"/>
      <c r="T73" s="10"/>
    </row>
    <row r="74" spans="2:21" ht="25.1" customHeight="1" thickBot="1">
      <c r="B74" s="9"/>
      <c r="C74" s="14"/>
      <c r="D74" s="14"/>
      <c r="E74" s="14"/>
      <c r="F74" s="14"/>
      <c r="G74" s="14"/>
      <c r="H74" s="14"/>
      <c r="I74" s="14"/>
      <c r="J74" s="14"/>
      <c r="K74" s="14"/>
      <c r="L74" s="14"/>
      <c r="M74" s="14"/>
      <c r="N74" s="307"/>
      <c r="O74" s="307"/>
      <c r="P74" s="307"/>
      <c r="Q74" s="304"/>
      <c r="R74" s="304"/>
      <c r="S74" s="14"/>
      <c r="T74" s="15"/>
    </row>
    <row r="75" spans="2:21" ht="300" customHeight="1" thickBot="1">
      <c r="B75" s="620"/>
      <c r="C75" s="620"/>
      <c r="D75" s="620"/>
      <c r="E75" s="620"/>
      <c r="F75" s="620"/>
      <c r="G75" s="620"/>
      <c r="H75" s="620"/>
      <c r="I75" s="620"/>
      <c r="J75" s="620"/>
      <c r="K75" s="620"/>
      <c r="L75" s="620"/>
      <c r="M75" s="620"/>
      <c r="N75" s="620"/>
      <c r="O75" s="620"/>
      <c r="P75" s="620"/>
      <c r="Q75" s="620"/>
      <c r="R75" s="620"/>
      <c r="S75" s="620"/>
      <c r="T75" s="620"/>
    </row>
    <row r="76" spans="2:21" ht="30" customHeight="1" thickBot="1">
      <c r="B76" s="568" t="s">
        <v>682</v>
      </c>
      <c r="C76" s="569"/>
      <c r="D76" s="569"/>
      <c r="E76" s="569"/>
      <c r="F76" s="569"/>
      <c r="G76" s="569"/>
      <c r="H76" s="569"/>
      <c r="I76" s="569"/>
      <c r="J76" s="569"/>
      <c r="K76" s="569"/>
      <c r="L76" s="569"/>
      <c r="M76" s="569"/>
      <c r="N76" s="569"/>
      <c r="O76" s="569"/>
      <c r="P76" s="569"/>
      <c r="Q76" s="569"/>
      <c r="R76" s="569"/>
      <c r="S76" s="569"/>
      <c r="T76" s="570"/>
      <c r="U76" s="22"/>
    </row>
    <row r="77" spans="2:21" ht="49.95" customHeight="1">
      <c r="B77" s="7"/>
      <c r="C77" s="314">
        <f ca="1">IF(OR(alfa_C=0,alfa_C=90),$H40,"")</f>
        <v>0</v>
      </c>
      <c r="D77" s="305"/>
      <c r="E77" s="315">
        <f ca="1">IF(OR(alfa_C=0,alfa_C=90),$L40,"")</f>
        <v>0</v>
      </c>
      <c r="F77" s="314">
        <f ca="1">$H42</f>
        <v>0</v>
      </c>
      <c r="G77" s="305"/>
      <c r="H77" s="315">
        <f ca="1">$L42</f>
        <v>0</v>
      </c>
      <c r="I77" s="314">
        <f ca="1">$H44</f>
        <v>0</v>
      </c>
      <c r="J77" s="305"/>
      <c r="K77" s="315">
        <f ca="1">$L44</f>
        <v>0</v>
      </c>
      <c r="L77" s="314">
        <f ca="1">$H46</f>
        <v>0</v>
      </c>
      <c r="M77" s="305"/>
      <c r="N77" s="315">
        <f ca="1">$L46</f>
        <v>0</v>
      </c>
      <c r="O77" s="314">
        <f ca="1">$H48</f>
        <v>0</v>
      </c>
      <c r="P77" s="305"/>
      <c r="Q77" s="315">
        <f ca="1">$L48</f>
        <v>0</v>
      </c>
      <c r="R77" s="12"/>
      <c r="S77" s="12"/>
      <c r="T77" s="8"/>
    </row>
    <row r="78" spans="2:21" ht="49.95" customHeight="1">
      <c r="B78" s="306"/>
      <c r="C78" s="567">
        <f ca="1">IF(OR(alfa_C=0,alfa_C=90),I40,"BARRA INCLINADA")</f>
        <v>0</v>
      </c>
      <c r="D78" s="567"/>
      <c r="E78" s="567"/>
      <c r="F78" s="566">
        <f ca="1">I42</f>
        <v>0</v>
      </c>
      <c r="G78" s="566"/>
      <c r="H78" s="566"/>
      <c r="I78" s="566">
        <f ca="1">I44</f>
        <v>0</v>
      </c>
      <c r="J78" s="566"/>
      <c r="K78" s="566"/>
      <c r="L78" s="566">
        <f ca="1">I46</f>
        <v>0</v>
      </c>
      <c r="M78" s="566"/>
      <c r="N78" s="566"/>
      <c r="O78" s="566">
        <f ca="1">I48</f>
        <v>0</v>
      </c>
      <c r="P78" s="566"/>
      <c r="Q78" s="566"/>
      <c r="T78" s="10"/>
    </row>
    <row r="79" spans="2:21" ht="40.1" customHeight="1">
      <c r="B79" s="554">
        <f ca="1">IF(OR(alfa_C=0,alfa_C=90),IFERROR(VLOOKUP('RESULTADOS - FTP'!N12,'ENLACES DIAGRAMAS'!$B:$K,10,0),0),"")</f>
        <v>0</v>
      </c>
      <c r="C79" s="555"/>
      <c r="D79" s="316">
        <f ca="1">IF(OR(alfa_C=0,alfa_C=90),L38,$H38)</f>
        <v>0</v>
      </c>
      <c r="E79" s="317" t="str">
        <f ca="1">IF(OR(alfa_C=0,alfa_C=90),"",$L38)</f>
        <v/>
      </c>
      <c r="F79" s="316" t="str">
        <f ca="1">IF(OR(alfa_C=0,alfa_C=90),"",$H40)</f>
        <v/>
      </c>
      <c r="G79" s="317" t="str">
        <f ca="1">IF(OR(alfa_C=0,alfa_C=90),"",$L40)</f>
        <v/>
      </c>
      <c r="H79" s="308"/>
      <c r="I79" s="308"/>
      <c r="J79" s="572">
        <f ca="1">IFERROR(VLOOKUP('RESULTADOS - FTP'!N24,'ENLACES DIAGRAMAS'!$B:$L,11,0),0)</f>
        <v>0</v>
      </c>
      <c r="K79" s="572"/>
      <c r="L79" s="556">
        <f ca="1">$H50</f>
        <v>0</v>
      </c>
      <c r="M79" s="556"/>
      <c r="N79" s="556"/>
      <c r="O79" s="308"/>
      <c r="P79" s="308"/>
      <c r="Q79" s="308"/>
      <c r="T79" s="10"/>
    </row>
    <row r="80" spans="2:21" ht="40.1" customHeight="1">
      <c r="B80" s="554"/>
      <c r="C80" s="555"/>
      <c r="D80" s="557">
        <f ca="1">IF(OR(alfa_C=0,alfa_C=90),H38,I38)</f>
        <v>0</v>
      </c>
      <c r="E80" s="557"/>
      <c r="F80" s="562" t="str">
        <f ca="1">IF(OR(alfa_C=0,alfa_C=90),"",I40)</f>
        <v/>
      </c>
      <c r="G80" s="562"/>
      <c r="H80" s="309"/>
      <c r="I80" s="36"/>
      <c r="J80" s="572"/>
      <c r="K80" s="572"/>
      <c r="L80" s="557">
        <f ca="1">$L50</f>
        <v>0</v>
      </c>
      <c r="M80" s="557"/>
      <c r="N80" s="557"/>
      <c r="T80" s="10"/>
    </row>
    <row r="81" spans="2:21" ht="30" customHeight="1">
      <c r="B81" s="554">
        <f ca="1">IFERROR(VLOOKUP('RESULTADOS - FTP'!N10,'ENLACES DIAGRAMAS'!$B:$K,10,0),0)</f>
        <v>0</v>
      </c>
      <c r="C81" s="555"/>
      <c r="D81" s="556">
        <f ca="1">$L36</f>
        <v>0</v>
      </c>
      <c r="E81" s="556"/>
      <c r="F81" s="2"/>
      <c r="G81" s="2"/>
      <c r="H81" s="309"/>
      <c r="I81" s="36"/>
      <c r="J81" s="572">
        <f ca="1">IFERROR(VLOOKUP('RESULTADOS - FTP'!N26,'ENLACES DIAGRAMAS'!$B:$L,11,0),0)</f>
        <v>0</v>
      </c>
      <c r="K81" s="572"/>
      <c r="L81" s="556">
        <f ca="1">$H52</f>
        <v>0</v>
      </c>
      <c r="M81" s="556"/>
      <c r="N81" s="556"/>
      <c r="T81" s="10"/>
    </row>
    <row r="82" spans="2:21" ht="19.95" customHeight="1">
      <c r="B82" s="554"/>
      <c r="C82" s="555"/>
      <c r="E82" s="310"/>
      <c r="F82" s="6"/>
      <c r="G82" s="310"/>
      <c r="H82" s="36"/>
      <c r="I82" s="36"/>
      <c r="J82" s="572"/>
      <c r="K82" s="572"/>
      <c r="L82" s="316">
        <f ca="1">$H54</f>
        <v>0</v>
      </c>
      <c r="M82" s="311"/>
      <c r="N82" s="317">
        <f ca="1">$L54</f>
        <v>0</v>
      </c>
      <c r="O82" s="316">
        <f ca="1">$H56</f>
        <v>0</v>
      </c>
      <c r="P82" s="311"/>
      <c r="Q82" s="317">
        <f ca="1">$L56</f>
        <v>0</v>
      </c>
      <c r="R82" s="316">
        <f ca="1">$H58</f>
        <v>0</v>
      </c>
      <c r="S82" s="311"/>
      <c r="T82" s="318">
        <f ca="1">$L58</f>
        <v>0</v>
      </c>
    </row>
    <row r="83" spans="2:21" ht="30" customHeight="1">
      <c r="B83" s="554"/>
      <c r="C83" s="555"/>
      <c r="D83" s="557">
        <f ca="1">$H36</f>
        <v>0</v>
      </c>
      <c r="E83" s="557"/>
      <c r="J83" s="572"/>
      <c r="K83" s="572"/>
      <c r="L83" s="552">
        <f ca="1">I54</f>
        <v>0</v>
      </c>
      <c r="M83" s="552"/>
      <c r="N83" s="552"/>
      <c r="O83" s="552">
        <f ca="1">I56</f>
        <v>0</v>
      </c>
      <c r="P83" s="552"/>
      <c r="Q83" s="552"/>
      <c r="R83" s="552">
        <f ca="1">I58</f>
        <v>0</v>
      </c>
      <c r="S83" s="552"/>
      <c r="T83" s="553"/>
    </row>
    <row r="84" spans="2:21" ht="25.1" customHeight="1">
      <c r="B84" s="554">
        <f ca="1">IFERROR(VLOOKUP('RESULTADOS - FTP'!N8,'ENLACES DIAGRAMAS'!$B:$K,10,0),0)</f>
        <v>0</v>
      </c>
      <c r="C84" s="555"/>
      <c r="D84" s="556">
        <f ca="1">$L34</f>
        <v>0</v>
      </c>
      <c r="E84" s="556"/>
      <c r="F84" s="312"/>
      <c r="J84" s="556">
        <f ca="1">$L52</f>
        <v>0</v>
      </c>
      <c r="K84" s="556"/>
      <c r="L84" s="552"/>
      <c r="M84" s="552"/>
      <c r="N84" s="552"/>
      <c r="O84" s="552"/>
      <c r="P84" s="552"/>
      <c r="Q84" s="552"/>
      <c r="R84" s="552"/>
      <c r="S84" s="552"/>
      <c r="T84" s="553"/>
    </row>
    <row r="85" spans="2:21" ht="55.1" customHeight="1">
      <c r="B85" s="554"/>
      <c r="C85" s="555"/>
      <c r="D85" s="557">
        <f ca="1">$H34</f>
        <v>0</v>
      </c>
      <c r="E85" s="557"/>
      <c r="F85" s="313"/>
      <c r="N85" s="558">
        <f ca="1">$H60</f>
        <v>0</v>
      </c>
      <c r="O85" s="558"/>
      <c r="P85" s="558"/>
      <c r="Q85" s="552">
        <f ca="1">IFERROR(VLOOKUP('RESULTADOS - FTP'!N34,'ENLACES DIAGRAMAS'!$B:$L,11,0),0)</f>
        <v>0</v>
      </c>
      <c r="R85" s="552"/>
      <c r="T85" s="10"/>
    </row>
    <row r="86" spans="2:21" ht="25.1" customHeight="1">
      <c r="B86" s="13"/>
      <c r="N86" s="559">
        <f ca="1">$L60</f>
        <v>0</v>
      </c>
      <c r="O86" s="559"/>
      <c r="P86" s="559"/>
      <c r="Q86" s="552"/>
      <c r="R86" s="552"/>
      <c r="T86" s="10"/>
    </row>
    <row r="87" spans="2:21" ht="25.1" customHeight="1" thickBot="1">
      <c r="B87" s="9"/>
      <c r="C87" s="14"/>
      <c r="D87" s="14"/>
      <c r="E87" s="14"/>
      <c r="F87" s="14"/>
      <c r="G87" s="14"/>
      <c r="H87" s="14"/>
      <c r="I87" s="14"/>
      <c r="J87" s="14"/>
      <c r="K87" s="14"/>
      <c r="L87" s="14"/>
      <c r="M87" s="14"/>
      <c r="N87" s="14"/>
      <c r="O87" s="14"/>
      <c r="P87" s="14"/>
      <c r="Q87" s="14"/>
      <c r="R87" s="14"/>
      <c r="S87" s="14"/>
      <c r="T87" s="15"/>
    </row>
    <row r="88" spans="2:21" ht="300" customHeight="1" thickBot="1">
      <c r="B88" s="620"/>
      <c r="C88" s="620"/>
      <c r="D88" s="620"/>
      <c r="E88" s="620"/>
      <c r="F88" s="620"/>
      <c r="G88" s="620"/>
      <c r="H88" s="620"/>
      <c r="I88" s="620"/>
      <c r="J88" s="620"/>
      <c r="K88" s="620"/>
      <c r="L88" s="620"/>
      <c r="M88" s="620"/>
      <c r="N88" s="620"/>
      <c r="O88" s="620"/>
      <c r="P88" s="620"/>
      <c r="Q88" s="620"/>
      <c r="R88" s="620"/>
      <c r="S88" s="620"/>
      <c r="T88" s="620"/>
    </row>
    <row r="89" spans="2:21" ht="30" customHeight="1" thickBot="1">
      <c r="B89" s="568" t="s">
        <v>683</v>
      </c>
      <c r="C89" s="569"/>
      <c r="D89" s="569"/>
      <c r="E89" s="569"/>
      <c r="F89" s="569"/>
      <c r="G89" s="569"/>
      <c r="H89" s="569"/>
      <c r="I89" s="569"/>
      <c r="J89" s="569"/>
      <c r="K89" s="569"/>
      <c r="L89" s="569"/>
      <c r="M89" s="569"/>
      <c r="N89" s="569"/>
      <c r="O89" s="569"/>
      <c r="P89" s="569"/>
      <c r="Q89" s="569"/>
      <c r="R89" s="569"/>
      <c r="S89" s="569"/>
      <c r="T89" s="570"/>
      <c r="U89" s="22"/>
    </row>
    <row r="90" spans="2:21" ht="49.95" customHeight="1">
      <c r="B90" s="7"/>
      <c r="C90" s="314">
        <f ca="1">IF(OR(alfa_C=0,alfa_C=90),$M40,"")</f>
        <v>0</v>
      </c>
      <c r="D90" s="305"/>
      <c r="E90" s="315">
        <f ca="1">IF(OR(alfa_C=0,alfa_C=90),$Q40,"")</f>
        <v>0</v>
      </c>
      <c r="F90" s="314">
        <f ca="1">$M42</f>
        <v>0</v>
      </c>
      <c r="G90" s="305"/>
      <c r="H90" s="315">
        <f ca="1">$Q42</f>
        <v>0</v>
      </c>
      <c r="I90" s="314">
        <f ca="1">$M44</f>
        <v>0</v>
      </c>
      <c r="J90" s="305"/>
      <c r="K90" s="315">
        <f ca="1">$Q44</f>
        <v>0</v>
      </c>
      <c r="L90" s="314">
        <f ca="1">$M46</f>
        <v>0</v>
      </c>
      <c r="M90" s="305"/>
      <c r="N90" s="315">
        <f ca="1">$Q46</f>
        <v>0</v>
      </c>
      <c r="O90" s="314">
        <f ca="1">$M48</f>
        <v>0</v>
      </c>
      <c r="P90" s="305"/>
      <c r="Q90" s="315">
        <f ca="1">$Q48</f>
        <v>0</v>
      </c>
      <c r="R90" s="12"/>
      <c r="S90" s="12"/>
      <c r="T90" s="8"/>
    </row>
    <row r="91" spans="2:21" ht="49.95" customHeight="1">
      <c r="B91" s="306"/>
      <c r="C91" s="567">
        <f ca="1">IF(OR(alfa_C=0,alfa_C=90),N40,"BARRA INCLINADA")</f>
        <v>0</v>
      </c>
      <c r="D91" s="567"/>
      <c r="E91" s="567"/>
      <c r="F91" s="566">
        <f ca="1">N42</f>
        <v>0</v>
      </c>
      <c r="G91" s="566"/>
      <c r="H91" s="566"/>
      <c r="I91" s="566">
        <f ca="1">N44</f>
        <v>0</v>
      </c>
      <c r="J91" s="566"/>
      <c r="K91" s="566"/>
      <c r="L91" s="566">
        <f ca="1">N46</f>
        <v>0</v>
      </c>
      <c r="M91" s="566"/>
      <c r="N91" s="566"/>
      <c r="O91" s="566">
        <f ca="1">N48</f>
        <v>0</v>
      </c>
      <c r="P91" s="566"/>
      <c r="Q91" s="566"/>
      <c r="T91" s="10"/>
    </row>
    <row r="92" spans="2:21" ht="40.1" customHeight="1">
      <c r="B92" s="554">
        <f ca="1">IF(OR(alfa_C=0,alfa_C=90),IFERROR(VLOOKUP('RESULTADOS - FTP'!O12,'ENLACES DIAGRAMAS'!$B:$L,10,0),0),"")</f>
        <v>0</v>
      </c>
      <c r="C92" s="555"/>
      <c r="D92" s="320">
        <f ca="1">IF(OR(alfa_C=0,alfa_C=90),Q38,$M38)</f>
        <v>0</v>
      </c>
      <c r="E92" s="320" t="str">
        <f ca="1">IF(OR(alfa_C=0,alfa_C=90),"",$Q38)</f>
        <v/>
      </c>
      <c r="F92" s="320" t="str">
        <f ca="1">IF(OR(alfa_C=0,alfa_C=90),"",$M40)</f>
        <v/>
      </c>
      <c r="G92" s="320" t="str">
        <f ca="1">IF(OR(alfa_C=0,alfa_C=90),"",$Q40)</f>
        <v/>
      </c>
      <c r="H92" s="308"/>
      <c r="I92" s="308"/>
      <c r="J92" s="572">
        <f ca="1">IFERROR(VLOOKUP('RESULTADOS - FTP'!O24,'ENLACES DIAGRAMAS'!$B:$L,11,0),0)</f>
        <v>0</v>
      </c>
      <c r="K92" s="572"/>
      <c r="L92" s="556">
        <f ca="1">$M50</f>
        <v>0</v>
      </c>
      <c r="M92" s="556"/>
      <c r="N92" s="556"/>
      <c r="O92" s="308"/>
      <c r="P92" s="308"/>
      <c r="Q92" s="308"/>
      <c r="T92" s="10"/>
    </row>
    <row r="93" spans="2:21" ht="40.1" customHeight="1">
      <c r="B93" s="554"/>
      <c r="C93" s="555"/>
      <c r="D93" s="557">
        <f ca="1">IF(OR(alfa_C=0,alfa_C=90),M38,N38)</f>
        <v>0</v>
      </c>
      <c r="E93" s="557"/>
      <c r="F93" s="562" t="str">
        <f ca="1">IF(OR(alfa_C=0,alfa_C=90),"",N40)</f>
        <v/>
      </c>
      <c r="G93" s="562"/>
      <c r="H93" s="309"/>
      <c r="I93" s="36"/>
      <c r="J93" s="572"/>
      <c r="K93" s="572"/>
      <c r="L93" s="557">
        <f ca="1">$Q50</f>
        <v>0</v>
      </c>
      <c r="M93" s="557"/>
      <c r="N93" s="557"/>
      <c r="T93" s="10"/>
    </row>
    <row r="94" spans="2:21" ht="30" customHeight="1">
      <c r="B94" s="554">
        <f ca="1">IFERROR(VLOOKUP('RESULTADOS - FTP'!O10,'ENLACES DIAGRAMAS'!$B:$L,10,0),0)</f>
        <v>0</v>
      </c>
      <c r="C94" s="555"/>
      <c r="D94" s="556">
        <f ca="1">$Q36</f>
        <v>0</v>
      </c>
      <c r="E94" s="556"/>
      <c r="F94" s="2"/>
      <c r="G94" s="2"/>
      <c r="H94" s="309"/>
      <c r="I94" s="36"/>
      <c r="J94" s="572">
        <f ca="1">IFERROR(VLOOKUP('RESULTADOS - FTP'!O26,'ENLACES DIAGRAMAS'!$B:$L,11,0),0)</f>
        <v>0</v>
      </c>
      <c r="K94" s="572"/>
      <c r="L94" s="556">
        <f ca="1">$M52</f>
        <v>0</v>
      </c>
      <c r="M94" s="556"/>
      <c r="N94" s="556"/>
      <c r="T94" s="10"/>
    </row>
    <row r="95" spans="2:21" ht="19.95" customHeight="1">
      <c r="B95" s="554"/>
      <c r="C95" s="555"/>
      <c r="E95" s="310"/>
      <c r="F95" s="6"/>
      <c r="G95" s="310"/>
      <c r="H95" s="36"/>
      <c r="I95" s="36"/>
      <c r="J95" s="572"/>
      <c r="K95" s="572"/>
      <c r="L95" s="316">
        <f ca="1">$M54</f>
        <v>0</v>
      </c>
      <c r="M95" s="311"/>
      <c r="N95" s="317">
        <f ca="1">$Q54</f>
        <v>0</v>
      </c>
      <c r="O95" s="316">
        <f ca="1">$M56</f>
        <v>0</v>
      </c>
      <c r="P95" s="311"/>
      <c r="Q95" s="317">
        <f ca="1">$Q56</f>
        <v>0</v>
      </c>
      <c r="R95" s="316">
        <f ca="1">$M58</f>
        <v>0</v>
      </c>
      <c r="S95" s="311"/>
      <c r="T95" s="318">
        <f ca="1">$Q58</f>
        <v>0</v>
      </c>
    </row>
    <row r="96" spans="2:21" ht="30" customHeight="1">
      <c r="B96" s="554"/>
      <c r="C96" s="555"/>
      <c r="D96" s="557">
        <f ca="1">$M36</f>
        <v>0</v>
      </c>
      <c r="E96" s="557"/>
      <c r="J96" s="572"/>
      <c r="K96" s="572"/>
      <c r="L96" s="552">
        <f ca="1">N54</f>
        <v>0</v>
      </c>
      <c r="M96" s="552"/>
      <c r="N96" s="552"/>
      <c r="O96" s="552">
        <f ca="1">N56</f>
        <v>0</v>
      </c>
      <c r="P96" s="552"/>
      <c r="Q96" s="552"/>
      <c r="R96" s="552">
        <f ca="1">N58</f>
        <v>0</v>
      </c>
      <c r="S96" s="552"/>
      <c r="T96" s="553"/>
    </row>
    <row r="97" spans="2:20" ht="25.1" customHeight="1">
      <c r="B97" s="554">
        <f ca="1">IFERROR(VLOOKUP('RESULTADOS - FTP'!O8,'ENLACES DIAGRAMAS'!$B:$L,10,0),0)</f>
        <v>0</v>
      </c>
      <c r="C97" s="555"/>
      <c r="D97" s="556">
        <f ca="1">$Q34</f>
        <v>0</v>
      </c>
      <c r="E97" s="556"/>
      <c r="F97" s="312"/>
      <c r="J97" s="556">
        <f ca="1">$Q52</f>
        <v>0</v>
      </c>
      <c r="K97" s="556"/>
      <c r="L97" s="552"/>
      <c r="M97" s="552"/>
      <c r="N97" s="552"/>
      <c r="O97" s="552"/>
      <c r="P97" s="552"/>
      <c r="Q97" s="552"/>
      <c r="R97" s="552"/>
      <c r="S97" s="552"/>
      <c r="T97" s="553"/>
    </row>
    <row r="98" spans="2:20" ht="55.1" customHeight="1">
      <c r="B98" s="554"/>
      <c r="C98" s="555"/>
      <c r="D98" s="557">
        <f ca="1">$M34</f>
        <v>0</v>
      </c>
      <c r="E98" s="557"/>
      <c r="F98" s="623" t="str">
        <f ca="1">V34&amp;V35&amp;V36&amp;V37&amp;V38&amp;V39&amp;V40&amp;V41&amp;V42&amp;V43&amp;
 V44&amp;V45&amp;V46&amp;V47&amp;V48&amp;V49&amp;V50&amp;V51&amp;V52&amp;V53&amp;
 V54&amp;V55&amp;V56&amp;V57&amp;V58&amp;V59&amp;V60&amp;V61</f>
        <v/>
      </c>
      <c r="G98" s="623"/>
      <c r="H98" s="623"/>
      <c r="I98" s="623"/>
      <c r="J98" s="623"/>
      <c r="K98" s="623"/>
      <c r="L98" s="623"/>
      <c r="M98" s="623"/>
      <c r="N98" s="558">
        <f ca="1">$M60</f>
        <v>0</v>
      </c>
      <c r="O98" s="558"/>
      <c r="P98" s="558"/>
      <c r="Q98" s="552">
        <f ca="1">IFERROR(VLOOKUP('RESULTADOS - FTP'!O34,'ENLACES DIAGRAMAS'!$B:$L,11,0),0)</f>
        <v>0</v>
      </c>
      <c r="R98" s="552"/>
      <c r="T98" s="10"/>
    </row>
    <row r="99" spans="2:20" ht="25.1" customHeight="1">
      <c r="B99" s="13"/>
      <c r="F99" s="623"/>
      <c r="G99" s="623"/>
      <c r="H99" s="623"/>
      <c r="I99" s="623"/>
      <c r="J99" s="623"/>
      <c r="K99" s="623"/>
      <c r="L99" s="623"/>
      <c r="M99" s="623"/>
      <c r="N99" s="559">
        <f ca="1">$Q60</f>
        <v>0</v>
      </c>
      <c r="O99" s="559"/>
      <c r="P99" s="559"/>
      <c r="Q99" s="552"/>
      <c r="R99" s="552"/>
      <c r="T99" s="10"/>
    </row>
    <row r="100" spans="2:20" ht="25.1" customHeight="1" thickBot="1">
      <c r="B100" s="9"/>
      <c r="C100" s="14"/>
      <c r="D100" s="14"/>
      <c r="E100" s="14"/>
      <c r="F100" s="14"/>
      <c r="G100" s="14"/>
      <c r="H100" s="14"/>
      <c r="I100" s="14"/>
      <c r="J100" s="14"/>
      <c r="K100" s="14"/>
      <c r="L100" s="14"/>
      <c r="M100" s="14"/>
      <c r="N100" s="14"/>
      <c r="O100" s="14"/>
      <c r="P100" s="14"/>
      <c r="Q100" s="14"/>
      <c r="R100" s="14"/>
      <c r="S100" s="14"/>
      <c r="T100" s="15"/>
    </row>
  </sheetData>
  <sheetProtection algorithmName="SHA-512" hashValue="GkLJ/fL5IU4ksF9BWUnYPk0+Mn4ZbxLAfs9COf2SbyrsSqEILkC2eF37Xeq6cFzzjW/w2ioSbB7fUQEWMhZNIw==" saltValue="xD2gwVEzVZbGdoR8fGy7AQ==" spinCount="100000" sheet="1" objects="1" scenarios="1" formatRows="0" selectLockedCells="1"/>
  <mergeCells count="311">
    <mergeCell ref="N85:P85"/>
    <mergeCell ref="Q85:R86"/>
    <mergeCell ref="N86:P86"/>
    <mergeCell ref="J92:K93"/>
    <mergeCell ref="L92:N92"/>
    <mergeCell ref="D93:E93"/>
    <mergeCell ref="F93:G93"/>
    <mergeCell ref="L93:N93"/>
    <mergeCell ref="W5:Z5"/>
    <mergeCell ref="B10:T11"/>
    <mergeCell ref="X9:Z9"/>
    <mergeCell ref="X10:Z10"/>
    <mergeCell ref="X8:Z8"/>
    <mergeCell ref="X6:Y6"/>
    <mergeCell ref="B76:T76"/>
    <mergeCell ref="C78:E78"/>
    <mergeCell ref="F78:H78"/>
    <mergeCell ref="I78:K78"/>
    <mergeCell ref="L78:N78"/>
    <mergeCell ref="O78:Q78"/>
    <mergeCell ref="C58:C59"/>
    <mergeCell ref="G58:G59"/>
    <mergeCell ref="H58:H59"/>
    <mergeCell ref="M60:M61"/>
    <mergeCell ref="Q60:Q61"/>
    <mergeCell ref="C60:C61"/>
    <mergeCell ref="B58:B59"/>
    <mergeCell ref="B60:B61"/>
    <mergeCell ref="I65:K65"/>
    <mergeCell ref="O65:Q65"/>
    <mergeCell ref="F98:M99"/>
    <mergeCell ref="B81:C83"/>
    <mergeCell ref="D81:E81"/>
    <mergeCell ref="J81:K83"/>
    <mergeCell ref="L81:N81"/>
    <mergeCell ref="D83:E83"/>
    <mergeCell ref="L83:N84"/>
    <mergeCell ref="O83:Q84"/>
    <mergeCell ref="B94:C96"/>
    <mergeCell ref="D94:E94"/>
    <mergeCell ref="J94:K96"/>
    <mergeCell ref="B88:T88"/>
    <mergeCell ref="R83:T84"/>
    <mergeCell ref="B84:C85"/>
    <mergeCell ref="D84:E84"/>
    <mergeCell ref="J84:K84"/>
    <mergeCell ref="D85:E85"/>
    <mergeCell ref="B79:C80"/>
    <mergeCell ref="R53:T53"/>
    <mergeCell ref="R54:T54"/>
    <mergeCell ref="R55:T55"/>
    <mergeCell ref="R56:T56"/>
    <mergeCell ref="R57:T57"/>
    <mergeCell ref="Q52:Q53"/>
    <mergeCell ref="R44:T44"/>
    <mergeCell ref="R58:T58"/>
    <mergeCell ref="B75:T75"/>
    <mergeCell ref="N72:P72"/>
    <mergeCell ref="L60:L61"/>
    <mergeCell ref="B62:T62"/>
    <mergeCell ref="R60:T60"/>
    <mergeCell ref="R61:T61"/>
    <mergeCell ref="N73:P73"/>
    <mergeCell ref="D71:E71"/>
    <mergeCell ref="D72:E72"/>
    <mergeCell ref="D70:E70"/>
    <mergeCell ref="G60:G61"/>
    <mergeCell ref="H60:H61"/>
    <mergeCell ref="D60:F61"/>
    <mergeCell ref="I60:K61"/>
    <mergeCell ref="N60:P61"/>
    <mergeCell ref="R59:T59"/>
    <mergeCell ref="R45:T45"/>
    <mergeCell ref="R46:T46"/>
    <mergeCell ref="R47:T47"/>
    <mergeCell ref="R48:T48"/>
    <mergeCell ref="R49:T49"/>
    <mergeCell ref="R50:T50"/>
    <mergeCell ref="R51:T51"/>
    <mergeCell ref="R52:T52"/>
    <mergeCell ref="R43:T43"/>
    <mergeCell ref="Q54:Q55"/>
    <mergeCell ref="D56:F57"/>
    <mergeCell ref="D58:F59"/>
    <mergeCell ref="I58:K59"/>
    <mergeCell ref="I56:K57"/>
    <mergeCell ref="C56:C57"/>
    <mergeCell ref="G56:G57"/>
    <mergeCell ref="H56:H57"/>
    <mergeCell ref="N56:P57"/>
    <mergeCell ref="L56:L57"/>
    <mergeCell ref="N58:P59"/>
    <mergeCell ref="M56:M57"/>
    <mergeCell ref="Q56:Q57"/>
    <mergeCell ref="L58:L59"/>
    <mergeCell ref="M58:M59"/>
    <mergeCell ref="Q58:Q59"/>
    <mergeCell ref="I54:K55"/>
    <mergeCell ref="I52:K53"/>
    <mergeCell ref="N52:P53"/>
    <mergeCell ref="N54:P55"/>
    <mergeCell ref="L52:L53"/>
    <mergeCell ref="M52:M53"/>
    <mergeCell ref="C54:C55"/>
    <mergeCell ref="G54:G55"/>
    <mergeCell ref="H54:H55"/>
    <mergeCell ref="L54:L55"/>
    <mergeCell ref="M54:M55"/>
    <mergeCell ref="L50:L51"/>
    <mergeCell ref="M50:M51"/>
    <mergeCell ref="Q50:Q51"/>
    <mergeCell ref="G48:G49"/>
    <mergeCell ref="H48:H49"/>
    <mergeCell ref="L48:L49"/>
    <mergeCell ref="M48:M49"/>
    <mergeCell ref="D48:F49"/>
    <mergeCell ref="D50:F51"/>
    <mergeCell ref="I50:K51"/>
    <mergeCell ref="I48:K49"/>
    <mergeCell ref="N48:P49"/>
    <mergeCell ref="N50:P51"/>
    <mergeCell ref="Q48:Q49"/>
    <mergeCell ref="L46:L47"/>
    <mergeCell ref="M46:M47"/>
    <mergeCell ref="Q46:Q47"/>
    <mergeCell ref="H44:H45"/>
    <mergeCell ref="L44:L45"/>
    <mergeCell ref="M44:M45"/>
    <mergeCell ref="D44:F45"/>
    <mergeCell ref="D46:F47"/>
    <mergeCell ref="I46:K47"/>
    <mergeCell ref="I44:K45"/>
    <mergeCell ref="N44:P45"/>
    <mergeCell ref="N46:P47"/>
    <mergeCell ref="G44:G45"/>
    <mergeCell ref="Q44:Q45"/>
    <mergeCell ref="B36:B37"/>
    <mergeCell ref="B38:B39"/>
    <mergeCell ref="B40:B41"/>
    <mergeCell ref="B42:B43"/>
    <mergeCell ref="C34:C35"/>
    <mergeCell ref="G34:G35"/>
    <mergeCell ref="G38:G39"/>
    <mergeCell ref="C46:C47"/>
    <mergeCell ref="G46:G47"/>
    <mergeCell ref="C36:C37"/>
    <mergeCell ref="G36:G37"/>
    <mergeCell ref="C40:C41"/>
    <mergeCell ref="G40:G41"/>
    <mergeCell ref="C44:C45"/>
    <mergeCell ref="D42:F43"/>
    <mergeCell ref="D40:F41"/>
    <mergeCell ref="C38:C39"/>
    <mergeCell ref="C42:C43"/>
    <mergeCell ref="B44:B45"/>
    <mergeCell ref="B46:B47"/>
    <mergeCell ref="AK31:AM31"/>
    <mergeCell ref="AN31:AP31"/>
    <mergeCell ref="AQ31:AS31"/>
    <mergeCell ref="V60:V61"/>
    <mergeCell ref="V54:V55"/>
    <mergeCell ref="V56:V57"/>
    <mergeCell ref="V58:V59"/>
    <mergeCell ref="V52:V53"/>
    <mergeCell ref="AB33:AC33"/>
    <mergeCell ref="V34:V35"/>
    <mergeCell ref="V36:V37"/>
    <mergeCell ref="V40:V41"/>
    <mergeCell ref="V42:V43"/>
    <mergeCell ref="V44:V45"/>
    <mergeCell ref="V46:V47"/>
    <mergeCell ref="V48:V49"/>
    <mergeCell ref="V50:V51"/>
    <mergeCell ref="V38:V39"/>
    <mergeCell ref="AH31:AJ31"/>
    <mergeCell ref="H38:H39"/>
    <mergeCell ref="H36:H37"/>
    <mergeCell ref="L36:L37"/>
    <mergeCell ref="M36:M37"/>
    <mergeCell ref="N36:P37"/>
    <mergeCell ref="I36:K37"/>
    <mergeCell ref="D36:F37"/>
    <mergeCell ref="D38:F39"/>
    <mergeCell ref="I38:K39"/>
    <mergeCell ref="N38:P39"/>
    <mergeCell ref="L38:L39"/>
    <mergeCell ref="R39:T39"/>
    <mergeCell ref="M38:M39"/>
    <mergeCell ref="Q38:Q39"/>
    <mergeCell ref="R40:T40"/>
    <mergeCell ref="R41:T41"/>
    <mergeCell ref="R34:T34"/>
    <mergeCell ref="R35:T35"/>
    <mergeCell ref="R36:T36"/>
    <mergeCell ref="R37:T37"/>
    <mergeCell ref="R38:T38"/>
    <mergeCell ref="Q36:Q37"/>
    <mergeCell ref="R42:T42"/>
    <mergeCell ref="G42:G43"/>
    <mergeCell ref="H42:H43"/>
    <mergeCell ref="L42:L43"/>
    <mergeCell ref="M42:M43"/>
    <mergeCell ref="Q42:Q43"/>
    <mergeCell ref="H40:H41"/>
    <mergeCell ref="L40:L41"/>
    <mergeCell ref="M40:M41"/>
    <mergeCell ref="N40:P41"/>
    <mergeCell ref="N42:P43"/>
    <mergeCell ref="Q40:Q41"/>
    <mergeCell ref="I42:K43"/>
    <mergeCell ref="I40:K41"/>
    <mergeCell ref="A2:A3"/>
    <mergeCell ref="AH14:AS14"/>
    <mergeCell ref="A4:A7"/>
    <mergeCell ref="U4:U7"/>
    <mergeCell ref="W14:X14"/>
    <mergeCell ref="B13:T30"/>
    <mergeCell ref="B2:T3"/>
    <mergeCell ref="B4:T4"/>
    <mergeCell ref="B5:T5"/>
    <mergeCell ref="B6:T6"/>
    <mergeCell ref="B7:T7"/>
    <mergeCell ref="X2:Z2"/>
    <mergeCell ref="AB5:AC5"/>
    <mergeCell ref="AB6:AC6"/>
    <mergeCell ref="AB7:AC7"/>
    <mergeCell ref="AB8:AC8"/>
    <mergeCell ref="AB4:AC4"/>
    <mergeCell ref="AB3:AC3"/>
    <mergeCell ref="X3:Z4"/>
    <mergeCell ref="X7:Z7"/>
    <mergeCell ref="X11:Z11"/>
    <mergeCell ref="J79:K80"/>
    <mergeCell ref="L79:N79"/>
    <mergeCell ref="D80:E80"/>
    <mergeCell ref="F80:G80"/>
    <mergeCell ref="L80:N80"/>
    <mergeCell ref="L65:N65"/>
    <mergeCell ref="C65:E65"/>
    <mergeCell ref="L70:N71"/>
    <mergeCell ref="B54:B55"/>
    <mergeCell ref="B56:B57"/>
    <mergeCell ref="D54:F55"/>
    <mergeCell ref="B48:B49"/>
    <mergeCell ref="B50:B51"/>
    <mergeCell ref="B52:B53"/>
    <mergeCell ref="H46:H47"/>
    <mergeCell ref="C50:C51"/>
    <mergeCell ref="G50:G51"/>
    <mergeCell ref="H50:H51"/>
    <mergeCell ref="C48:C49"/>
    <mergeCell ref="C52:C53"/>
    <mergeCell ref="G52:G53"/>
    <mergeCell ref="H52:H53"/>
    <mergeCell ref="D52:F53"/>
    <mergeCell ref="S1:T1"/>
    <mergeCell ref="U2:U3"/>
    <mergeCell ref="C32:Q32"/>
    <mergeCell ref="H33:L33"/>
    <mergeCell ref="M33:Q33"/>
    <mergeCell ref="H34:H35"/>
    <mergeCell ref="L34:L35"/>
    <mergeCell ref="M34:M35"/>
    <mergeCell ref="Q34:Q35"/>
    <mergeCell ref="D34:F35"/>
    <mergeCell ref="I34:K35"/>
    <mergeCell ref="N34:P35"/>
    <mergeCell ref="R33:T33"/>
    <mergeCell ref="B31:T31"/>
    <mergeCell ref="B9:T9"/>
    <mergeCell ref="B8:T8"/>
    <mergeCell ref="B1:R1"/>
    <mergeCell ref="B34:B35"/>
    <mergeCell ref="C33:G33"/>
    <mergeCell ref="O70:Q71"/>
    <mergeCell ref="R70:T71"/>
    <mergeCell ref="Q72:R73"/>
    <mergeCell ref="B71:C72"/>
    <mergeCell ref="B68:C70"/>
    <mergeCell ref="J68:K70"/>
    <mergeCell ref="L68:N68"/>
    <mergeCell ref="J71:K71"/>
    <mergeCell ref="L67:N67"/>
    <mergeCell ref="J66:K67"/>
    <mergeCell ref="L66:N66"/>
    <mergeCell ref="B66:C67"/>
    <mergeCell ref="D68:E68"/>
    <mergeCell ref="R96:T97"/>
    <mergeCell ref="B97:C98"/>
    <mergeCell ref="D97:E97"/>
    <mergeCell ref="J97:K97"/>
    <mergeCell ref="D98:E98"/>
    <mergeCell ref="N98:P98"/>
    <mergeCell ref="Q98:R99"/>
    <mergeCell ref="N99:P99"/>
    <mergeCell ref="B32:B33"/>
    <mergeCell ref="D67:E67"/>
    <mergeCell ref="F67:G67"/>
    <mergeCell ref="B63:T63"/>
    <mergeCell ref="F65:H65"/>
    <mergeCell ref="C91:E91"/>
    <mergeCell ref="F91:H91"/>
    <mergeCell ref="I91:K91"/>
    <mergeCell ref="L91:N91"/>
    <mergeCell ref="O91:Q91"/>
    <mergeCell ref="B92:C93"/>
    <mergeCell ref="L94:N94"/>
    <mergeCell ref="D96:E96"/>
    <mergeCell ref="L96:N97"/>
    <mergeCell ref="O96:Q97"/>
    <mergeCell ref="B89:T89"/>
  </mergeCells>
  <conditionalFormatting sqref="B65:B66">
    <cfRule type="cellIs" dxfId="258" priority="42" operator="equal">
      <formula>0</formula>
    </cfRule>
  </conditionalFormatting>
  <conditionalFormatting sqref="B34:Q61">
    <cfRule type="expression" dxfId="257" priority="55" stopIfTrue="1">
      <formula>INDIRECT("L_"&amp;$B34)&lt;&gt;0</formula>
    </cfRule>
    <cfRule type="expression" dxfId="256" priority="57">
      <formula>INDIRECT("L_"&amp;$B34)=0</formula>
    </cfRule>
  </conditionalFormatting>
  <conditionalFormatting sqref="B64:T74 B77:T87 B90:T97 B98:F98 N98:T99 B99:E99 B100:T100">
    <cfRule type="cellIs" dxfId="255" priority="21" operator="equal">
      <formula>0</formula>
    </cfRule>
  </conditionalFormatting>
  <conditionalFormatting sqref="C64:Q65">
    <cfRule type="cellIs" dxfId="254" priority="50" operator="equal">
      <formula>0</formula>
    </cfRule>
  </conditionalFormatting>
  <conditionalFormatting sqref="D67:D68">
    <cfRule type="cellIs" dxfId="253" priority="43" operator="equal">
      <formula>0</formula>
    </cfRule>
  </conditionalFormatting>
  <conditionalFormatting sqref="D70:D72">
    <cfRule type="cellIs" dxfId="252" priority="46" operator="equal">
      <formula>0</formula>
    </cfRule>
  </conditionalFormatting>
  <conditionalFormatting sqref="D66:J66">
    <cfRule type="cellIs" dxfId="251" priority="44" operator="equal">
      <formula>0</formula>
    </cfRule>
  </conditionalFormatting>
  <conditionalFormatting sqref="L66:L68">
    <cfRule type="cellIs" dxfId="250" priority="49" operator="equal">
      <formula>0</formula>
    </cfRule>
  </conditionalFormatting>
  <conditionalFormatting sqref="L69:T71">
    <cfRule type="cellIs" dxfId="249" priority="48" operator="equal">
      <formula>0</formula>
    </cfRule>
  </conditionalFormatting>
  <conditionalFormatting sqref="N72:N74">
    <cfRule type="cellIs" dxfId="248" priority="47" operator="equal">
      <formula>0</formula>
    </cfRule>
  </conditionalFormatting>
  <conditionalFormatting sqref="O66:Q66 B68 J68 B71:C72 Q72">
    <cfRule type="cellIs" dxfId="247" priority="54" operator="equal">
      <formula>0</formula>
    </cfRule>
  </conditionalFormatting>
  <conditionalFormatting sqref="R33 U33:V33">
    <cfRule type="expression" dxfId="246" priority="2681">
      <formula>SUM($R$34:$R$61)=0</formula>
    </cfRule>
  </conditionalFormatting>
  <conditionalFormatting sqref="U34:V61">
    <cfRule type="cellIs" dxfId="245" priority="170" operator="equal">
      <formula>""</formula>
    </cfRule>
  </conditionalFormatting>
  <conditionalFormatting sqref="V15">
    <cfRule type="cellIs" dxfId="244" priority="51" operator="equal">
      <formula>0</formula>
    </cfRule>
  </conditionalFormatting>
  <conditionalFormatting sqref="X30">
    <cfRule type="cellIs" dxfId="243" priority="165" operator="equal">
      <formula>0</formula>
    </cfRule>
  </conditionalFormatting>
  <conditionalFormatting sqref="AB31:AB32">
    <cfRule type="cellIs" dxfId="242" priority="139" operator="notEqual">
      <formula>0</formula>
    </cfRule>
  </conditionalFormatting>
  <conditionalFormatting sqref="X7">
    <cfRule type="expression" dxfId="241" priority="19">
      <formula>"SUMA(D34:D61;I34:I61;N34:N61)=0"</formula>
    </cfRule>
  </conditionalFormatting>
  <conditionalFormatting sqref="X7">
    <cfRule type="expression" dxfId="240" priority="18">
      <formula>AND($X$7=0,AND($W$7&lt;&gt;"",$W$7&lt;&gt;0))</formula>
    </cfRule>
  </conditionalFormatting>
  <conditionalFormatting sqref="D34:F61 I34:K61 N34:P61">
    <cfRule type="cellIs" dxfId="239" priority="16" operator="equal">
      <formula>0</formula>
    </cfRule>
  </conditionalFormatting>
  <conditionalFormatting sqref="V12:Y12 V8:W9">
    <cfRule type="expression" dxfId="238" priority="15" stopIfTrue="1">
      <formula>D_Fijos=_OK</formula>
    </cfRule>
  </conditionalFormatting>
  <conditionalFormatting sqref="X12">
    <cfRule type="cellIs" dxfId="237" priority="12" operator="equal">
      <formula>0</formula>
    </cfRule>
  </conditionalFormatting>
  <conditionalFormatting sqref="W7">
    <cfRule type="cellIs" dxfId="236" priority="7836" operator="greaterThan">
      <formula>$X$7</formula>
    </cfRule>
  </conditionalFormatting>
  <conditionalFormatting sqref="B10:T11">
    <cfRule type="expression" dxfId="235" priority="6">
      <formula>OR(AND(D_Fijos=_OK,Nombre_Lista&lt;&gt;Nombre_Datos_Fijos),                AND(D_Fijos=_NO,Nombre_Lista&lt;&gt;Tipo_Estructura))</formula>
    </cfRule>
  </conditionalFormatting>
  <conditionalFormatting sqref="X6:Z6 V7:X7 X3">
    <cfRule type="expression" dxfId="234" priority="5">
      <formula>$W$4=_NO</formula>
    </cfRule>
  </conditionalFormatting>
  <conditionalFormatting sqref="X15:X32">
    <cfRule type="cellIs" dxfId="233" priority="4" operator="equal">
      <formula>0</formula>
    </cfRule>
  </conditionalFormatting>
  <conditionalFormatting sqref="X6:Z6 V7:Z7 X3">
    <cfRule type="expression" dxfId="232" priority="3" stopIfTrue="1">
      <formula>IF(_xlfn.ISFORMULA(Nombre_Lista),_xlfn.FORMULATEXT(Nombre_Lista),_NO)=_NO</formula>
    </cfRule>
  </conditionalFormatting>
  <conditionalFormatting sqref="W6">
    <cfRule type="expression" dxfId="231" priority="2">
      <formula>Salto=""</formula>
    </cfRule>
  </conditionalFormatting>
  <conditionalFormatting sqref="W4">
    <cfRule type="expression" dxfId="230" priority="1">
      <formula>AND(_xlfn.ISFORMULA($W$5),$W$4=_NO)</formula>
    </cfRule>
  </conditionalFormatting>
  <dataValidations count="8">
    <dataValidation type="list" allowBlank="1" showInputMessage="1" showErrorMessage="1" sqref="W6" xr:uid="{00000000-0002-0000-0100-000000000000}">
      <formula1>SALTOS_FTP</formula1>
    </dataValidation>
    <dataValidation type="whole" allowBlank="1" showDropDown="1" showInputMessage="1" showErrorMessage="1" errorTitle="Error" error="Debes introducir un número entero" sqref="W7" xr:uid="{00000000-0002-0000-0100-000001000000}">
      <formula1>0</formula1>
      <formula2>100000</formula2>
    </dataValidation>
    <dataValidation type="list" allowBlank="1" showInputMessage="1" showErrorMessage="1" sqref="W6" xr:uid="{00000000-0002-0000-0100-000002000000}">
      <formula1>"SÍ,NO"</formula1>
    </dataValidation>
    <dataValidation type="list" allowBlank="1" showInputMessage="1" showErrorMessage="1" sqref="W8:W10 W2:W4" xr:uid="{00000000-0002-0000-0100-000003000000}">
      <formula1>SI_NO</formula1>
    </dataValidation>
    <dataValidation allowBlank="1" showInputMessage="1" showErrorMessage="1" sqref="W12" xr:uid="{00000000-0002-0000-0100-000004000000}"/>
    <dataValidation type="list" allowBlank="1" showInputMessage="1" promptTitle="Nombre Archivo FasTest PlugIn" prompt="Nombre del archivo Excel que tienes para la aplicación FastTest PlugIn._x000a_Si no has cambiado el nombre, selecciónalo de la lista desplegable." sqref="X3" xr:uid="{00000000-0002-0000-0100-000005000000}">
      <formula1>"FastTest PlugIn"</formula1>
    </dataValidation>
    <dataValidation type="list" errorStyle="warning" allowBlank="1" showInputMessage="1" showErrorMessage="1" errorTitle="CUIDADO!!" error="Debes elegir una estructura de la lista." sqref="W5:Z5" xr:uid="{00000000-0002-0000-0100-000006000000}">
      <formula1>IF(D_Fijos=_OK,Lista_Datos,Lista_T_Figuras)</formula1>
    </dataValidation>
    <dataValidation type="whole" allowBlank="1" showInputMessage="1" showErrorMessage="1" errorTitle="ERROR" error="Debes introducir un número mayor o igual a 1" sqref="Z6 W11" xr:uid="{00000000-0002-0000-0100-000007000000}">
      <formula1>1</formula1>
      <formula2>1000</formula2>
    </dataValidation>
  </dataValidations>
  <printOptions horizontalCentered="1"/>
  <pageMargins left="0.59055118110236227" right="0.59055118110236227" top="0.59055118110236227" bottom="0.59055118110236227" header="0.61023622047244097" footer="0.39370078740157483"/>
  <pageSetup paperSize="9" scale="98" fitToHeight="100" orientation="portrait" horizontalDpi="4294967295" verticalDpi="4294967295" r:id="rId1"/>
  <headerFooter>
    <oddHeader xml:space="preserve">&amp;RPag &amp;P            </oddHeader>
    <oddFooter>&amp;CDesarrollado por Milagros Huerta GM (UCA)</oddFooter>
  </headerFooter>
  <rowBreaks count="3" manualBreakCount="3">
    <brk id="61" max="20" man="1"/>
    <brk id="74" max="20" man="1"/>
    <brk id="87" max="20" man="1"/>
  </rowBreak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_Datos_Fijos">
    <tabColor rgb="FF00B0F0"/>
  </sheetPr>
  <dimension ref="A1:XAF31"/>
  <sheetViews>
    <sheetView showGridLines="0" showRowColHeaders="0" zoomScaleNormal="100" workbookViewId="0">
      <pane xSplit="2" ySplit="4" topLeftCell="C5" activePane="bottomRight" state="frozen"/>
      <selection pane="topRight" activeCell="C1" sqref="C1"/>
      <selection pane="bottomLeft" activeCell="A5" sqref="A5"/>
      <selection pane="bottomRight" activeCell="B5" sqref="B5"/>
    </sheetView>
  </sheetViews>
  <sheetFormatPr baseColWidth="10" defaultColWidth="0" defaultRowHeight="14.35" outlineLevelCol="1"/>
  <cols>
    <col min="1" max="1" width="4.41015625" customWidth="1"/>
    <col min="2" max="2" width="28.87890625" customWidth="1"/>
    <col min="3" max="3" width="6" customWidth="1"/>
    <col min="4" max="16" width="6" hidden="1" customWidth="1" outlineLevel="1"/>
    <col min="17" max="17" width="4.76171875" bestFit="1" customWidth="1" collapsed="1"/>
    <col min="18" max="18" width="6" customWidth="1"/>
    <col min="19" max="21" width="5.76171875" hidden="1" customWidth="1" outlineLevel="1"/>
    <col min="22" max="22" width="5.76171875" customWidth="1" collapsed="1"/>
    <col min="23" max="36" width="5.76171875" hidden="1" customWidth="1" outlineLevel="1"/>
    <col min="37" max="37" width="5.76171875" customWidth="1" collapsed="1"/>
    <col min="38" max="51" width="5.76171875" hidden="1" customWidth="1" outlineLevel="1"/>
    <col min="52" max="52" width="5.76171875" customWidth="1" collapsed="1"/>
    <col min="53" max="66" width="5.76171875" hidden="1" customWidth="1" outlineLevel="1"/>
    <col min="67" max="67" width="5.64453125" customWidth="1" collapsed="1"/>
    <col min="68" max="81" width="5.64453125" hidden="1" customWidth="1" outlineLevel="1"/>
    <col min="82" max="82" width="30.64453125" customWidth="1" collapsed="1"/>
    <col min="83" max="83" width="15.64453125" customWidth="1"/>
    <col min="84" max="84" width="5.64453125" customWidth="1"/>
    <col min="85" max="85" width="7.234375" customWidth="1"/>
    <col min="86" max="86" width="20.64453125" customWidth="1"/>
    <col min="87" max="87" width="2.64453125" customWidth="1"/>
    <col min="88" max="88" width="5.64453125" hidden="1" customWidth="1"/>
    <col min="89" max="89" width="3.64453125" hidden="1" customWidth="1"/>
    <col min="90" max="16256" width="10.76171875" hidden="1" customWidth="1"/>
    <col min="16257" max="16384" width="5.64453125" hidden="1" customWidth="1"/>
  </cols>
  <sheetData>
    <row r="1" spans="1:87" hidden="1">
      <c r="A1" s="428"/>
      <c r="B1" s="428" t="s">
        <v>0</v>
      </c>
      <c r="C1" s="429" t="s">
        <v>44</v>
      </c>
      <c r="D1" s="429" t="s">
        <v>45</v>
      </c>
      <c r="E1" s="429" t="s">
        <v>46</v>
      </c>
      <c r="F1" s="429" t="s">
        <v>415</v>
      </c>
      <c r="G1" s="429" t="s">
        <v>47</v>
      </c>
      <c r="H1" s="429" t="s">
        <v>48</v>
      </c>
      <c r="I1" s="429" t="s">
        <v>49</v>
      </c>
      <c r="J1" s="429" t="s">
        <v>50</v>
      </c>
      <c r="K1" s="429" t="s">
        <v>51</v>
      </c>
      <c r="L1" s="429" t="s">
        <v>52</v>
      </c>
      <c r="M1" s="429" t="s">
        <v>53</v>
      </c>
      <c r="N1" s="429" t="s">
        <v>54</v>
      </c>
      <c r="O1" s="429" t="s">
        <v>55</v>
      </c>
      <c r="P1" s="429" t="s">
        <v>56</v>
      </c>
      <c r="Q1" s="429" t="s">
        <v>405</v>
      </c>
      <c r="R1" s="429" t="s">
        <v>450</v>
      </c>
      <c r="S1" s="429" t="s">
        <v>410</v>
      </c>
      <c r="T1" s="429" t="s">
        <v>411</v>
      </c>
      <c r="U1" s="429" t="s">
        <v>558</v>
      </c>
      <c r="V1" s="429" t="s">
        <v>58</v>
      </c>
      <c r="W1" s="429" t="s">
        <v>59</v>
      </c>
      <c r="X1" s="429" t="s">
        <v>60</v>
      </c>
      <c r="Y1" s="430" t="str">
        <f ca="1">IF(OR(alfa_C=0,alfa_C=90,alfa_C="",D_Fijos=_OK),"Fv_D","Fv_D1")</f>
        <v>Fv_D</v>
      </c>
      <c r="Z1" s="429" t="s">
        <v>62</v>
      </c>
      <c r="AA1" s="429" t="s">
        <v>63</v>
      </c>
      <c r="AB1" s="429" t="s">
        <v>64</v>
      </c>
      <c r="AC1" s="429" t="s">
        <v>65</v>
      </c>
      <c r="AD1" s="429" t="s">
        <v>66</v>
      </c>
      <c r="AE1" s="429" t="s">
        <v>67</v>
      </c>
      <c r="AF1" s="429" t="s">
        <v>68</v>
      </c>
      <c r="AG1" s="429" t="s">
        <v>69</v>
      </c>
      <c r="AH1" s="429" t="s">
        <v>70</v>
      </c>
      <c r="AI1" s="429" t="s">
        <v>71</v>
      </c>
      <c r="AJ1" s="429" t="s">
        <v>72</v>
      </c>
      <c r="AK1" s="429" t="s">
        <v>73</v>
      </c>
      <c r="AL1" s="429" t="s">
        <v>74</v>
      </c>
      <c r="AM1" s="429" t="s">
        <v>75</v>
      </c>
      <c r="AN1" s="430" t="str">
        <f ca="1">IF(OR(alfa_C=0,alfa_C=90,alfa_C="",D_Fijos=_OK),"Fh_D","Fh_D1")</f>
        <v>Fh_D</v>
      </c>
      <c r="AO1" s="429" t="s">
        <v>77</v>
      </c>
      <c r="AP1" s="429" t="s">
        <v>78</v>
      </c>
      <c r="AQ1" s="429" t="s">
        <v>79</v>
      </c>
      <c r="AR1" s="429" t="s">
        <v>80</v>
      </c>
      <c r="AS1" s="429" t="s">
        <v>81</v>
      </c>
      <c r="AT1" s="429" t="s">
        <v>82</v>
      </c>
      <c r="AU1" s="429" t="s">
        <v>83</v>
      </c>
      <c r="AV1" s="429" t="s">
        <v>84</v>
      </c>
      <c r="AW1" s="429" t="s">
        <v>85</v>
      </c>
      <c r="AX1" s="429" t="s">
        <v>86</v>
      </c>
      <c r="AY1" s="429" t="s">
        <v>87</v>
      </c>
      <c r="AZ1" s="429" t="s">
        <v>88</v>
      </c>
      <c r="BA1" s="429" t="s">
        <v>89</v>
      </c>
      <c r="BB1" s="429" t="s">
        <v>90</v>
      </c>
      <c r="BC1" s="430" t="str">
        <f ca="1">IF(OR(alfa_C=0,alfa_C=90,alfa_C="",D_Fijos=_OK),"Mz_D","Mz_D1")</f>
        <v>Mz_D</v>
      </c>
      <c r="BD1" s="429" t="s">
        <v>92</v>
      </c>
      <c r="BE1" s="429" t="s">
        <v>93</v>
      </c>
      <c r="BF1" s="429" t="s">
        <v>94</v>
      </c>
      <c r="BG1" s="429" t="s">
        <v>95</v>
      </c>
      <c r="BH1" s="429" t="s">
        <v>96</v>
      </c>
      <c r="BI1" s="429" t="s">
        <v>97</v>
      </c>
      <c r="BJ1" s="429" t="s">
        <v>98</v>
      </c>
      <c r="BK1" s="429" t="s">
        <v>99</v>
      </c>
      <c r="BL1" s="429" t="s">
        <v>100</v>
      </c>
      <c r="BM1" s="429" t="s">
        <v>101</v>
      </c>
      <c r="BN1" s="429" t="s">
        <v>102</v>
      </c>
      <c r="BO1" s="429" t="s">
        <v>103</v>
      </c>
      <c r="BP1" s="429" t="s">
        <v>104</v>
      </c>
      <c r="BQ1" s="429" t="s">
        <v>447</v>
      </c>
      <c r="BR1" s="429" t="s">
        <v>446</v>
      </c>
      <c r="BS1" s="429" t="s">
        <v>107</v>
      </c>
      <c r="BT1" s="429" t="s">
        <v>108</v>
      </c>
      <c r="BU1" s="429" t="s">
        <v>109</v>
      </c>
      <c r="BV1" s="429" t="s">
        <v>110</v>
      </c>
      <c r="BW1" s="429" t="s">
        <v>111</v>
      </c>
      <c r="BX1" s="429" t="s">
        <v>112</v>
      </c>
      <c r="BY1" s="429" t="s">
        <v>113</v>
      </c>
      <c r="BZ1" s="429" t="s">
        <v>114</v>
      </c>
      <c r="CA1" s="429" t="s">
        <v>115</v>
      </c>
      <c r="CB1" s="429" t="s">
        <v>116</v>
      </c>
      <c r="CC1" s="429" t="s">
        <v>117</v>
      </c>
      <c r="CD1" s="429"/>
      <c r="CE1" s="431" t="s">
        <v>404</v>
      </c>
      <c r="CG1" s="432">
        <v>2.5</v>
      </c>
    </row>
    <row r="2" spans="1:87" hidden="1">
      <c r="A2" s="2"/>
      <c r="R2" s="2"/>
      <c r="S2" s="2"/>
      <c r="T2" s="2"/>
      <c r="U2" s="2"/>
    </row>
    <row r="3" spans="1:87" ht="40.1" hidden="1" customHeight="1">
      <c r="B3" s="433"/>
      <c r="C3" s="434"/>
      <c r="D3" s="435"/>
      <c r="E3" s="435"/>
      <c r="F3" s="435"/>
      <c r="G3" s="435"/>
      <c r="H3" s="435"/>
      <c r="I3" s="435"/>
      <c r="J3" s="435"/>
      <c r="K3" s="435"/>
      <c r="L3" s="435"/>
      <c r="M3" s="435"/>
      <c r="N3" s="435"/>
      <c r="O3" s="435"/>
      <c r="P3" s="436"/>
      <c r="Q3" s="437"/>
      <c r="R3" s="388"/>
      <c r="S3" s="438"/>
      <c r="T3" s="390"/>
      <c r="U3" s="389"/>
      <c r="V3" s="439"/>
      <c r="W3" s="440"/>
      <c r="X3" s="440"/>
      <c r="Y3" s="440"/>
      <c r="Z3" s="440"/>
      <c r="AA3" s="440"/>
      <c r="AB3" s="440"/>
      <c r="AC3" s="440"/>
      <c r="AD3" s="440"/>
      <c r="AE3" s="440"/>
      <c r="AF3" s="440"/>
      <c r="AG3" s="440"/>
      <c r="AH3" s="440"/>
      <c r="AI3" s="440"/>
      <c r="AJ3" s="441"/>
      <c r="AK3" s="439"/>
      <c r="AL3" s="440"/>
      <c r="AM3" s="440"/>
      <c r="AN3" s="440"/>
      <c r="AO3" s="440"/>
      <c r="AP3" s="440"/>
      <c r="AQ3" s="440"/>
      <c r="AR3" s="440"/>
      <c r="AS3" s="440"/>
      <c r="AT3" s="440"/>
      <c r="AU3" s="440"/>
      <c r="AV3" s="440"/>
      <c r="AW3" s="440"/>
      <c r="AX3" s="440"/>
      <c r="AY3" s="441"/>
      <c r="AZ3" s="439"/>
      <c r="BA3" s="440"/>
      <c r="BB3" s="440"/>
      <c r="BC3" s="440"/>
      <c r="BD3" s="440"/>
      <c r="BE3" s="440"/>
      <c r="BF3" s="440"/>
      <c r="BG3" s="440"/>
      <c r="BH3" s="440"/>
      <c r="BI3" s="440"/>
      <c r="BJ3" s="440"/>
      <c r="BK3" s="440"/>
      <c r="BL3" s="440"/>
      <c r="BM3" s="440"/>
      <c r="BN3" s="441"/>
      <c r="BO3" s="439"/>
      <c r="BP3" s="440"/>
      <c r="BQ3" s="440"/>
      <c r="BR3" s="440"/>
      <c r="BS3" s="440"/>
      <c r="BT3" s="440"/>
      <c r="BU3" s="440"/>
      <c r="BV3" s="440"/>
      <c r="BW3" s="440"/>
      <c r="BX3" s="440"/>
      <c r="BY3" s="440"/>
      <c r="BZ3" s="440"/>
      <c r="CA3" s="440"/>
      <c r="CB3" s="440"/>
      <c r="CC3" s="441"/>
      <c r="CD3" s="439"/>
      <c r="CE3" s="391"/>
      <c r="CF3" s="509"/>
      <c r="CG3" s="442"/>
      <c r="CH3" s="443"/>
    </row>
    <row r="4" spans="1:87" ht="30" customHeight="1">
      <c r="A4" s="444" t="s">
        <v>747</v>
      </c>
      <c r="B4" s="401" t="s">
        <v>0</v>
      </c>
      <c r="C4" s="445" t="s">
        <v>44</v>
      </c>
      <c r="D4" s="445" t="s">
        <v>45</v>
      </c>
      <c r="E4" s="445" t="s">
        <v>540</v>
      </c>
      <c r="F4" s="445" t="s">
        <v>415</v>
      </c>
      <c r="G4" s="445" t="s">
        <v>47</v>
      </c>
      <c r="H4" s="445" t="s">
        <v>48</v>
      </c>
      <c r="I4" s="445" t="s">
        <v>49</v>
      </c>
      <c r="J4" s="445" t="s">
        <v>50</v>
      </c>
      <c r="K4" s="445" t="s">
        <v>51</v>
      </c>
      <c r="L4" s="445" t="s">
        <v>52</v>
      </c>
      <c r="M4" s="445" t="s">
        <v>53</v>
      </c>
      <c r="N4" s="445" t="s">
        <v>54</v>
      </c>
      <c r="O4" s="445" t="s">
        <v>55</v>
      </c>
      <c r="P4" s="445" t="s">
        <v>56</v>
      </c>
      <c r="Q4" s="405" t="s">
        <v>57</v>
      </c>
      <c r="R4" s="405" t="s">
        <v>408</v>
      </c>
      <c r="S4" s="405" t="s">
        <v>406</v>
      </c>
      <c r="T4" s="405" t="s">
        <v>407</v>
      </c>
      <c r="U4" s="405" t="s">
        <v>557</v>
      </c>
      <c r="V4" s="446" t="s">
        <v>58</v>
      </c>
      <c r="W4" s="446" t="s">
        <v>59</v>
      </c>
      <c r="X4" s="446" t="s">
        <v>60</v>
      </c>
      <c r="Y4" s="446" t="s">
        <v>61</v>
      </c>
      <c r="Z4" s="446" t="s">
        <v>62</v>
      </c>
      <c r="AA4" s="446" t="s">
        <v>63</v>
      </c>
      <c r="AB4" s="446" t="s">
        <v>64</v>
      </c>
      <c r="AC4" s="446" t="s">
        <v>65</v>
      </c>
      <c r="AD4" s="446" t="s">
        <v>66</v>
      </c>
      <c r="AE4" s="446" t="s">
        <v>67</v>
      </c>
      <c r="AF4" s="446" t="s">
        <v>68</v>
      </c>
      <c r="AG4" s="446" t="s">
        <v>69</v>
      </c>
      <c r="AH4" s="446" t="s">
        <v>70</v>
      </c>
      <c r="AI4" s="446" t="s">
        <v>71</v>
      </c>
      <c r="AJ4" s="446" t="s">
        <v>72</v>
      </c>
      <c r="AK4" s="446" t="s">
        <v>73</v>
      </c>
      <c r="AL4" s="446" t="s">
        <v>74</v>
      </c>
      <c r="AM4" s="446" t="s">
        <v>75</v>
      </c>
      <c r="AN4" s="446" t="s">
        <v>76</v>
      </c>
      <c r="AO4" s="446" t="s">
        <v>77</v>
      </c>
      <c r="AP4" s="446" t="s">
        <v>78</v>
      </c>
      <c r="AQ4" s="446" t="s">
        <v>79</v>
      </c>
      <c r="AR4" s="446" t="s">
        <v>80</v>
      </c>
      <c r="AS4" s="446" t="s">
        <v>81</v>
      </c>
      <c r="AT4" s="446" t="s">
        <v>82</v>
      </c>
      <c r="AU4" s="446" t="s">
        <v>83</v>
      </c>
      <c r="AV4" s="446" t="s">
        <v>84</v>
      </c>
      <c r="AW4" s="446" t="s">
        <v>85</v>
      </c>
      <c r="AX4" s="446" t="s">
        <v>86</v>
      </c>
      <c r="AY4" s="446" t="s">
        <v>87</v>
      </c>
      <c r="AZ4" s="446" t="s">
        <v>88</v>
      </c>
      <c r="BA4" s="446" t="s">
        <v>89</v>
      </c>
      <c r="BB4" s="446" t="s">
        <v>90</v>
      </c>
      <c r="BC4" s="446" t="s">
        <v>91</v>
      </c>
      <c r="BD4" s="446" t="s">
        <v>92</v>
      </c>
      <c r="BE4" s="446" t="s">
        <v>93</v>
      </c>
      <c r="BF4" s="446" t="s">
        <v>94</v>
      </c>
      <c r="BG4" s="446" t="s">
        <v>95</v>
      </c>
      <c r="BH4" s="446" t="s">
        <v>96</v>
      </c>
      <c r="BI4" s="446" t="s">
        <v>97</v>
      </c>
      <c r="BJ4" s="446" t="s">
        <v>98</v>
      </c>
      <c r="BK4" s="446" t="s">
        <v>99</v>
      </c>
      <c r="BL4" s="446" t="s">
        <v>100</v>
      </c>
      <c r="BM4" s="446" t="s">
        <v>101</v>
      </c>
      <c r="BN4" s="446" t="s">
        <v>102</v>
      </c>
      <c r="BO4" s="446" t="s">
        <v>103</v>
      </c>
      <c r="BP4" s="446" t="s">
        <v>104</v>
      </c>
      <c r="BQ4" s="446" t="s">
        <v>105</v>
      </c>
      <c r="BR4" s="446" t="s">
        <v>106</v>
      </c>
      <c r="BS4" s="446" t="s">
        <v>107</v>
      </c>
      <c r="BT4" s="446" t="s">
        <v>108</v>
      </c>
      <c r="BU4" s="446" t="s">
        <v>109</v>
      </c>
      <c r="BV4" s="446" t="s">
        <v>110</v>
      </c>
      <c r="BW4" s="446" t="s">
        <v>111</v>
      </c>
      <c r="BX4" s="446" t="s">
        <v>112</v>
      </c>
      <c r="BY4" s="446" t="s">
        <v>113</v>
      </c>
      <c r="BZ4" s="446" t="s">
        <v>114</v>
      </c>
      <c r="CA4" s="446" t="s">
        <v>115</v>
      </c>
      <c r="CB4" s="446" t="s">
        <v>116</v>
      </c>
      <c r="CC4" s="446" t="s">
        <v>117</v>
      </c>
      <c r="CD4" s="446" t="s">
        <v>575</v>
      </c>
      <c r="CE4" s="446" t="s">
        <v>404</v>
      </c>
      <c r="CF4" s="447" t="s">
        <v>119</v>
      </c>
      <c r="CG4" s="448" t="s">
        <v>437</v>
      </c>
      <c r="CH4" s="449" t="s">
        <v>676</v>
      </c>
      <c r="CI4" s="392" t="s">
        <v>30</v>
      </c>
    </row>
    <row r="5" spans="1:87" ht="28.7">
      <c r="A5" s="488">
        <f>ROW()-ROW(T_D_FIJOS[[#Headers],[Nº]])</f>
        <v>1</v>
      </c>
      <c r="B5" s="451" t="s">
        <v>783</v>
      </c>
      <c r="C5" s="489">
        <v>1.5</v>
      </c>
      <c r="D5" s="490">
        <v>1.5</v>
      </c>
      <c r="E5" s="490">
        <v>1.5</v>
      </c>
      <c r="F5" s="490"/>
      <c r="G5" s="490"/>
      <c r="H5" s="490"/>
      <c r="I5" s="490"/>
      <c r="J5" s="490"/>
      <c r="K5" s="490"/>
      <c r="L5" s="490"/>
      <c r="M5" s="490"/>
      <c r="N5" s="490"/>
      <c r="O5" s="490"/>
      <c r="P5" s="491"/>
      <c r="Q5" s="492"/>
      <c r="R5" s="363" t="s">
        <v>396</v>
      </c>
      <c r="S5" s="2" t="s">
        <v>12</v>
      </c>
      <c r="T5" s="2"/>
      <c r="U5" s="493"/>
      <c r="V5" s="494"/>
      <c r="W5" s="495"/>
      <c r="X5" s="495">
        <v>400</v>
      </c>
      <c r="Y5" s="495"/>
      <c r="Z5" s="495"/>
      <c r="AA5" s="495"/>
      <c r="AB5" s="495"/>
      <c r="AC5" s="495"/>
      <c r="AD5" s="495"/>
      <c r="AE5" s="495"/>
      <c r="AF5" s="495"/>
      <c r="AG5" s="495"/>
      <c r="AH5" s="495"/>
      <c r="AI5" s="495"/>
      <c r="AJ5" s="496"/>
      <c r="AK5" s="497"/>
      <c r="AL5" s="498"/>
      <c r="AM5" s="498"/>
      <c r="AN5" s="498"/>
      <c r="AO5" s="498"/>
      <c r="AP5" s="498"/>
      <c r="AQ5" s="498"/>
      <c r="AR5" s="498"/>
      <c r="AS5" s="498"/>
      <c r="AT5" s="498"/>
      <c r="AU5" s="498"/>
      <c r="AV5" s="498"/>
      <c r="AW5" s="498"/>
      <c r="AX5" s="498"/>
      <c r="AY5" s="499"/>
      <c r="AZ5" s="500"/>
      <c r="BA5" s="501"/>
      <c r="BB5" s="501"/>
      <c r="BC5" s="501">
        <v>-45</v>
      </c>
      <c r="BD5" s="501"/>
      <c r="BE5" s="501"/>
      <c r="BF5" s="501"/>
      <c r="BG5" s="501"/>
      <c r="BH5" s="501"/>
      <c r="BI5" s="501"/>
      <c r="BJ5" s="501"/>
      <c r="BK5" s="501"/>
      <c r="BL5" s="501"/>
      <c r="BM5" s="501"/>
      <c r="BN5" s="502"/>
      <c r="BO5" s="488">
        <v>115</v>
      </c>
      <c r="BP5" s="503">
        <v>115</v>
      </c>
      <c r="BQ5" s="503">
        <v>-115</v>
      </c>
      <c r="BR5" s="503"/>
      <c r="BS5" s="503"/>
      <c r="BT5" s="503"/>
      <c r="BU5" s="503"/>
      <c r="BV5" s="503"/>
      <c r="BW5" s="503"/>
      <c r="BX5" s="503"/>
      <c r="BY5" s="503"/>
      <c r="BZ5" s="503"/>
      <c r="CA5" s="503"/>
      <c r="CB5" s="503"/>
      <c r="CC5" s="504"/>
      <c r="CD5" s="505" t="s">
        <v>580</v>
      </c>
      <c r="CE5" s="504"/>
      <c r="CF5" s="506" t="s">
        <v>553</v>
      </c>
      <c r="CG5" s="2">
        <f>IF(Imp_OK=_OK,ROW()-ROW(T_D_FIJOS[[#Headers],[N_Pb]]),IF(T_D_FIJOS[[#This Row],[IMPRIMIR]]="",0,COUNTA($CF$4:CF5)-1))</f>
        <v>1</v>
      </c>
      <c r="CH5"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1,51,51,5Emp.A400-45115115-115</v>
      </c>
    </row>
    <row r="6" spans="1:87" ht="43">
      <c r="A6" s="488">
        <f>ROW()-ROW(T_D_FIJOS[[#Headers],[Nº]])</f>
        <v>2</v>
      </c>
      <c r="B6" s="451" t="s">
        <v>784</v>
      </c>
      <c r="C6" s="489">
        <v>2</v>
      </c>
      <c r="D6" s="490">
        <v>2</v>
      </c>
      <c r="E6" s="490">
        <v>2</v>
      </c>
      <c r="F6" s="490">
        <v>1.5</v>
      </c>
      <c r="G6" s="490"/>
      <c r="H6" s="490"/>
      <c r="I6" s="490"/>
      <c r="J6" s="490"/>
      <c r="K6" s="490"/>
      <c r="L6" s="490"/>
      <c r="M6" s="490"/>
      <c r="N6" s="490"/>
      <c r="O6" s="490"/>
      <c r="P6" s="491"/>
      <c r="Q6" s="492">
        <v>90</v>
      </c>
      <c r="R6" s="363" t="s">
        <v>396</v>
      </c>
      <c r="S6" s="2" t="s">
        <v>12</v>
      </c>
      <c r="T6" s="2"/>
      <c r="U6" s="493"/>
      <c r="V6" s="494"/>
      <c r="W6" s="495"/>
      <c r="X6" s="495">
        <v>-500</v>
      </c>
      <c r="Y6" s="495"/>
      <c r="Z6" s="495">
        <v>-300</v>
      </c>
      <c r="AA6" s="495"/>
      <c r="AB6" s="495"/>
      <c r="AC6" s="495"/>
      <c r="AD6" s="495"/>
      <c r="AE6" s="495"/>
      <c r="AF6" s="495"/>
      <c r="AG6" s="495"/>
      <c r="AH6" s="495"/>
      <c r="AI6" s="495"/>
      <c r="AJ6" s="496"/>
      <c r="AK6" s="497"/>
      <c r="AL6" s="498">
        <v>50</v>
      </c>
      <c r="AM6" s="498"/>
      <c r="AN6" s="498"/>
      <c r="AO6" s="498"/>
      <c r="AP6" s="498"/>
      <c r="AQ6" s="498"/>
      <c r="AR6" s="498"/>
      <c r="AS6" s="498"/>
      <c r="AT6" s="498"/>
      <c r="AU6" s="498"/>
      <c r="AV6" s="498"/>
      <c r="AW6" s="498"/>
      <c r="AX6" s="498"/>
      <c r="AY6" s="499"/>
      <c r="AZ6" s="500"/>
      <c r="BA6" s="501"/>
      <c r="BB6" s="501"/>
      <c r="BC6" s="501">
        <v>-15</v>
      </c>
      <c r="BD6" s="501"/>
      <c r="BE6" s="501"/>
      <c r="BF6" s="501"/>
      <c r="BG6" s="501"/>
      <c r="BH6" s="501"/>
      <c r="BI6" s="501"/>
      <c r="BJ6" s="501"/>
      <c r="BK6" s="501"/>
      <c r="BL6" s="501"/>
      <c r="BM6" s="501"/>
      <c r="BN6" s="502"/>
      <c r="BO6" s="488"/>
      <c r="BP6" s="503"/>
      <c r="BQ6" s="503"/>
      <c r="BR6" s="503">
        <v>-65</v>
      </c>
      <c r="BS6" s="503"/>
      <c r="BT6" s="503"/>
      <c r="BU6" s="503"/>
      <c r="BV6" s="503"/>
      <c r="BW6" s="503"/>
      <c r="BX6" s="503"/>
      <c r="BY6" s="503"/>
      <c r="BZ6" s="503"/>
      <c r="CA6" s="503"/>
      <c r="CB6" s="503"/>
      <c r="CC6" s="504"/>
      <c r="CD6" s="505" t="s">
        <v>579</v>
      </c>
      <c r="CE6" s="504"/>
      <c r="CF6" s="506"/>
      <c r="CG6" s="508">
        <f>IF(Imp_OK=_OK,ROW()-ROW(T_D_FIJOS[[#Headers],[N_Pb]]),IF(T_D_FIJOS[[#This Row],[IMPRIMIR]]="",0,COUNTA($CF$4:CF6)-1))</f>
        <v>0</v>
      </c>
      <c r="CH6"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2221,590Emp.A-500-30050-15-65</v>
      </c>
    </row>
    <row r="7" spans="1:87" ht="43">
      <c r="A7" s="488">
        <f>ROW()-ROW(T_D_FIJOS[[#Headers],[Nº]])</f>
        <v>3</v>
      </c>
      <c r="B7" s="451" t="s">
        <v>785</v>
      </c>
      <c r="C7" s="489">
        <v>2</v>
      </c>
      <c r="D7" s="490">
        <v>2</v>
      </c>
      <c r="E7" s="490">
        <v>2</v>
      </c>
      <c r="F7" s="490">
        <v>2</v>
      </c>
      <c r="G7" s="490"/>
      <c r="H7" s="490"/>
      <c r="I7" s="490"/>
      <c r="J7" s="490"/>
      <c r="K7" s="490"/>
      <c r="L7" s="490"/>
      <c r="M7" s="490"/>
      <c r="N7" s="490"/>
      <c r="O7" s="490"/>
      <c r="P7" s="491"/>
      <c r="Q7" s="492">
        <v>45</v>
      </c>
      <c r="R7" s="363" t="s">
        <v>396</v>
      </c>
      <c r="S7" s="2" t="s">
        <v>12</v>
      </c>
      <c r="T7" s="2"/>
      <c r="U7" s="493"/>
      <c r="V7" s="494"/>
      <c r="W7" s="495"/>
      <c r="X7" s="495"/>
      <c r="Y7" s="495">
        <v>350</v>
      </c>
      <c r="Z7" s="495"/>
      <c r="AA7" s="495"/>
      <c r="AB7" s="495"/>
      <c r="AC7" s="495"/>
      <c r="AD7" s="495"/>
      <c r="AE7" s="495"/>
      <c r="AF7" s="495"/>
      <c r="AG7" s="495"/>
      <c r="AH7" s="495"/>
      <c r="AI7" s="495"/>
      <c r="AJ7" s="496"/>
      <c r="AK7" s="497"/>
      <c r="AL7" s="498"/>
      <c r="AM7" s="498"/>
      <c r="AN7" s="498"/>
      <c r="AO7" s="498">
        <v>-200</v>
      </c>
      <c r="AP7" s="498"/>
      <c r="AQ7" s="498"/>
      <c r="AR7" s="498"/>
      <c r="AS7" s="498"/>
      <c r="AT7" s="498"/>
      <c r="AU7" s="498"/>
      <c r="AV7" s="498"/>
      <c r="AW7" s="498"/>
      <c r="AX7" s="498"/>
      <c r="AY7" s="499"/>
      <c r="AZ7" s="500"/>
      <c r="BA7" s="501"/>
      <c r="BB7" s="501">
        <v>35</v>
      </c>
      <c r="BC7" s="501"/>
      <c r="BD7" s="501"/>
      <c r="BE7" s="501"/>
      <c r="BF7" s="501"/>
      <c r="BG7" s="501"/>
      <c r="BH7" s="501"/>
      <c r="BI7" s="501"/>
      <c r="BJ7" s="501"/>
      <c r="BK7" s="501"/>
      <c r="BL7" s="501"/>
      <c r="BM7" s="501"/>
      <c r="BN7" s="502"/>
      <c r="BO7" s="488"/>
      <c r="BP7" s="503"/>
      <c r="BQ7" s="503">
        <v>45</v>
      </c>
      <c r="BR7" s="503">
        <v>45</v>
      </c>
      <c r="BS7" s="503"/>
      <c r="BT7" s="503"/>
      <c r="BU7" s="503"/>
      <c r="BV7" s="503"/>
      <c r="BW7" s="503"/>
      <c r="BX7" s="503"/>
      <c r="BY7" s="503"/>
      <c r="BZ7" s="503"/>
      <c r="CA7" s="503"/>
      <c r="CB7" s="503"/>
      <c r="CC7" s="504"/>
      <c r="CD7" s="505" t="s">
        <v>581</v>
      </c>
      <c r="CE7" s="504"/>
      <c r="CF7" s="506"/>
      <c r="CG7" s="508">
        <f>IF(Imp_OK=_OK,ROW()-ROW(T_D_FIJOS[[#Headers],[N_Pb]]),IF(T_D_FIJOS[[#This Row],[IMPRIMIR]]="",0,COUNTA($CF$4:CF7)-1))</f>
        <v>0</v>
      </c>
      <c r="CH7"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222245Emp.A350-200354545</v>
      </c>
    </row>
    <row r="8" spans="1:87" ht="28.7">
      <c r="A8" s="488">
        <f>ROW()-ROW(T_D_FIJOS[[#Headers],[Nº]])</f>
        <v>4</v>
      </c>
      <c r="B8" s="451" t="s">
        <v>786</v>
      </c>
      <c r="C8" s="489"/>
      <c r="D8" s="490"/>
      <c r="E8" s="490"/>
      <c r="F8" s="490"/>
      <c r="G8" s="490">
        <v>2.5</v>
      </c>
      <c r="H8" s="490">
        <v>2.5</v>
      </c>
      <c r="I8" s="490">
        <v>2.5</v>
      </c>
      <c r="J8" s="490">
        <v>2.5</v>
      </c>
      <c r="K8" s="490"/>
      <c r="L8" s="490"/>
      <c r="M8" s="490"/>
      <c r="N8" s="490"/>
      <c r="O8" s="490"/>
      <c r="P8" s="491"/>
      <c r="Q8" s="492"/>
      <c r="R8" s="363" t="s">
        <v>397</v>
      </c>
      <c r="S8" s="2" t="s">
        <v>38</v>
      </c>
      <c r="T8" s="2" t="s">
        <v>412</v>
      </c>
      <c r="U8" s="493"/>
      <c r="V8" s="494"/>
      <c r="W8" s="495"/>
      <c r="X8" s="495"/>
      <c r="Y8" s="495"/>
      <c r="Z8" s="495"/>
      <c r="AA8" s="495">
        <v>-250</v>
      </c>
      <c r="AB8" s="495"/>
      <c r="AC8" s="495"/>
      <c r="AD8" s="495"/>
      <c r="AE8" s="495"/>
      <c r="AF8" s="495"/>
      <c r="AG8" s="495"/>
      <c r="AH8" s="495"/>
      <c r="AI8" s="495"/>
      <c r="AJ8" s="496"/>
      <c r="AK8" s="497"/>
      <c r="AL8" s="498"/>
      <c r="AM8" s="498"/>
      <c r="AN8" s="498"/>
      <c r="AO8" s="498"/>
      <c r="AP8" s="498"/>
      <c r="AQ8" s="498">
        <v>150</v>
      </c>
      <c r="AR8" s="498"/>
      <c r="AS8" s="498"/>
      <c r="AT8" s="498"/>
      <c r="AU8" s="498"/>
      <c r="AV8" s="498"/>
      <c r="AW8" s="498"/>
      <c r="AX8" s="498"/>
      <c r="AY8" s="499"/>
      <c r="AZ8" s="500"/>
      <c r="BA8" s="501"/>
      <c r="BB8" s="501"/>
      <c r="BC8" s="501"/>
      <c r="BD8" s="501"/>
      <c r="BE8" s="501">
        <v>-30</v>
      </c>
      <c r="BF8" s="501"/>
      <c r="BG8" s="501"/>
      <c r="BH8" s="501"/>
      <c r="BI8" s="501"/>
      <c r="BJ8" s="501"/>
      <c r="BK8" s="501"/>
      <c r="BL8" s="501"/>
      <c r="BM8" s="501"/>
      <c r="BN8" s="502"/>
      <c r="BO8" s="488"/>
      <c r="BP8" s="503"/>
      <c r="BQ8" s="503"/>
      <c r="BR8" s="503"/>
      <c r="BS8" s="503"/>
      <c r="BT8" s="503"/>
      <c r="BU8" s="503"/>
      <c r="BV8" s="503"/>
      <c r="BW8" s="503"/>
      <c r="BX8" s="503"/>
      <c r="BY8" s="503"/>
      <c r="BZ8" s="503"/>
      <c r="CA8" s="503"/>
      <c r="CB8" s="503"/>
      <c r="CC8" s="504"/>
      <c r="CD8" s="505" t="s">
        <v>589</v>
      </c>
      <c r="CE8" s="504"/>
      <c r="CF8" s="506" t="s">
        <v>553</v>
      </c>
      <c r="CG8" s="508">
        <f>IF(Imp_OK=_OK,ROW()-ROW(T_D_FIJOS[[#Headers],[N_Pb]]),IF(T_D_FIJOS[[#This Row],[IMPRIMIR]]="",0,COUNTA($CF$4:CF8)-1))</f>
        <v>2</v>
      </c>
      <c r="CH8"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2,52,52,52,5A FijoEI-250150-30</v>
      </c>
    </row>
    <row r="9" spans="1:87" ht="28.7">
      <c r="A9" s="488">
        <f>ROW()-ROW(T_D_FIJOS[[#Headers],[Nº]])</f>
        <v>5</v>
      </c>
      <c r="B9" s="451" t="s">
        <v>787</v>
      </c>
      <c r="C9" s="489"/>
      <c r="D9" s="490"/>
      <c r="E9" s="490"/>
      <c r="F9" s="490"/>
      <c r="G9" s="490">
        <v>2.5</v>
      </c>
      <c r="H9" s="490">
        <v>2.5</v>
      </c>
      <c r="I9" s="490">
        <v>2.5</v>
      </c>
      <c r="J9" s="490">
        <v>2.5</v>
      </c>
      <c r="K9" s="490"/>
      <c r="L9" s="490"/>
      <c r="M9" s="490"/>
      <c r="N9" s="490"/>
      <c r="O9" s="490"/>
      <c r="P9" s="491"/>
      <c r="Q9" s="492"/>
      <c r="R9" s="363" t="s">
        <v>397</v>
      </c>
      <c r="S9" s="2" t="s">
        <v>412</v>
      </c>
      <c r="T9" s="2" t="s">
        <v>38</v>
      </c>
      <c r="U9" s="493"/>
      <c r="V9" s="494"/>
      <c r="W9" s="495"/>
      <c r="X9" s="495"/>
      <c r="Y9" s="495"/>
      <c r="Z9" s="495"/>
      <c r="AA9" s="495"/>
      <c r="AB9" s="495"/>
      <c r="AC9" s="495">
        <v>-200</v>
      </c>
      <c r="AD9" s="495"/>
      <c r="AE9" s="495"/>
      <c r="AF9" s="495"/>
      <c r="AG9" s="495"/>
      <c r="AH9" s="495"/>
      <c r="AI9" s="495"/>
      <c r="AJ9" s="496"/>
      <c r="AK9" s="497"/>
      <c r="AL9" s="498"/>
      <c r="AM9" s="498"/>
      <c r="AN9" s="498"/>
      <c r="AO9" s="498"/>
      <c r="AP9" s="498"/>
      <c r="AQ9" s="498"/>
      <c r="AR9" s="498"/>
      <c r="AS9" s="498"/>
      <c r="AT9" s="498"/>
      <c r="AU9" s="498"/>
      <c r="AV9" s="498"/>
      <c r="AW9" s="498"/>
      <c r="AX9" s="498"/>
      <c r="AY9" s="499"/>
      <c r="AZ9" s="500"/>
      <c r="BA9" s="501"/>
      <c r="BB9" s="501"/>
      <c r="BC9" s="501"/>
      <c r="BD9" s="501"/>
      <c r="BE9" s="501"/>
      <c r="BF9" s="501">
        <v>-10</v>
      </c>
      <c r="BG9" s="501"/>
      <c r="BH9" s="501"/>
      <c r="BI9" s="501"/>
      <c r="BJ9" s="501"/>
      <c r="BK9" s="501"/>
      <c r="BL9" s="501"/>
      <c r="BM9" s="501"/>
      <c r="BN9" s="502"/>
      <c r="BO9" s="488"/>
      <c r="BP9" s="503"/>
      <c r="BQ9" s="503"/>
      <c r="BR9" s="503"/>
      <c r="BS9" s="503"/>
      <c r="BT9" s="503"/>
      <c r="BU9" s="503"/>
      <c r="BV9" s="503"/>
      <c r="BW9" s="503"/>
      <c r="BX9" s="503"/>
      <c r="BY9" s="503"/>
      <c r="BZ9" s="503"/>
      <c r="CA9" s="503"/>
      <c r="CB9" s="503"/>
      <c r="CC9" s="504"/>
      <c r="CD9" s="505" t="s">
        <v>584</v>
      </c>
      <c r="CE9" s="504"/>
      <c r="CF9" s="506"/>
      <c r="CG9" s="508">
        <f>IF(Imp_OK=_OK,ROW()-ROW(T_D_FIJOS[[#Headers],[N_Pb]]),IF(T_D_FIJOS[[#This Row],[IMPRIMIR]]="",0,COUNTA($CF$4:CF9)-1))</f>
        <v>0</v>
      </c>
      <c r="CH9"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2,52,52,52,5A FijoIE-200-10</v>
      </c>
    </row>
    <row r="10" spans="1:87" ht="28.7">
      <c r="A10" s="488">
        <f>ROW()-ROW(T_D_FIJOS[[#Headers],[Nº]])</f>
        <v>6</v>
      </c>
      <c r="B10" s="451" t="s">
        <v>788</v>
      </c>
      <c r="C10" s="489"/>
      <c r="D10" s="490"/>
      <c r="E10" s="490"/>
      <c r="F10" s="490"/>
      <c r="G10" s="490">
        <v>0.5</v>
      </c>
      <c r="H10" s="490">
        <v>0.5</v>
      </c>
      <c r="I10" s="490">
        <v>0.5</v>
      </c>
      <c r="J10" s="490">
        <v>2</v>
      </c>
      <c r="K10" s="490"/>
      <c r="L10" s="490"/>
      <c r="M10" s="490"/>
      <c r="N10" s="490"/>
      <c r="O10" s="490"/>
      <c r="P10" s="491"/>
      <c r="Q10" s="492"/>
      <c r="R10" s="363" t="s">
        <v>397</v>
      </c>
      <c r="S10" s="2" t="s">
        <v>38</v>
      </c>
      <c r="T10" s="2" t="s">
        <v>40</v>
      </c>
      <c r="U10" s="493"/>
      <c r="V10" s="494"/>
      <c r="W10" s="495"/>
      <c r="X10" s="495"/>
      <c r="Y10" s="495"/>
      <c r="Z10" s="495"/>
      <c r="AA10" s="495">
        <v>-250</v>
      </c>
      <c r="AB10" s="495"/>
      <c r="AC10" s="495"/>
      <c r="AD10" s="495">
        <v>-400</v>
      </c>
      <c r="AE10" s="495"/>
      <c r="AF10" s="495"/>
      <c r="AG10" s="495"/>
      <c r="AH10" s="495"/>
      <c r="AI10" s="495"/>
      <c r="AJ10" s="496"/>
      <c r="AK10" s="497"/>
      <c r="AL10" s="498"/>
      <c r="AM10" s="498"/>
      <c r="AN10" s="498"/>
      <c r="AO10" s="498"/>
      <c r="AP10" s="498"/>
      <c r="AQ10" s="498">
        <v>50</v>
      </c>
      <c r="AR10" s="498"/>
      <c r="AS10" s="498"/>
      <c r="AT10" s="498"/>
      <c r="AU10" s="498"/>
      <c r="AV10" s="498"/>
      <c r="AW10" s="498"/>
      <c r="AX10" s="498"/>
      <c r="AY10" s="499"/>
      <c r="AZ10" s="500"/>
      <c r="BA10" s="501"/>
      <c r="BB10" s="501"/>
      <c r="BC10" s="501"/>
      <c r="BD10" s="501"/>
      <c r="BE10" s="501"/>
      <c r="BF10" s="501"/>
      <c r="BG10" s="501"/>
      <c r="BH10" s="501"/>
      <c r="BI10" s="501"/>
      <c r="BJ10" s="501"/>
      <c r="BK10" s="501"/>
      <c r="BL10" s="501"/>
      <c r="BM10" s="501"/>
      <c r="BN10" s="502"/>
      <c r="BO10" s="488"/>
      <c r="BP10" s="503"/>
      <c r="BQ10" s="503"/>
      <c r="BR10" s="503"/>
      <c r="BS10" s="503"/>
      <c r="BT10" s="503">
        <v>-75</v>
      </c>
      <c r="BU10" s="503">
        <v>-75</v>
      </c>
      <c r="BV10" s="503">
        <v>-75</v>
      </c>
      <c r="BW10" s="503">
        <v>-75</v>
      </c>
      <c r="BX10" s="503"/>
      <c r="BY10" s="503"/>
      <c r="BZ10" s="503"/>
      <c r="CA10" s="503"/>
      <c r="CB10" s="503"/>
      <c r="CC10" s="504"/>
      <c r="CD10" s="505" t="s">
        <v>616</v>
      </c>
      <c r="CE10" s="504"/>
      <c r="CF10" s="506"/>
      <c r="CG10" s="508">
        <f>IF(Imp_OK=_OK,ROW()-ROW(T_D_FIJOS[[#Headers],[N_Pb]]),IF(T_D_FIJOS[[#This Row],[IMPRIMIR]]="",0,COUNTA($CF$4:CF10)-1))</f>
        <v>0</v>
      </c>
      <c r="CH10"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0,50,50,52A FijoEH-250-40050-75-75-75-75</v>
      </c>
    </row>
    <row r="11" spans="1:87" ht="28.7">
      <c r="A11" s="488">
        <f>ROW()-ROW(T_D_FIJOS[[#Headers],[Nº]])</f>
        <v>7</v>
      </c>
      <c r="B11" s="451" t="s">
        <v>789</v>
      </c>
      <c r="C11" s="489"/>
      <c r="D11" s="490"/>
      <c r="E11" s="490"/>
      <c r="F11" s="490"/>
      <c r="G11" s="490">
        <v>1.5</v>
      </c>
      <c r="H11" s="490">
        <v>1.5</v>
      </c>
      <c r="I11" s="490">
        <v>1.5</v>
      </c>
      <c r="J11" s="490">
        <v>1.5</v>
      </c>
      <c r="K11" s="490"/>
      <c r="L11" s="490"/>
      <c r="M11" s="490"/>
      <c r="N11" s="490"/>
      <c r="O11" s="490"/>
      <c r="P11" s="491"/>
      <c r="Q11" s="492"/>
      <c r="R11" s="363" t="s">
        <v>397</v>
      </c>
      <c r="S11" s="2" t="s">
        <v>40</v>
      </c>
      <c r="T11" s="2" t="s">
        <v>38</v>
      </c>
      <c r="U11" s="493"/>
      <c r="V11" s="494"/>
      <c r="W11" s="495"/>
      <c r="X11" s="495"/>
      <c r="Y11" s="495"/>
      <c r="Z11" s="495"/>
      <c r="AA11" s="495">
        <v>-450</v>
      </c>
      <c r="AB11" s="495"/>
      <c r="AC11" s="495"/>
      <c r="AD11" s="495"/>
      <c r="AE11" s="495"/>
      <c r="AF11" s="495"/>
      <c r="AG11" s="495"/>
      <c r="AH11" s="495"/>
      <c r="AI11" s="495"/>
      <c r="AJ11" s="496"/>
      <c r="AK11" s="497"/>
      <c r="AL11" s="498"/>
      <c r="AM11" s="498"/>
      <c r="AN11" s="498"/>
      <c r="AO11" s="498"/>
      <c r="AP11" s="498"/>
      <c r="AQ11" s="498">
        <v>150</v>
      </c>
      <c r="AR11" s="498"/>
      <c r="AS11" s="498"/>
      <c r="AT11" s="498"/>
      <c r="AU11" s="498"/>
      <c r="AV11" s="498"/>
      <c r="AW11" s="498"/>
      <c r="AX11" s="498"/>
      <c r="AY11" s="499"/>
      <c r="AZ11" s="500"/>
      <c r="BA11" s="501"/>
      <c r="BB11" s="501"/>
      <c r="BC11" s="501"/>
      <c r="BD11" s="501"/>
      <c r="BE11" s="501"/>
      <c r="BF11" s="501"/>
      <c r="BG11" s="501"/>
      <c r="BH11" s="501">
        <v>45</v>
      </c>
      <c r="BI11" s="501"/>
      <c r="BJ11" s="501"/>
      <c r="BK11" s="501"/>
      <c r="BL11" s="501"/>
      <c r="BM11" s="501"/>
      <c r="BN11" s="502"/>
      <c r="BO11" s="488"/>
      <c r="BP11" s="503"/>
      <c r="BQ11" s="503"/>
      <c r="BR11" s="503"/>
      <c r="BS11" s="503"/>
      <c r="BT11" s="503">
        <v>85</v>
      </c>
      <c r="BU11" s="503">
        <v>85</v>
      </c>
      <c r="BV11" s="503">
        <v>85</v>
      </c>
      <c r="BW11" s="503">
        <v>-85</v>
      </c>
      <c r="BX11" s="503"/>
      <c r="BY11" s="503"/>
      <c r="BZ11" s="503"/>
      <c r="CA11" s="503"/>
      <c r="CB11" s="503"/>
      <c r="CC11" s="504"/>
      <c r="CD11" s="505" t="s">
        <v>617</v>
      </c>
      <c r="CE11" s="504"/>
      <c r="CF11" s="506"/>
      <c r="CG11" s="508">
        <f>IF(Imp_OK=_OK,ROW()-ROW(T_D_FIJOS[[#Headers],[N_Pb]]),IF(T_D_FIJOS[[#This Row],[IMPRIMIR]]="",0,COUNTA($CF$4:CF11)-1))</f>
        <v>0</v>
      </c>
      <c r="CH11"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1,51,51,51,5A FijoHE-45015045858585-85</v>
      </c>
    </row>
    <row r="12" spans="1:87" ht="28.7">
      <c r="A12" s="488">
        <f>ROW()-ROW(T_D_FIJOS[[#Headers],[Nº]])</f>
        <v>8</v>
      </c>
      <c r="B12" s="451" t="s">
        <v>790</v>
      </c>
      <c r="C12" s="489"/>
      <c r="D12" s="490"/>
      <c r="E12" s="490"/>
      <c r="F12" s="490">
        <v>1</v>
      </c>
      <c r="G12" s="490">
        <v>2.5</v>
      </c>
      <c r="H12" s="490">
        <v>2.5</v>
      </c>
      <c r="I12" s="490">
        <v>2.5</v>
      </c>
      <c r="J12" s="490">
        <v>1</v>
      </c>
      <c r="K12" s="490"/>
      <c r="L12" s="490"/>
      <c r="M12" s="490"/>
      <c r="N12" s="490"/>
      <c r="O12" s="490"/>
      <c r="P12" s="491"/>
      <c r="Q12" s="492"/>
      <c r="R12" s="363" t="s">
        <v>397</v>
      </c>
      <c r="S12" s="2" t="s">
        <v>38</v>
      </c>
      <c r="T12" s="2" t="s">
        <v>40</v>
      </c>
      <c r="U12" s="493"/>
      <c r="V12" s="494"/>
      <c r="W12" s="495"/>
      <c r="X12" s="495"/>
      <c r="Y12" s="495"/>
      <c r="Z12" s="495"/>
      <c r="AA12" s="495">
        <v>-50</v>
      </c>
      <c r="AB12" s="495"/>
      <c r="AC12" s="495"/>
      <c r="AD12" s="495"/>
      <c r="AE12" s="495"/>
      <c r="AF12" s="495"/>
      <c r="AG12" s="495"/>
      <c r="AH12" s="495"/>
      <c r="AI12" s="495"/>
      <c r="AJ12" s="496"/>
      <c r="AK12" s="497"/>
      <c r="AL12" s="498"/>
      <c r="AM12" s="498"/>
      <c r="AN12" s="498">
        <v>-150</v>
      </c>
      <c r="AO12" s="498"/>
      <c r="AP12" s="498"/>
      <c r="AQ12" s="498"/>
      <c r="AR12" s="498"/>
      <c r="AS12" s="498">
        <v>-100</v>
      </c>
      <c r="AT12" s="498"/>
      <c r="AU12" s="498"/>
      <c r="AV12" s="498"/>
      <c r="AW12" s="498"/>
      <c r="AX12" s="498"/>
      <c r="AY12" s="499"/>
      <c r="AZ12" s="500"/>
      <c r="BA12" s="501"/>
      <c r="BB12" s="501"/>
      <c r="BC12" s="501"/>
      <c r="BD12" s="501"/>
      <c r="BE12" s="501">
        <v>-25</v>
      </c>
      <c r="BF12" s="501"/>
      <c r="BG12" s="501"/>
      <c r="BH12" s="501"/>
      <c r="BI12" s="501"/>
      <c r="BJ12" s="501"/>
      <c r="BK12" s="501"/>
      <c r="BL12" s="501"/>
      <c r="BM12" s="501"/>
      <c r="BN12" s="502"/>
      <c r="BO12" s="488"/>
      <c r="BP12" s="503"/>
      <c r="BQ12" s="503"/>
      <c r="BR12" s="503"/>
      <c r="BS12" s="503"/>
      <c r="BT12" s="503"/>
      <c r="BU12" s="503"/>
      <c r="BV12" s="503"/>
      <c r="BW12" s="503"/>
      <c r="BX12" s="503"/>
      <c r="BY12" s="503"/>
      <c r="BZ12" s="503"/>
      <c r="CA12" s="503"/>
      <c r="CB12" s="503"/>
      <c r="CC12" s="504"/>
      <c r="CD12" s="505" t="s">
        <v>618</v>
      </c>
      <c r="CE12" s="504"/>
      <c r="CF12" s="506"/>
      <c r="CG12" s="508">
        <f>IF(Imp_OK=_OK,ROW()-ROW(T_D_FIJOS[[#Headers],[N_Pb]]),IF(T_D_FIJOS[[#This Row],[IMPRIMIR]]="",0,COUNTA($CF$4:CF12)-1))</f>
        <v>0</v>
      </c>
      <c r="CH12"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12,52,52,51A FijoEH-50-150-100-25</v>
      </c>
    </row>
    <row r="13" spans="1:87" ht="43">
      <c r="A13" s="488">
        <f>ROW()-ROW(T_D_FIJOS[[#Headers],[Nº]])</f>
        <v>9</v>
      </c>
      <c r="B13" s="451" t="s">
        <v>791</v>
      </c>
      <c r="C13" s="489"/>
      <c r="D13" s="490"/>
      <c r="E13" s="490"/>
      <c r="F13" s="490">
        <v>2</v>
      </c>
      <c r="G13" s="490">
        <v>1.5</v>
      </c>
      <c r="H13" s="490">
        <v>1.5</v>
      </c>
      <c r="I13" s="490">
        <v>1.5</v>
      </c>
      <c r="J13" s="490">
        <v>2</v>
      </c>
      <c r="K13" s="490"/>
      <c r="L13" s="490"/>
      <c r="M13" s="490"/>
      <c r="N13" s="490"/>
      <c r="O13" s="490"/>
      <c r="P13" s="491"/>
      <c r="Q13" s="492"/>
      <c r="R13" s="363" t="s">
        <v>397</v>
      </c>
      <c r="S13" s="2" t="s">
        <v>40</v>
      </c>
      <c r="T13" s="2" t="s">
        <v>38</v>
      </c>
      <c r="U13" s="493"/>
      <c r="V13" s="494"/>
      <c r="W13" s="495"/>
      <c r="X13" s="495"/>
      <c r="Y13" s="495"/>
      <c r="Z13" s="495"/>
      <c r="AA13" s="495"/>
      <c r="AB13" s="495"/>
      <c r="AC13" s="495"/>
      <c r="AD13" s="495">
        <v>-150</v>
      </c>
      <c r="AE13" s="495"/>
      <c r="AF13" s="495"/>
      <c r="AG13" s="495"/>
      <c r="AH13" s="495"/>
      <c r="AI13" s="495"/>
      <c r="AJ13" s="496"/>
      <c r="AK13" s="497"/>
      <c r="AL13" s="498"/>
      <c r="AM13" s="498"/>
      <c r="AN13" s="498"/>
      <c r="AO13" s="498"/>
      <c r="AP13" s="498">
        <v>50</v>
      </c>
      <c r="AQ13" s="498"/>
      <c r="AR13" s="498"/>
      <c r="AS13" s="498"/>
      <c r="AT13" s="498"/>
      <c r="AU13" s="498"/>
      <c r="AV13" s="498"/>
      <c r="AW13" s="498"/>
      <c r="AX13" s="498"/>
      <c r="AY13" s="499"/>
      <c r="AZ13" s="500"/>
      <c r="BA13" s="501"/>
      <c r="BB13" s="501"/>
      <c r="BC13" s="501">
        <v>35</v>
      </c>
      <c r="BD13" s="501"/>
      <c r="BE13" s="501"/>
      <c r="BF13" s="501">
        <v>5</v>
      </c>
      <c r="BG13" s="501"/>
      <c r="BH13" s="501"/>
      <c r="BI13" s="501"/>
      <c r="BJ13" s="501"/>
      <c r="BK13" s="501"/>
      <c r="BL13" s="501"/>
      <c r="BM13" s="501"/>
      <c r="BN13" s="502"/>
      <c r="BO13" s="488"/>
      <c r="BP13" s="503"/>
      <c r="BQ13" s="503"/>
      <c r="BR13" s="503">
        <v>90</v>
      </c>
      <c r="BS13" s="503"/>
      <c r="BT13" s="503"/>
      <c r="BU13" s="503"/>
      <c r="BV13" s="503"/>
      <c r="BW13" s="503">
        <v>90</v>
      </c>
      <c r="BX13" s="503"/>
      <c r="BY13" s="503"/>
      <c r="BZ13" s="503"/>
      <c r="CA13" s="503"/>
      <c r="CB13" s="503"/>
      <c r="CC13" s="504"/>
      <c r="CD13" s="505" t="s">
        <v>750</v>
      </c>
      <c r="CE13" s="504"/>
      <c r="CF13" s="506"/>
      <c r="CG13" s="508">
        <f>IF(Imp_OK=_OK,ROW()-ROW(T_D_FIJOS[[#Headers],[N_Pb]]),IF(T_D_FIJOS[[#This Row],[IMPRIMIR]]="",0,COUNTA($CF$4:CF13)-1))</f>
        <v>0</v>
      </c>
      <c r="CH13"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21,51,51,52A FijoHE-150503559090</v>
      </c>
    </row>
    <row r="14" spans="1:87" ht="28.7">
      <c r="A14" s="488">
        <f>ROW()-ROW(T_D_FIJOS[[#Headers],[Nº]])</f>
        <v>10</v>
      </c>
      <c r="B14" s="451" t="s">
        <v>792</v>
      </c>
      <c r="C14" s="489"/>
      <c r="D14" s="490"/>
      <c r="E14" s="490"/>
      <c r="F14" s="490"/>
      <c r="G14" s="490">
        <v>1</v>
      </c>
      <c r="H14" s="490">
        <v>1</v>
      </c>
      <c r="I14" s="490">
        <v>1</v>
      </c>
      <c r="J14" s="490">
        <v>1</v>
      </c>
      <c r="K14" s="490"/>
      <c r="L14" s="490"/>
      <c r="M14" s="490"/>
      <c r="N14" s="490"/>
      <c r="O14" s="490"/>
      <c r="P14" s="491"/>
      <c r="Q14" s="492"/>
      <c r="R14" s="363" t="s">
        <v>396</v>
      </c>
      <c r="S14" s="2" t="s">
        <v>38</v>
      </c>
      <c r="T14" s="2"/>
      <c r="U14" s="493"/>
      <c r="V14" s="494"/>
      <c r="W14" s="495"/>
      <c r="X14" s="495"/>
      <c r="Y14" s="495"/>
      <c r="Z14" s="495"/>
      <c r="AA14" s="495">
        <v>-300</v>
      </c>
      <c r="AB14" s="495"/>
      <c r="AC14" s="495">
        <v>-300</v>
      </c>
      <c r="AD14" s="495"/>
      <c r="AE14" s="495"/>
      <c r="AF14" s="495"/>
      <c r="AG14" s="495"/>
      <c r="AH14" s="495"/>
      <c r="AI14" s="495"/>
      <c r="AJ14" s="496"/>
      <c r="AK14" s="497"/>
      <c r="AL14" s="498"/>
      <c r="AM14" s="498"/>
      <c r="AN14" s="498"/>
      <c r="AO14" s="498"/>
      <c r="AP14" s="498"/>
      <c r="AQ14" s="498"/>
      <c r="AR14" s="498">
        <v>-150</v>
      </c>
      <c r="AS14" s="498"/>
      <c r="AT14" s="498"/>
      <c r="AU14" s="498"/>
      <c r="AV14" s="498"/>
      <c r="AW14" s="498"/>
      <c r="AX14" s="498"/>
      <c r="AY14" s="499"/>
      <c r="AZ14" s="500"/>
      <c r="BA14" s="501"/>
      <c r="BB14" s="501"/>
      <c r="BC14" s="501"/>
      <c r="BD14" s="501"/>
      <c r="BE14" s="501">
        <v>10</v>
      </c>
      <c r="BF14" s="501"/>
      <c r="BG14" s="501"/>
      <c r="BH14" s="501"/>
      <c r="BI14" s="501"/>
      <c r="BJ14" s="501"/>
      <c r="BK14" s="501"/>
      <c r="BL14" s="501"/>
      <c r="BM14" s="501"/>
      <c r="BN14" s="502"/>
      <c r="BO14" s="488"/>
      <c r="BP14" s="503"/>
      <c r="BQ14" s="503"/>
      <c r="BR14" s="503"/>
      <c r="BS14" s="503"/>
      <c r="BT14" s="503"/>
      <c r="BU14" s="503"/>
      <c r="BV14" s="503"/>
      <c r="BW14" s="503"/>
      <c r="BX14" s="503"/>
      <c r="BY14" s="503"/>
      <c r="BZ14" s="503"/>
      <c r="CA14" s="503"/>
      <c r="CB14" s="503"/>
      <c r="CC14" s="504"/>
      <c r="CD14" s="505" t="s">
        <v>585</v>
      </c>
      <c r="CE14" s="504"/>
      <c r="CF14" s="506"/>
      <c r="CG14" s="508">
        <f>IF(Imp_OK=_OK,ROW()-ROW(T_D_FIJOS[[#Headers],[N_Pb]]),IF(T_D_FIJOS[[#This Row],[IMPRIMIR]]="",0,COUNTA($CF$4:CF14)-1))</f>
        <v>0</v>
      </c>
      <c r="CH14"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1111Emp.E-300-300-15010</v>
      </c>
    </row>
    <row r="15" spans="1:87" ht="28.7">
      <c r="A15" s="488">
        <f>ROW()-ROW(T_D_FIJOS[[#Headers],[Nº]])</f>
        <v>11</v>
      </c>
      <c r="B15" s="451" t="s">
        <v>793</v>
      </c>
      <c r="C15" s="489"/>
      <c r="D15" s="490"/>
      <c r="E15" s="490"/>
      <c r="F15" s="490"/>
      <c r="G15" s="490">
        <v>1.5</v>
      </c>
      <c r="H15" s="490">
        <v>1.5</v>
      </c>
      <c r="I15" s="490">
        <v>1.5</v>
      </c>
      <c r="J15" s="490">
        <v>1.5</v>
      </c>
      <c r="K15" s="490"/>
      <c r="L15" s="490"/>
      <c r="M15" s="490"/>
      <c r="N15" s="490"/>
      <c r="O15" s="490"/>
      <c r="P15" s="491"/>
      <c r="Q15" s="492"/>
      <c r="R15" s="363" t="s">
        <v>396</v>
      </c>
      <c r="S15" s="2" t="s">
        <v>412</v>
      </c>
      <c r="T15" s="2"/>
      <c r="U15" s="493"/>
      <c r="V15" s="494"/>
      <c r="W15" s="495"/>
      <c r="X15" s="495"/>
      <c r="Y15" s="495"/>
      <c r="Z15" s="495"/>
      <c r="AA15" s="495"/>
      <c r="AB15" s="495">
        <v>200</v>
      </c>
      <c r="AC15" s="495"/>
      <c r="AD15" s="495"/>
      <c r="AE15" s="495"/>
      <c r="AF15" s="495"/>
      <c r="AG15" s="495"/>
      <c r="AH15" s="495"/>
      <c r="AI15" s="495"/>
      <c r="AJ15" s="496"/>
      <c r="AK15" s="497"/>
      <c r="AL15" s="498"/>
      <c r="AM15" s="498"/>
      <c r="AN15" s="498"/>
      <c r="AO15" s="498">
        <v>200</v>
      </c>
      <c r="AP15" s="498"/>
      <c r="AQ15" s="498"/>
      <c r="AR15" s="498">
        <v>100</v>
      </c>
      <c r="AS15" s="498"/>
      <c r="AT15" s="498"/>
      <c r="AU15" s="498"/>
      <c r="AV15" s="498"/>
      <c r="AW15" s="498"/>
      <c r="AX15" s="498"/>
      <c r="AY15" s="499"/>
      <c r="AZ15" s="500"/>
      <c r="BA15" s="501"/>
      <c r="BB15" s="501"/>
      <c r="BC15" s="501"/>
      <c r="BD15" s="501"/>
      <c r="BE15" s="501">
        <v>20</v>
      </c>
      <c r="BF15" s="501"/>
      <c r="BG15" s="501"/>
      <c r="BH15" s="501"/>
      <c r="BI15" s="501"/>
      <c r="BJ15" s="501"/>
      <c r="BK15" s="501"/>
      <c r="BL15" s="501"/>
      <c r="BM15" s="501"/>
      <c r="BN15" s="502"/>
      <c r="BO15" s="488"/>
      <c r="BP15" s="503"/>
      <c r="BQ15" s="503"/>
      <c r="BR15" s="503"/>
      <c r="BS15" s="503"/>
      <c r="BT15" s="503"/>
      <c r="BU15" s="503"/>
      <c r="BV15" s="503"/>
      <c r="BW15" s="503"/>
      <c r="BX15" s="503"/>
      <c r="BY15" s="503"/>
      <c r="BZ15" s="503"/>
      <c r="CA15" s="503"/>
      <c r="CB15" s="503"/>
      <c r="CC15" s="504"/>
      <c r="CD15" s="505" t="s">
        <v>590</v>
      </c>
      <c r="CE15" s="504"/>
      <c r="CF15" s="506"/>
      <c r="CG15" s="508">
        <f>IF(Imp_OK=_OK,ROW()-ROW(T_D_FIJOS[[#Headers],[N_Pb]]),IF(T_D_FIJOS[[#This Row],[IMPRIMIR]]="",0,COUNTA($CF$4:CF15)-1))</f>
        <v>0</v>
      </c>
      <c r="CH15"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1,51,51,51,5Emp.I20020010020</v>
      </c>
    </row>
    <row r="16" spans="1:87" ht="28.7">
      <c r="A16" s="488">
        <f>ROW()-ROW(T_D_FIJOS[[#Headers],[Nº]])</f>
        <v>12</v>
      </c>
      <c r="B16" s="451" t="s">
        <v>794</v>
      </c>
      <c r="C16" s="489"/>
      <c r="D16" s="490"/>
      <c r="E16" s="490">
        <v>2.5</v>
      </c>
      <c r="F16" s="490">
        <v>4.3301270189221936</v>
      </c>
      <c r="G16" s="490"/>
      <c r="H16" s="490"/>
      <c r="I16" s="490"/>
      <c r="J16" s="490"/>
      <c r="K16" s="490"/>
      <c r="L16" s="490"/>
      <c r="M16" s="490"/>
      <c r="N16" s="490"/>
      <c r="O16" s="490"/>
      <c r="P16" s="491"/>
      <c r="Q16" s="492">
        <v>30</v>
      </c>
      <c r="R16" s="363" t="s">
        <v>397</v>
      </c>
      <c r="S16" s="2" t="s">
        <v>36</v>
      </c>
      <c r="T16" s="2" t="s">
        <v>38</v>
      </c>
      <c r="U16" s="493"/>
      <c r="V16" s="494"/>
      <c r="W16" s="495"/>
      <c r="X16" s="495"/>
      <c r="Y16" s="495">
        <v>400</v>
      </c>
      <c r="Z16" s="495"/>
      <c r="AA16" s="495"/>
      <c r="AB16" s="495"/>
      <c r="AC16" s="495"/>
      <c r="AD16" s="495"/>
      <c r="AE16" s="495"/>
      <c r="AF16" s="495"/>
      <c r="AG16" s="495"/>
      <c r="AH16" s="495"/>
      <c r="AI16" s="495"/>
      <c r="AJ16" s="496"/>
      <c r="AK16" s="497"/>
      <c r="AL16" s="498"/>
      <c r="AM16" s="498"/>
      <c r="AN16" s="498">
        <v>-50</v>
      </c>
      <c r="AO16" s="498"/>
      <c r="AP16" s="498"/>
      <c r="AQ16" s="498"/>
      <c r="AR16" s="498"/>
      <c r="AS16" s="498"/>
      <c r="AT16" s="498"/>
      <c r="AU16" s="498"/>
      <c r="AV16" s="498"/>
      <c r="AW16" s="498"/>
      <c r="AX16" s="498"/>
      <c r="AY16" s="499"/>
      <c r="AZ16" s="500"/>
      <c r="BA16" s="501"/>
      <c r="BB16" s="501"/>
      <c r="BC16" s="501">
        <v>-40</v>
      </c>
      <c r="BD16" s="501"/>
      <c r="BE16" s="501"/>
      <c r="BF16" s="501"/>
      <c r="BG16" s="501"/>
      <c r="BH16" s="501"/>
      <c r="BI16" s="501"/>
      <c r="BJ16" s="501"/>
      <c r="BK16" s="501"/>
      <c r="BL16" s="501"/>
      <c r="BM16" s="501"/>
      <c r="BN16" s="502"/>
      <c r="BO16" s="488"/>
      <c r="BP16" s="503"/>
      <c r="BQ16" s="503">
        <v>115</v>
      </c>
      <c r="BR16" s="503">
        <v>115</v>
      </c>
      <c r="BS16" s="503"/>
      <c r="BT16" s="503"/>
      <c r="BU16" s="503"/>
      <c r="BV16" s="503"/>
      <c r="BW16" s="503"/>
      <c r="BX16" s="503"/>
      <c r="BY16" s="503"/>
      <c r="BZ16" s="503"/>
      <c r="CA16" s="503"/>
      <c r="CB16" s="503"/>
      <c r="CC16" s="504"/>
      <c r="CD16" s="505" t="s">
        <v>592</v>
      </c>
      <c r="CE16" s="504"/>
      <c r="CF16" s="506"/>
      <c r="CG16" s="508">
        <f>IF(Imp_OK=_OK,ROW()-ROW(T_D_FIJOS[[#Headers],[N_Pb]]),IF(T_D_FIJOS[[#This Row],[IMPRIMIR]]="",0,COUNTA($CF$4:CF16)-1))</f>
        <v>0</v>
      </c>
      <c r="CH16"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2,54,3301270189221930A FijoCE400-50-40115115</v>
      </c>
    </row>
    <row r="17" spans="1:86" ht="28.7">
      <c r="A17" s="488">
        <f>ROW()-ROW(T_D_FIJOS[[#Headers],[Nº]])</f>
        <v>13</v>
      </c>
      <c r="B17" s="451" t="s">
        <v>795</v>
      </c>
      <c r="C17" s="489"/>
      <c r="D17" s="490"/>
      <c r="E17" s="490">
        <v>0.5</v>
      </c>
      <c r="F17" s="490">
        <v>0.375</v>
      </c>
      <c r="G17" s="490"/>
      <c r="H17" s="490"/>
      <c r="I17" s="490"/>
      <c r="J17" s="490"/>
      <c r="K17" s="490"/>
      <c r="L17" s="490"/>
      <c r="M17" s="490"/>
      <c r="N17" s="490"/>
      <c r="O17" s="490"/>
      <c r="P17" s="491"/>
      <c r="Q17" s="492">
        <v>53.13010235415598</v>
      </c>
      <c r="R17" s="363" t="s">
        <v>398</v>
      </c>
      <c r="S17" s="2" t="s">
        <v>36</v>
      </c>
      <c r="T17" s="2" t="s">
        <v>38</v>
      </c>
      <c r="U17" s="493"/>
      <c r="V17" s="494"/>
      <c r="W17" s="495"/>
      <c r="X17" s="495"/>
      <c r="Y17" s="495">
        <v>150</v>
      </c>
      <c r="Z17" s="495"/>
      <c r="AA17" s="495"/>
      <c r="AB17" s="495"/>
      <c r="AC17" s="495"/>
      <c r="AD17" s="495"/>
      <c r="AE17" s="495"/>
      <c r="AF17" s="495"/>
      <c r="AG17" s="495"/>
      <c r="AH17" s="495"/>
      <c r="AI17" s="495"/>
      <c r="AJ17" s="496"/>
      <c r="AK17" s="497"/>
      <c r="AL17" s="498"/>
      <c r="AM17" s="498"/>
      <c r="AN17" s="498"/>
      <c r="AO17" s="498"/>
      <c r="AP17" s="498"/>
      <c r="AQ17" s="498"/>
      <c r="AR17" s="498"/>
      <c r="AS17" s="498"/>
      <c r="AT17" s="498"/>
      <c r="AU17" s="498"/>
      <c r="AV17" s="498"/>
      <c r="AW17" s="498"/>
      <c r="AX17" s="498"/>
      <c r="AY17" s="499"/>
      <c r="AZ17" s="500"/>
      <c r="BA17" s="501"/>
      <c r="BB17" s="501"/>
      <c r="BC17" s="501"/>
      <c r="BD17" s="501"/>
      <c r="BE17" s="501"/>
      <c r="BF17" s="501"/>
      <c r="BG17" s="501"/>
      <c r="BH17" s="501"/>
      <c r="BI17" s="501"/>
      <c r="BJ17" s="501"/>
      <c r="BK17" s="501"/>
      <c r="BL17" s="501"/>
      <c r="BM17" s="501"/>
      <c r="BN17" s="502"/>
      <c r="BO17" s="488"/>
      <c r="BP17" s="503"/>
      <c r="BQ17" s="503"/>
      <c r="BR17" s="503"/>
      <c r="BS17" s="503"/>
      <c r="BT17" s="503"/>
      <c r="BU17" s="503"/>
      <c r="BV17" s="503"/>
      <c r="BW17" s="503"/>
      <c r="BX17" s="503"/>
      <c r="BY17" s="503"/>
      <c r="BZ17" s="503"/>
      <c r="CA17" s="503"/>
      <c r="CB17" s="503"/>
      <c r="CC17" s="504"/>
      <c r="CD17" s="505" t="s">
        <v>622</v>
      </c>
      <c r="CE17" s="504"/>
      <c r="CF17" s="506"/>
      <c r="CG17" s="508">
        <f>IF(Imp_OK=_OK,ROW()-ROW(T_D_FIJOS[[#Headers],[N_Pb]]),IF(T_D_FIJOS[[#This Row],[IMPRIMIR]]="",0,COUNTA($CF$4:CF17)-1))</f>
        <v>0</v>
      </c>
      <c r="CH17"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0,50,37553,130102354156A MóvilCE150</v>
      </c>
    </row>
    <row r="18" spans="1:86" ht="28.7">
      <c r="A18" s="488">
        <f>ROW()-ROW(T_D_FIJOS[[#Headers],[Nº]])</f>
        <v>14</v>
      </c>
      <c r="B18" s="451" t="s">
        <v>796</v>
      </c>
      <c r="C18" s="489"/>
      <c r="D18" s="490"/>
      <c r="E18" s="490">
        <v>1</v>
      </c>
      <c r="F18" s="490">
        <v>1.7320508075688774</v>
      </c>
      <c r="G18" s="490"/>
      <c r="H18" s="490"/>
      <c r="I18" s="490"/>
      <c r="J18" s="490"/>
      <c r="K18" s="490"/>
      <c r="L18" s="490"/>
      <c r="M18" s="490"/>
      <c r="N18" s="490"/>
      <c r="O18" s="490"/>
      <c r="P18" s="491"/>
      <c r="Q18" s="492">
        <v>30</v>
      </c>
      <c r="R18" s="363" t="s">
        <v>396</v>
      </c>
      <c r="S18" s="2" t="s">
        <v>36</v>
      </c>
      <c r="T18" s="2"/>
      <c r="U18" s="493"/>
      <c r="V18" s="494"/>
      <c r="W18" s="495"/>
      <c r="X18" s="495"/>
      <c r="Y18" s="495">
        <v>400</v>
      </c>
      <c r="Z18" s="495"/>
      <c r="AA18" s="495"/>
      <c r="AB18" s="495"/>
      <c r="AC18" s="495"/>
      <c r="AD18" s="495"/>
      <c r="AE18" s="495"/>
      <c r="AF18" s="495"/>
      <c r="AG18" s="495"/>
      <c r="AH18" s="495"/>
      <c r="AI18" s="495"/>
      <c r="AJ18" s="496"/>
      <c r="AK18" s="497"/>
      <c r="AL18" s="498"/>
      <c r="AM18" s="498"/>
      <c r="AN18" s="498"/>
      <c r="AO18" s="498">
        <v>-200</v>
      </c>
      <c r="AP18" s="498"/>
      <c r="AQ18" s="498"/>
      <c r="AR18" s="498"/>
      <c r="AS18" s="498"/>
      <c r="AT18" s="498"/>
      <c r="AU18" s="498"/>
      <c r="AV18" s="498"/>
      <c r="AW18" s="498"/>
      <c r="AX18" s="498"/>
      <c r="AY18" s="499"/>
      <c r="AZ18" s="500"/>
      <c r="BA18" s="501"/>
      <c r="BB18" s="501"/>
      <c r="BC18" s="501">
        <v>-40</v>
      </c>
      <c r="BD18" s="501"/>
      <c r="BE18" s="501"/>
      <c r="BF18" s="501"/>
      <c r="BG18" s="501"/>
      <c r="BH18" s="501"/>
      <c r="BI18" s="501"/>
      <c r="BJ18" s="501"/>
      <c r="BK18" s="501"/>
      <c r="BL18" s="501"/>
      <c r="BM18" s="501"/>
      <c r="BN18" s="502"/>
      <c r="BO18" s="488"/>
      <c r="BP18" s="503"/>
      <c r="BQ18" s="503">
        <v>-65</v>
      </c>
      <c r="BR18" s="503">
        <v>65</v>
      </c>
      <c r="BS18" s="503"/>
      <c r="BT18" s="503"/>
      <c r="BU18" s="503"/>
      <c r="BV18" s="503"/>
      <c r="BW18" s="503"/>
      <c r="BX18" s="503"/>
      <c r="BY18" s="503"/>
      <c r="BZ18" s="503"/>
      <c r="CA18" s="503"/>
      <c r="CB18" s="503"/>
      <c r="CC18" s="504"/>
      <c r="CD18" s="505" t="s">
        <v>751</v>
      </c>
      <c r="CE18" s="504"/>
      <c r="CF18" s="506"/>
      <c r="CG18" s="508">
        <f>IF(Imp_OK=_OK,ROW()-ROW(T_D_FIJOS[[#Headers],[N_Pb]]),IF(T_D_FIJOS[[#This Row],[IMPRIMIR]]="",0,COUNTA($CF$4:CF18)-1))</f>
        <v>0</v>
      </c>
      <c r="CH18"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11,7320508075688830Emp.C400-200-40-6565</v>
      </c>
    </row>
    <row r="19" spans="1:86" ht="28.7">
      <c r="A19" s="488">
        <f>ROW()-ROW(T_D_FIJOS[[#Headers],[Nº]])</f>
        <v>15</v>
      </c>
      <c r="B19" s="451" t="s">
        <v>797</v>
      </c>
      <c r="C19" s="489"/>
      <c r="D19" s="490"/>
      <c r="E19" s="490">
        <v>2.5</v>
      </c>
      <c r="F19" s="490">
        <v>2.5000000000000004</v>
      </c>
      <c r="G19" s="490"/>
      <c r="H19" s="490"/>
      <c r="I19" s="490"/>
      <c r="J19" s="490"/>
      <c r="K19" s="490"/>
      <c r="L19" s="490"/>
      <c r="M19" s="490"/>
      <c r="N19" s="490"/>
      <c r="O19" s="490"/>
      <c r="P19" s="491"/>
      <c r="Q19" s="492">
        <v>45</v>
      </c>
      <c r="R19" s="363" t="s">
        <v>396</v>
      </c>
      <c r="S19" s="2" t="s">
        <v>38</v>
      </c>
      <c r="T19" s="2"/>
      <c r="U19" s="493"/>
      <c r="V19" s="494"/>
      <c r="W19" s="495"/>
      <c r="X19" s="495">
        <v>-400</v>
      </c>
      <c r="Y19" s="495"/>
      <c r="Z19" s="495"/>
      <c r="AA19" s="495"/>
      <c r="AB19" s="495"/>
      <c r="AC19" s="495"/>
      <c r="AD19" s="495"/>
      <c r="AE19" s="495"/>
      <c r="AF19" s="495"/>
      <c r="AG19" s="495"/>
      <c r="AH19" s="495"/>
      <c r="AI19" s="495"/>
      <c r="AJ19" s="496"/>
      <c r="AK19" s="497"/>
      <c r="AL19" s="498"/>
      <c r="AM19" s="498">
        <v>-150</v>
      </c>
      <c r="AN19" s="498">
        <v>50</v>
      </c>
      <c r="AO19" s="498"/>
      <c r="AP19" s="498"/>
      <c r="AQ19" s="498"/>
      <c r="AR19" s="498"/>
      <c r="AS19" s="498"/>
      <c r="AT19" s="498"/>
      <c r="AU19" s="498"/>
      <c r="AV19" s="498"/>
      <c r="AW19" s="498"/>
      <c r="AX19" s="498"/>
      <c r="AY19" s="499"/>
      <c r="AZ19" s="500"/>
      <c r="BA19" s="501"/>
      <c r="BB19" s="501"/>
      <c r="BC19" s="501">
        <v>10</v>
      </c>
      <c r="BD19" s="501"/>
      <c r="BE19" s="501"/>
      <c r="BF19" s="501"/>
      <c r="BG19" s="501"/>
      <c r="BH19" s="501"/>
      <c r="BI19" s="501"/>
      <c r="BJ19" s="501"/>
      <c r="BK19" s="501"/>
      <c r="BL19" s="501"/>
      <c r="BM19" s="501"/>
      <c r="BN19" s="502"/>
      <c r="BO19" s="488"/>
      <c r="BP19" s="503"/>
      <c r="BQ19" s="503">
        <v>90</v>
      </c>
      <c r="BR19" s="503">
        <v>-90</v>
      </c>
      <c r="BS19" s="503"/>
      <c r="BT19" s="503"/>
      <c r="BU19" s="503"/>
      <c r="BV19" s="503"/>
      <c r="BW19" s="503"/>
      <c r="BX19" s="503"/>
      <c r="BY19" s="503"/>
      <c r="BZ19" s="503"/>
      <c r="CA19" s="503"/>
      <c r="CB19" s="503"/>
      <c r="CC19" s="504"/>
      <c r="CD19" s="505" t="s">
        <v>753</v>
      </c>
      <c r="CE19" s="504"/>
      <c r="CF19" s="506"/>
      <c r="CG19" s="508">
        <f>IF(Imp_OK=_OK,ROW()-ROW(T_D_FIJOS[[#Headers],[N_Pb]]),IF(T_D_FIJOS[[#This Row],[IMPRIMIR]]="",0,COUNTA($CF$4:CF19)-1))</f>
        <v>0</v>
      </c>
      <c r="CH19"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2,52,545Emp.E-400-150501090-90</v>
      </c>
    </row>
    <row r="20" spans="1:86" ht="28.7">
      <c r="A20" s="488">
        <f>ROW()-ROW(T_D_FIJOS[[#Headers],[Nº]])</f>
        <v>16</v>
      </c>
      <c r="B20" s="451" t="s">
        <v>798</v>
      </c>
      <c r="C20" s="489">
        <v>3</v>
      </c>
      <c r="D20" s="490">
        <v>3</v>
      </c>
      <c r="E20" s="490">
        <v>3</v>
      </c>
      <c r="F20" s="490">
        <v>1.5</v>
      </c>
      <c r="G20" s="490">
        <v>1.5</v>
      </c>
      <c r="H20" s="490">
        <v>1.5</v>
      </c>
      <c r="I20" s="490">
        <v>1</v>
      </c>
      <c r="J20" s="490">
        <v>1</v>
      </c>
      <c r="K20" s="490">
        <v>1.5</v>
      </c>
      <c r="L20" s="490">
        <v>1.5</v>
      </c>
      <c r="M20" s="490">
        <v>1.5</v>
      </c>
      <c r="N20" s="490">
        <v>1.5</v>
      </c>
      <c r="O20" s="490">
        <v>1.5</v>
      </c>
      <c r="P20" s="491">
        <v>3</v>
      </c>
      <c r="Q20" s="492">
        <v>90</v>
      </c>
      <c r="R20" s="363" t="s">
        <v>397</v>
      </c>
      <c r="S20" s="2" t="s">
        <v>412</v>
      </c>
      <c r="T20" s="2" t="s">
        <v>12</v>
      </c>
      <c r="U20" s="493"/>
      <c r="V20" s="494"/>
      <c r="W20" s="495"/>
      <c r="X20" s="495"/>
      <c r="Y20" s="495">
        <v>-300</v>
      </c>
      <c r="Z20" s="495"/>
      <c r="AA20" s="495"/>
      <c r="AB20" s="495"/>
      <c r="AC20" s="495"/>
      <c r="AD20" s="495"/>
      <c r="AE20" s="495"/>
      <c r="AF20" s="495">
        <v>-150</v>
      </c>
      <c r="AG20" s="495"/>
      <c r="AH20" s="495"/>
      <c r="AI20" s="495">
        <v>-250</v>
      </c>
      <c r="AJ20" s="496"/>
      <c r="AK20" s="497"/>
      <c r="AL20" s="498">
        <v>-200</v>
      </c>
      <c r="AM20" s="498"/>
      <c r="AN20" s="498"/>
      <c r="AO20" s="498">
        <v>-200</v>
      </c>
      <c r="AP20" s="498"/>
      <c r="AQ20" s="498"/>
      <c r="AR20" s="498"/>
      <c r="AS20" s="498"/>
      <c r="AT20" s="498">
        <v>100</v>
      </c>
      <c r="AU20" s="498"/>
      <c r="AV20" s="498"/>
      <c r="AW20" s="498">
        <v>-100</v>
      </c>
      <c r="AX20" s="498"/>
      <c r="AY20" s="499"/>
      <c r="AZ20" s="500"/>
      <c r="BA20" s="501"/>
      <c r="BB20" s="501"/>
      <c r="BC20" s="501">
        <v>40</v>
      </c>
      <c r="BD20" s="501"/>
      <c r="BE20" s="501"/>
      <c r="BF20" s="501">
        <v>15</v>
      </c>
      <c r="BG20" s="501"/>
      <c r="BH20" s="501"/>
      <c r="BI20" s="501"/>
      <c r="BJ20" s="501"/>
      <c r="BK20" s="501">
        <v>-10</v>
      </c>
      <c r="BL20" s="501"/>
      <c r="BM20" s="501"/>
      <c r="BN20" s="502">
        <v>-35</v>
      </c>
      <c r="BO20" s="488"/>
      <c r="BP20" s="503"/>
      <c r="BQ20" s="503"/>
      <c r="BR20" s="503"/>
      <c r="BS20" s="503"/>
      <c r="BT20" s="503"/>
      <c r="BU20" s="503"/>
      <c r="BV20" s="503">
        <v>80</v>
      </c>
      <c r="BW20" s="503">
        <v>80</v>
      </c>
      <c r="BX20" s="503">
        <v>-105</v>
      </c>
      <c r="BY20" s="503">
        <v>-105</v>
      </c>
      <c r="BZ20" s="503"/>
      <c r="CA20" s="503"/>
      <c r="CB20" s="503"/>
      <c r="CC20" s="504"/>
      <c r="CD20" s="505" t="s">
        <v>641</v>
      </c>
      <c r="CE20" s="504"/>
      <c r="CF20" s="506"/>
      <c r="CG20" s="508">
        <f>IF(Imp_OK=_OK,ROW()-ROW(T_D_FIJOS[[#Headers],[N_Pb]]),IF(T_D_FIJOS[[#This Row],[IMPRIMIR]]="",0,COUNTA($CF$4:CF20)-1))</f>
        <v>0</v>
      </c>
      <c r="CH20"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3331,51,51,5111,51,51,51,51,5390A FijoIA-300-150-250-200-200100-1004015-10-358080-105-105</v>
      </c>
    </row>
    <row r="21" spans="1:86" ht="28.7">
      <c r="A21" s="488">
        <f>ROW()-ROW(T_D_FIJOS[[#Headers],[Nº]])</f>
        <v>17</v>
      </c>
      <c r="B21" s="451" t="s">
        <v>799</v>
      </c>
      <c r="C21" s="489">
        <v>2.5</v>
      </c>
      <c r="D21" s="490">
        <v>2.5</v>
      </c>
      <c r="E21" s="490">
        <v>2.5</v>
      </c>
      <c r="F21" s="490">
        <v>1.4433756729740648</v>
      </c>
      <c r="G21" s="490">
        <v>0.5</v>
      </c>
      <c r="H21" s="490">
        <v>0.5</v>
      </c>
      <c r="I21" s="490">
        <v>3</v>
      </c>
      <c r="J21" s="490">
        <v>3</v>
      </c>
      <c r="K21" s="490">
        <v>0.5</v>
      </c>
      <c r="L21" s="490">
        <v>0.5</v>
      </c>
      <c r="M21" s="490">
        <v>2</v>
      </c>
      <c r="N21" s="490">
        <v>2</v>
      </c>
      <c r="O21" s="490">
        <v>3</v>
      </c>
      <c r="P21" s="491">
        <v>3</v>
      </c>
      <c r="Q21" s="492">
        <v>60</v>
      </c>
      <c r="R21" s="363" t="s">
        <v>396</v>
      </c>
      <c r="S21" s="2" t="s">
        <v>118</v>
      </c>
      <c r="T21" s="2"/>
      <c r="U21" s="493"/>
      <c r="V21" s="494"/>
      <c r="W21" s="495"/>
      <c r="X21" s="495"/>
      <c r="Y21" s="495">
        <v>500</v>
      </c>
      <c r="Z21" s="495"/>
      <c r="AA21" s="495"/>
      <c r="AB21" s="495">
        <v>-200</v>
      </c>
      <c r="AC21" s="495"/>
      <c r="AD21" s="495"/>
      <c r="AE21" s="495"/>
      <c r="AF21" s="495"/>
      <c r="AG21" s="495"/>
      <c r="AH21" s="495">
        <v>-450</v>
      </c>
      <c r="AI21" s="495"/>
      <c r="AJ21" s="496"/>
      <c r="AK21" s="497">
        <v>-50</v>
      </c>
      <c r="AL21" s="498"/>
      <c r="AM21" s="498"/>
      <c r="AN21" s="498"/>
      <c r="AO21" s="498"/>
      <c r="AP21" s="498">
        <v>-150</v>
      </c>
      <c r="AQ21" s="498"/>
      <c r="AR21" s="498"/>
      <c r="AS21" s="498">
        <v>150</v>
      </c>
      <c r="AT21" s="498"/>
      <c r="AU21" s="498"/>
      <c r="AV21" s="498"/>
      <c r="AW21" s="498"/>
      <c r="AX21" s="498"/>
      <c r="AY21" s="499"/>
      <c r="AZ21" s="500"/>
      <c r="BA21" s="501">
        <v>5</v>
      </c>
      <c r="BB21" s="501"/>
      <c r="BC21" s="501"/>
      <c r="BD21" s="501"/>
      <c r="BE21" s="501"/>
      <c r="BF21" s="501"/>
      <c r="BG21" s="501">
        <v>20</v>
      </c>
      <c r="BH21" s="501"/>
      <c r="BI21" s="501"/>
      <c r="BJ21" s="501">
        <v>-35</v>
      </c>
      <c r="BK21" s="501"/>
      <c r="BL21" s="501"/>
      <c r="BM21" s="501">
        <v>40</v>
      </c>
      <c r="BN21" s="502"/>
      <c r="BO21" s="488"/>
      <c r="BP21" s="503"/>
      <c r="BQ21" s="503"/>
      <c r="BR21" s="503"/>
      <c r="BS21" s="503"/>
      <c r="BT21" s="503"/>
      <c r="BU21" s="503"/>
      <c r="BV21" s="503"/>
      <c r="BW21" s="503"/>
      <c r="BX21" s="503"/>
      <c r="BY21" s="503"/>
      <c r="BZ21" s="503">
        <v>-45</v>
      </c>
      <c r="CA21" s="503">
        <v>-45</v>
      </c>
      <c r="CB21" s="503">
        <v>-45</v>
      </c>
      <c r="CC21" s="504"/>
      <c r="CD21" s="505" t="s">
        <v>640</v>
      </c>
      <c r="CE21" s="504"/>
      <c r="CF21" s="506" t="s">
        <v>553</v>
      </c>
      <c r="CG21" s="508">
        <f>IF(Imp_OK=_OK,ROW()-ROW(T_D_FIJOS[[#Headers],[N_Pb]]),IF(T_D_FIJOS[[#This Row],[IMPRIMIR]]="",0,COUNTA($CF$4:CF21)-1))</f>
        <v>3</v>
      </c>
      <c r="CH21"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2,52,52,51,443375672974060,50,5330,50,5223360Emp.O500-200-450-50-150150520-3540-45-45-45</v>
      </c>
    </row>
    <row r="22" spans="1:86" ht="28.7">
      <c r="A22" s="488">
        <f>ROW()-ROW(T_D_FIJOS[[#Headers],[Nº]])</f>
        <v>18</v>
      </c>
      <c r="B22" s="451" t="s">
        <v>800</v>
      </c>
      <c r="C22" s="489"/>
      <c r="D22" s="490">
        <v>3</v>
      </c>
      <c r="E22" s="490">
        <v>3</v>
      </c>
      <c r="F22" s="490">
        <v>1.5</v>
      </c>
      <c r="G22" s="490">
        <v>1.5</v>
      </c>
      <c r="H22" s="490">
        <v>1.5</v>
      </c>
      <c r="I22" s="490"/>
      <c r="J22" s="490"/>
      <c r="K22" s="490">
        <v>1.5</v>
      </c>
      <c r="L22" s="490">
        <v>1.5</v>
      </c>
      <c r="M22" s="490"/>
      <c r="N22" s="490"/>
      <c r="O22" s="490"/>
      <c r="P22" s="491"/>
      <c r="Q22" s="492">
        <v>90</v>
      </c>
      <c r="R22" s="363" t="s">
        <v>397</v>
      </c>
      <c r="S22" s="2" t="s">
        <v>416</v>
      </c>
      <c r="T22" s="2" t="s">
        <v>38</v>
      </c>
      <c r="U22" s="493"/>
      <c r="V22" s="494"/>
      <c r="W22" s="495"/>
      <c r="X22" s="495"/>
      <c r="Y22" s="495">
        <v>-400</v>
      </c>
      <c r="Z22" s="495"/>
      <c r="AA22" s="495"/>
      <c r="AB22" s="495"/>
      <c r="AC22" s="495"/>
      <c r="AD22" s="495"/>
      <c r="AE22" s="495"/>
      <c r="AF22" s="495">
        <v>-50</v>
      </c>
      <c r="AG22" s="495"/>
      <c r="AH22" s="495"/>
      <c r="AI22" s="495"/>
      <c r="AJ22" s="496"/>
      <c r="AK22" s="497"/>
      <c r="AL22" s="498"/>
      <c r="AM22" s="498"/>
      <c r="AN22" s="498"/>
      <c r="AO22" s="498"/>
      <c r="AP22" s="498"/>
      <c r="AQ22" s="498">
        <v>-100</v>
      </c>
      <c r="AR22" s="498"/>
      <c r="AS22" s="498"/>
      <c r="AT22" s="498">
        <v>-50</v>
      </c>
      <c r="AU22" s="498"/>
      <c r="AV22" s="498"/>
      <c r="AW22" s="498"/>
      <c r="AX22" s="498"/>
      <c r="AY22" s="499"/>
      <c r="AZ22" s="500"/>
      <c r="BA22" s="501"/>
      <c r="BB22" s="501"/>
      <c r="BC22" s="501"/>
      <c r="BD22" s="501"/>
      <c r="BE22" s="501"/>
      <c r="BF22" s="501"/>
      <c r="BG22" s="501"/>
      <c r="BH22" s="501"/>
      <c r="BI22" s="501"/>
      <c r="BJ22" s="501"/>
      <c r="BK22" s="501"/>
      <c r="BL22" s="501"/>
      <c r="BM22" s="501"/>
      <c r="BN22" s="502"/>
      <c r="BO22" s="488"/>
      <c r="BP22" s="503">
        <v>65</v>
      </c>
      <c r="BQ22" s="503">
        <v>65</v>
      </c>
      <c r="BR22" s="503"/>
      <c r="BS22" s="503"/>
      <c r="BT22" s="503"/>
      <c r="BU22" s="503"/>
      <c r="BV22" s="503"/>
      <c r="BW22" s="503"/>
      <c r="BX22" s="503">
        <v>70</v>
      </c>
      <c r="BY22" s="503">
        <v>70</v>
      </c>
      <c r="BZ22" s="503"/>
      <c r="CA22" s="503"/>
      <c r="CB22" s="503"/>
      <c r="CC22" s="504"/>
      <c r="CD22" s="505" t="s">
        <v>644</v>
      </c>
      <c r="CE22" s="504"/>
      <c r="CF22" s="506"/>
      <c r="CG22" s="508">
        <f>IF(Imp_OK=_OK,ROW()-ROW(T_D_FIJOS[[#Headers],[N_Pb]]),IF(T_D_FIJOS[[#This Row],[IMPRIMIR]]="",0,COUNTA($CF$4:CF22)-1))</f>
        <v>0</v>
      </c>
      <c r="CH22"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331,51,51,51,51,590A FijoFE-400-50-100-5065657070</v>
      </c>
    </row>
    <row r="23" spans="1:86" ht="28.7">
      <c r="A23" s="488">
        <f>ROW()-ROW(T_D_FIJOS[[#Headers],[Nº]])</f>
        <v>19</v>
      </c>
      <c r="B23" s="451" t="s">
        <v>801</v>
      </c>
      <c r="C23" s="489">
        <v>2</v>
      </c>
      <c r="D23" s="490">
        <v>2</v>
      </c>
      <c r="E23" s="490">
        <v>2</v>
      </c>
      <c r="F23" s="490">
        <v>2.6666666666666665</v>
      </c>
      <c r="G23" s="490">
        <v>1.5</v>
      </c>
      <c r="H23" s="490">
        <v>1.5</v>
      </c>
      <c r="I23" s="490">
        <v>1</v>
      </c>
      <c r="J23" s="490">
        <v>1</v>
      </c>
      <c r="K23" s="490">
        <v>2</v>
      </c>
      <c r="L23" s="490">
        <v>2</v>
      </c>
      <c r="M23" s="490"/>
      <c r="N23" s="490"/>
      <c r="O23" s="490"/>
      <c r="P23" s="491"/>
      <c r="Q23" s="492">
        <v>36.86989764584402</v>
      </c>
      <c r="R23" s="363" t="s">
        <v>397</v>
      </c>
      <c r="S23" s="2" t="s">
        <v>12</v>
      </c>
      <c r="T23" s="2" t="s">
        <v>413</v>
      </c>
      <c r="U23" s="493"/>
      <c r="V23" s="494"/>
      <c r="W23" s="495"/>
      <c r="X23" s="495">
        <v>200</v>
      </c>
      <c r="Y23" s="495">
        <v>350</v>
      </c>
      <c r="Z23" s="495"/>
      <c r="AA23" s="495"/>
      <c r="AB23" s="495"/>
      <c r="AC23" s="495">
        <v>-100</v>
      </c>
      <c r="AD23" s="495"/>
      <c r="AE23" s="495"/>
      <c r="AF23" s="495"/>
      <c r="AG23" s="495"/>
      <c r="AH23" s="495"/>
      <c r="AI23" s="495"/>
      <c r="AJ23" s="496"/>
      <c r="AK23" s="497"/>
      <c r="AL23" s="498">
        <v>-150</v>
      </c>
      <c r="AM23" s="498"/>
      <c r="AN23" s="498"/>
      <c r="AO23" s="498"/>
      <c r="AP23" s="498">
        <v>-100</v>
      </c>
      <c r="AQ23" s="498"/>
      <c r="AR23" s="498"/>
      <c r="AS23" s="498">
        <v>100</v>
      </c>
      <c r="AT23" s="498"/>
      <c r="AU23" s="498"/>
      <c r="AV23" s="498"/>
      <c r="AW23" s="498"/>
      <c r="AX23" s="498"/>
      <c r="AY23" s="499"/>
      <c r="AZ23" s="500"/>
      <c r="BA23" s="501"/>
      <c r="BB23" s="501"/>
      <c r="BC23" s="501"/>
      <c r="BD23" s="501"/>
      <c r="BE23" s="501"/>
      <c r="BF23" s="501"/>
      <c r="BG23" s="501">
        <v>-15</v>
      </c>
      <c r="BH23" s="501"/>
      <c r="BI23" s="501"/>
      <c r="BJ23" s="501"/>
      <c r="BK23" s="501"/>
      <c r="BL23" s="501"/>
      <c r="BM23" s="501"/>
      <c r="BN23" s="502"/>
      <c r="BO23" s="488"/>
      <c r="BP23" s="503"/>
      <c r="BQ23" s="503">
        <v>105</v>
      </c>
      <c r="BR23" s="503">
        <v>105</v>
      </c>
      <c r="BS23" s="503"/>
      <c r="BT23" s="503">
        <v>105</v>
      </c>
      <c r="BU23" s="503">
        <v>105</v>
      </c>
      <c r="BV23" s="503"/>
      <c r="BW23" s="503"/>
      <c r="BX23" s="503"/>
      <c r="BY23" s="503"/>
      <c r="BZ23" s="503"/>
      <c r="CA23" s="503"/>
      <c r="CB23" s="503"/>
      <c r="CC23" s="504"/>
      <c r="CD23" s="505" t="s">
        <v>642</v>
      </c>
      <c r="CE23" s="504"/>
      <c r="CF23" s="506"/>
      <c r="CG23" s="508">
        <f>IF(Imp_OK=_OK,ROW()-ROW(T_D_FIJOS[[#Headers],[N_Pb]]),IF(T_D_FIJOS[[#This Row],[IMPRIMIR]]="",0,COUNTA($CF$4:CF23)-1))</f>
        <v>0</v>
      </c>
      <c r="CH23"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2222,666666666666671,51,5112236,869897645844A FijoAK200350-100-150-100100-15105105105105</v>
      </c>
    </row>
    <row r="24" spans="1:86" ht="28.7">
      <c r="A24" s="488">
        <f>ROW()-ROW(T_D_FIJOS[[#Headers],[Nº]])</f>
        <v>20</v>
      </c>
      <c r="B24" s="451" t="s">
        <v>802</v>
      </c>
      <c r="C24" s="489">
        <v>2</v>
      </c>
      <c r="D24" s="490">
        <v>2</v>
      </c>
      <c r="E24" s="490">
        <v>2</v>
      </c>
      <c r="F24" s="490">
        <v>1.5</v>
      </c>
      <c r="G24" s="490">
        <v>1.5</v>
      </c>
      <c r="H24" s="490">
        <v>1.5</v>
      </c>
      <c r="I24" s="490">
        <v>0.5</v>
      </c>
      <c r="J24" s="490">
        <v>0.5</v>
      </c>
      <c r="K24" s="490"/>
      <c r="L24" s="490"/>
      <c r="M24" s="490"/>
      <c r="N24" s="490"/>
      <c r="O24" s="490"/>
      <c r="P24" s="491"/>
      <c r="Q24" s="492">
        <v>90</v>
      </c>
      <c r="R24" s="363" t="s">
        <v>396</v>
      </c>
      <c r="S24" s="2" t="s">
        <v>12</v>
      </c>
      <c r="T24" s="2"/>
      <c r="U24" s="493"/>
      <c r="V24" s="494"/>
      <c r="W24" s="495"/>
      <c r="X24" s="495"/>
      <c r="Y24" s="495"/>
      <c r="Z24" s="495"/>
      <c r="AA24" s="495">
        <v>100</v>
      </c>
      <c r="AB24" s="495"/>
      <c r="AC24" s="495"/>
      <c r="AD24" s="495">
        <v>-300</v>
      </c>
      <c r="AE24" s="495"/>
      <c r="AF24" s="495"/>
      <c r="AG24" s="495"/>
      <c r="AH24" s="495"/>
      <c r="AI24" s="495"/>
      <c r="AJ24" s="496"/>
      <c r="AK24" s="497"/>
      <c r="AL24" s="498">
        <v>-50</v>
      </c>
      <c r="AM24" s="498"/>
      <c r="AN24" s="498"/>
      <c r="AO24" s="498"/>
      <c r="AP24" s="498"/>
      <c r="AQ24" s="498">
        <v>50</v>
      </c>
      <c r="AR24" s="498"/>
      <c r="AS24" s="498"/>
      <c r="AT24" s="498"/>
      <c r="AU24" s="498"/>
      <c r="AV24" s="498"/>
      <c r="AW24" s="498"/>
      <c r="AX24" s="498"/>
      <c r="AY24" s="499"/>
      <c r="AZ24" s="500"/>
      <c r="BA24" s="501"/>
      <c r="BB24" s="501">
        <v>20</v>
      </c>
      <c r="BC24" s="501"/>
      <c r="BD24" s="501"/>
      <c r="BE24" s="501"/>
      <c r="BF24" s="501"/>
      <c r="BG24" s="501"/>
      <c r="BH24" s="501">
        <v>50</v>
      </c>
      <c r="BI24" s="501"/>
      <c r="BJ24" s="501"/>
      <c r="BK24" s="501"/>
      <c r="BL24" s="501"/>
      <c r="BM24" s="501"/>
      <c r="BN24" s="502"/>
      <c r="BO24" s="488"/>
      <c r="BP24" s="503"/>
      <c r="BQ24" s="503"/>
      <c r="BR24" s="503">
        <v>100</v>
      </c>
      <c r="BS24" s="503"/>
      <c r="BT24" s="503">
        <v>100</v>
      </c>
      <c r="BU24" s="503">
        <v>100</v>
      </c>
      <c r="BV24" s="503"/>
      <c r="BW24" s="503"/>
      <c r="BX24" s="503"/>
      <c r="BY24" s="503"/>
      <c r="BZ24" s="503"/>
      <c r="CA24" s="503"/>
      <c r="CB24" s="503"/>
      <c r="CC24" s="504"/>
      <c r="CD24" s="505" t="s">
        <v>643</v>
      </c>
      <c r="CE24" s="504"/>
      <c r="CF24" s="506" t="s">
        <v>553</v>
      </c>
      <c r="CG24" s="508">
        <f>IF(Imp_OK=_OK,ROW()-ROW(T_D_FIJOS[[#Headers],[N_Pb]]),IF(T_D_FIJOS[[#This Row],[IMPRIMIR]]="",0,COUNTA($CF$4:CF24)-1))</f>
        <v>4</v>
      </c>
      <c r="CH24"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2221,51,51,50,50,590Emp.A100-300-50502050100100100</v>
      </c>
    </row>
    <row r="25" spans="1:86" ht="28.7">
      <c r="A25" s="488">
        <f>ROW()-ROW(T_D_FIJOS[[#Headers],[Nº]])</f>
        <v>21</v>
      </c>
      <c r="B25" s="451" t="s">
        <v>803</v>
      </c>
      <c r="C25" s="489"/>
      <c r="D25" s="490">
        <v>3</v>
      </c>
      <c r="E25" s="490">
        <v>3</v>
      </c>
      <c r="F25" s="490">
        <v>1</v>
      </c>
      <c r="G25" s="490">
        <v>1</v>
      </c>
      <c r="H25" s="490">
        <v>1</v>
      </c>
      <c r="I25" s="490"/>
      <c r="J25" s="490"/>
      <c r="K25" s="490">
        <v>2.5</v>
      </c>
      <c r="L25" s="490">
        <v>2.5</v>
      </c>
      <c r="M25" s="490">
        <v>2</v>
      </c>
      <c r="N25" s="490">
        <v>2</v>
      </c>
      <c r="O25" s="490">
        <v>0.5</v>
      </c>
      <c r="P25" s="491"/>
      <c r="Q25" s="492">
        <v>90</v>
      </c>
      <c r="R25" s="363" t="s">
        <v>397</v>
      </c>
      <c r="S25" s="2" t="s">
        <v>418</v>
      </c>
      <c r="T25" s="2" t="s">
        <v>34</v>
      </c>
      <c r="U25" s="493"/>
      <c r="V25" s="494"/>
      <c r="W25" s="495"/>
      <c r="X25" s="495"/>
      <c r="Y25" s="495">
        <v>-500</v>
      </c>
      <c r="Z25" s="495"/>
      <c r="AA25" s="495"/>
      <c r="AB25" s="495"/>
      <c r="AC25" s="495"/>
      <c r="AD25" s="495"/>
      <c r="AE25" s="495"/>
      <c r="AF25" s="495">
        <v>-350</v>
      </c>
      <c r="AG25" s="495"/>
      <c r="AH25" s="495"/>
      <c r="AI25" s="495"/>
      <c r="AJ25" s="496"/>
      <c r="AK25" s="497"/>
      <c r="AL25" s="498"/>
      <c r="AM25" s="498">
        <v>-50</v>
      </c>
      <c r="AN25" s="498"/>
      <c r="AO25" s="498"/>
      <c r="AP25" s="498"/>
      <c r="AQ25" s="498">
        <v>-150</v>
      </c>
      <c r="AR25" s="498"/>
      <c r="AS25" s="498"/>
      <c r="AT25" s="498">
        <v>-150</v>
      </c>
      <c r="AU25" s="498"/>
      <c r="AV25" s="498"/>
      <c r="AW25" s="498"/>
      <c r="AX25" s="498"/>
      <c r="AY25" s="499"/>
      <c r="AZ25" s="500"/>
      <c r="BA25" s="501"/>
      <c r="BB25" s="501"/>
      <c r="BC25" s="501"/>
      <c r="BD25" s="501">
        <v>-25</v>
      </c>
      <c r="BE25" s="501"/>
      <c r="BF25" s="501"/>
      <c r="BG25" s="501"/>
      <c r="BH25" s="501"/>
      <c r="BI25" s="501"/>
      <c r="BJ25" s="501">
        <v>-50</v>
      </c>
      <c r="BK25" s="501"/>
      <c r="BL25" s="501"/>
      <c r="BM25" s="501">
        <v>-30</v>
      </c>
      <c r="BN25" s="502"/>
      <c r="BO25" s="488"/>
      <c r="BP25" s="503"/>
      <c r="BQ25" s="503"/>
      <c r="BR25" s="503"/>
      <c r="BS25" s="503"/>
      <c r="BT25" s="503"/>
      <c r="BU25" s="503"/>
      <c r="BV25" s="503"/>
      <c r="BW25" s="503"/>
      <c r="BX25" s="503"/>
      <c r="BY25" s="503"/>
      <c r="BZ25" s="503">
        <v>70</v>
      </c>
      <c r="CA25" s="503">
        <v>70</v>
      </c>
      <c r="CB25" s="503">
        <v>70</v>
      </c>
      <c r="CC25" s="504"/>
      <c r="CD25" s="505" t="s">
        <v>645</v>
      </c>
      <c r="CE25" s="504"/>
      <c r="CF25" s="506"/>
      <c r="CG25" s="508">
        <f>IF(Imp_OK=_OK,ROW()-ROW(T_D_FIJOS[[#Headers],[N_Pb]]),IF(T_D_FIJOS[[#This Row],[IMPRIMIR]]="",0,COUNTA($CF$4:CF25)-1))</f>
        <v>0</v>
      </c>
      <c r="CH25"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331112,52,5220,590A FijoLB-500-350-50-150-150-25-50-30707070</v>
      </c>
    </row>
    <row r="26" spans="1:86" ht="28.7">
      <c r="A26" s="488">
        <f>ROW()-ROW(T_D_FIJOS[[#Headers],[Nº]])</f>
        <v>22</v>
      </c>
      <c r="B26" s="451" t="s">
        <v>804</v>
      </c>
      <c r="C26" s="489"/>
      <c r="D26" s="490"/>
      <c r="E26" s="490">
        <v>1</v>
      </c>
      <c r="F26" s="490">
        <v>1</v>
      </c>
      <c r="G26" s="490"/>
      <c r="H26" s="490"/>
      <c r="I26" s="490"/>
      <c r="J26" s="490"/>
      <c r="K26" s="490"/>
      <c r="L26" s="490"/>
      <c r="M26" s="490"/>
      <c r="N26" s="490"/>
      <c r="O26" s="490"/>
      <c r="P26" s="491"/>
      <c r="Q26" s="492">
        <v>90</v>
      </c>
      <c r="R26" s="363" t="s">
        <v>396</v>
      </c>
      <c r="S26" s="2" t="s">
        <v>38</v>
      </c>
      <c r="T26" s="2"/>
      <c r="U26" s="493"/>
      <c r="V26" s="494"/>
      <c r="W26" s="495"/>
      <c r="X26" s="495">
        <v>400</v>
      </c>
      <c r="Y26" s="495">
        <v>100</v>
      </c>
      <c r="Z26" s="495"/>
      <c r="AA26" s="495"/>
      <c r="AB26" s="495"/>
      <c r="AC26" s="495"/>
      <c r="AD26" s="495"/>
      <c r="AE26" s="495"/>
      <c r="AF26" s="495"/>
      <c r="AG26" s="495"/>
      <c r="AH26" s="495"/>
      <c r="AI26" s="495"/>
      <c r="AJ26" s="496"/>
      <c r="AK26" s="497"/>
      <c r="AL26" s="498"/>
      <c r="AM26" s="498"/>
      <c r="AN26" s="498"/>
      <c r="AO26" s="498"/>
      <c r="AP26" s="498"/>
      <c r="AQ26" s="498"/>
      <c r="AR26" s="498"/>
      <c r="AS26" s="498"/>
      <c r="AT26" s="498"/>
      <c r="AU26" s="498"/>
      <c r="AV26" s="498"/>
      <c r="AW26" s="498"/>
      <c r="AX26" s="498"/>
      <c r="AY26" s="499"/>
      <c r="AZ26" s="500"/>
      <c r="BA26" s="501"/>
      <c r="BB26" s="501"/>
      <c r="BC26" s="501">
        <v>-25</v>
      </c>
      <c r="BD26" s="501"/>
      <c r="BE26" s="501"/>
      <c r="BF26" s="501"/>
      <c r="BG26" s="501"/>
      <c r="BH26" s="501"/>
      <c r="BI26" s="501"/>
      <c r="BJ26" s="501"/>
      <c r="BK26" s="501"/>
      <c r="BL26" s="501"/>
      <c r="BM26" s="501"/>
      <c r="BN26" s="502"/>
      <c r="BO26" s="488"/>
      <c r="BP26" s="503"/>
      <c r="BQ26" s="503"/>
      <c r="BR26" s="503"/>
      <c r="BS26" s="503"/>
      <c r="BT26" s="503"/>
      <c r="BU26" s="503"/>
      <c r="BV26" s="503"/>
      <c r="BW26" s="503"/>
      <c r="BX26" s="503"/>
      <c r="BY26" s="503"/>
      <c r="BZ26" s="503"/>
      <c r="CA26" s="503"/>
      <c r="CB26" s="503"/>
      <c r="CC26" s="504"/>
      <c r="CD26" s="505" t="s">
        <v>647</v>
      </c>
      <c r="CE26" s="504"/>
      <c r="CF26" s="506"/>
      <c r="CG26" s="508">
        <f>IF(Imp_OK=_OK,ROW()-ROW(T_D_FIJOS[[#Headers],[N_Pb]]),IF(T_D_FIJOS[[#This Row],[IMPRIMIR]]="",0,COUNTA($CF$4:CF26)-1))</f>
        <v>0</v>
      </c>
      <c r="CH26"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1190Emp.E400100-25</v>
      </c>
    </row>
    <row r="27" spans="1:86" ht="28.7">
      <c r="A27" s="488">
        <f>ROW()-ROW(T_D_FIJOS[[#Headers],[Nº]])</f>
        <v>23</v>
      </c>
      <c r="B27" s="451" t="s">
        <v>805</v>
      </c>
      <c r="C27" s="489"/>
      <c r="D27" s="490"/>
      <c r="E27" s="490">
        <v>0.5</v>
      </c>
      <c r="F27" s="490">
        <v>0.5</v>
      </c>
      <c r="G27" s="490">
        <v>1.5</v>
      </c>
      <c r="H27" s="490">
        <v>1.5</v>
      </c>
      <c r="I27" s="490"/>
      <c r="J27" s="490"/>
      <c r="K27" s="490">
        <v>1.5</v>
      </c>
      <c r="L27" s="490">
        <v>1.5</v>
      </c>
      <c r="M27" s="490"/>
      <c r="N27" s="490"/>
      <c r="O27" s="490"/>
      <c r="P27" s="491"/>
      <c r="Q27" s="492">
        <v>45</v>
      </c>
      <c r="R27" s="363" t="s">
        <v>397</v>
      </c>
      <c r="S27" s="2" t="s">
        <v>416</v>
      </c>
      <c r="T27" s="2" t="s">
        <v>36</v>
      </c>
      <c r="U27" s="493"/>
      <c r="V27" s="494"/>
      <c r="W27" s="495"/>
      <c r="X27" s="495"/>
      <c r="Y27" s="495">
        <v>-200</v>
      </c>
      <c r="Z27" s="495"/>
      <c r="AA27" s="495"/>
      <c r="AB27" s="495"/>
      <c r="AC27" s="495"/>
      <c r="AD27" s="495"/>
      <c r="AE27" s="495"/>
      <c r="AF27" s="495"/>
      <c r="AG27" s="495"/>
      <c r="AH27" s="495"/>
      <c r="AI27" s="495"/>
      <c r="AJ27" s="496"/>
      <c r="AK27" s="497"/>
      <c r="AL27" s="498"/>
      <c r="AM27" s="498"/>
      <c r="AN27" s="498"/>
      <c r="AO27" s="498"/>
      <c r="AP27" s="498"/>
      <c r="AQ27" s="498"/>
      <c r="AR27" s="498"/>
      <c r="AS27" s="498"/>
      <c r="AT27" s="498">
        <v>-150</v>
      </c>
      <c r="AU27" s="498"/>
      <c r="AV27" s="498"/>
      <c r="AW27" s="498"/>
      <c r="AX27" s="498"/>
      <c r="AY27" s="499"/>
      <c r="AZ27" s="500"/>
      <c r="BA27" s="501"/>
      <c r="BB27" s="501"/>
      <c r="BC27" s="501">
        <v>-30</v>
      </c>
      <c r="BD27" s="501"/>
      <c r="BE27" s="501"/>
      <c r="BF27" s="501">
        <v>-35</v>
      </c>
      <c r="BG27" s="501"/>
      <c r="BH27" s="501"/>
      <c r="BI27" s="501"/>
      <c r="BJ27" s="501">
        <v>10</v>
      </c>
      <c r="BK27" s="501"/>
      <c r="BL27" s="501"/>
      <c r="BM27" s="501"/>
      <c r="BN27" s="502"/>
      <c r="BO27" s="488"/>
      <c r="BP27" s="503"/>
      <c r="BQ27" s="503"/>
      <c r="BR27" s="503"/>
      <c r="BS27" s="503"/>
      <c r="BT27" s="503"/>
      <c r="BU27" s="503"/>
      <c r="BV27" s="503"/>
      <c r="BW27" s="503"/>
      <c r="BX27" s="503"/>
      <c r="BY27" s="503"/>
      <c r="BZ27" s="503"/>
      <c r="CA27" s="503"/>
      <c r="CB27" s="503"/>
      <c r="CC27" s="504"/>
      <c r="CD27" s="505" t="s">
        <v>636</v>
      </c>
      <c r="CE27" s="504"/>
      <c r="CF27" s="506"/>
      <c r="CG27" s="508">
        <f>IF(Imp_OK=_OK,ROW()-ROW(T_D_FIJOS[[#Headers],[N_Pb]]),IF(T_D_FIJOS[[#This Row],[IMPRIMIR]]="",0,COUNTA($CF$4:CF27)-1))</f>
        <v>0</v>
      </c>
      <c r="CH27"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0,50,51,51,51,51,545A FijoFC-200-150-30-3510</v>
      </c>
    </row>
    <row r="28" spans="1:86" ht="28.7">
      <c r="A28" s="488">
        <f>ROW()-ROW(T_D_FIJOS[[#Headers],[Nº]])</f>
        <v>24</v>
      </c>
      <c r="B28" s="451" t="s">
        <v>806</v>
      </c>
      <c r="C28" s="489"/>
      <c r="D28" s="490"/>
      <c r="E28" s="490">
        <v>3</v>
      </c>
      <c r="F28" s="490">
        <v>3.0000000000000004</v>
      </c>
      <c r="G28" s="490">
        <v>3</v>
      </c>
      <c r="H28" s="490">
        <v>3</v>
      </c>
      <c r="I28" s="490">
        <v>3</v>
      </c>
      <c r="J28" s="490"/>
      <c r="K28" s="490">
        <v>1.5</v>
      </c>
      <c r="L28" s="490">
        <v>1.5</v>
      </c>
      <c r="M28" s="490"/>
      <c r="N28" s="490"/>
      <c r="O28" s="490"/>
      <c r="P28" s="491"/>
      <c r="Q28" s="492">
        <v>45</v>
      </c>
      <c r="R28" s="363" t="s">
        <v>396</v>
      </c>
      <c r="S28" s="2" t="s">
        <v>413</v>
      </c>
      <c r="T28" s="2"/>
      <c r="U28" s="493"/>
      <c r="V28" s="494"/>
      <c r="W28" s="495"/>
      <c r="X28" s="495"/>
      <c r="Y28" s="495"/>
      <c r="Z28" s="495">
        <v>500</v>
      </c>
      <c r="AA28" s="495"/>
      <c r="AB28" s="495"/>
      <c r="AC28" s="495"/>
      <c r="AD28" s="495"/>
      <c r="AE28" s="495"/>
      <c r="AF28" s="495"/>
      <c r="AG28" s="495"/>
      <c r="AH28" s="495"/>
      <c r="AI28" s="495"/>
      <c r="AJ28" s="496"/>
      <c r="AK28" s="497"/>
      <c r="AL28" s="498"/>
      <c r="AM28" s="498"/>
      <c r="AN28" s="498">
        <v>50</v>
      </c>
      <c r="AO28" s="498"/>
      <c r="AP28" s="498"/>
      <c r="AQ28" s="498">
        <v>-100</v>
      </c>
      <c r="AR28" s="498"/>
      <c r="AS28" s="498"/>
      <c r="AT28" s="498"/>
      <c r="AU28" s="498"/>
      <c r="AV28" s="498"/>
      <c r="AW28" s="498"/>
      <c r="AX28" s="498"/>
      <c r="AY28" s="499"/>
      <c r="AZ28" s="500"/>
      <c r="BA28" s="501"/>
      <c r="BB28" s="501">
        <v>-25</v>
      </c>
      <c r="BC28" s="501"/>
      <c r="BD28" s="501"/>
      <c r="BE28" s="501"/>
      <c r="BF28" s="501"/>
      <c r="BG28" s="501">
        <v>20</v>
      </c>
      <c r="BH28" s="501"/>
      <c r="BI28" s="501"/>
      <c r="BJ28" s="501"/>
      <c r="BK28" s="501"/>
      <c r="BL28" s="501"/>
      <c r="BM28" s="501"/>
      <c r="BN28" s="502"/>
      <c r="BO28" s="488"/>
      <c r="BP28" s="503"/>
      <c r="BQ28" s="503">
        <v>100</v>
      </c>
      <c r="BR28" s="503">
        <v>100</v>
      </c>
      <c r="BS28" s="503"/>
      <c r="BT28" s="503"/>
      <c r="BU28" s="503"/>
      <c r="BV28" s="503"/>
      <c r="BW28" s="503"/>
      <c r="BX28" s="503">
        <v>-70</v>
      </c>
      <c r="BY28" s="503">
        <v>-70</v>
      </c>
      <c r="BZ28" s="503"/>
      <c r="CA28" s="503"/>
      <c r="CB28" s="503"/>
      <c r="CC28" s="504"/>
      <c r="CD28" s="505" t="s">
        <v>637</v>
      </c>
      <c r="CE28" s="504"/>
      <c r="CF28" s="506"/>
      <c r="CG28" s="508">
        <f>IF(Imp_OK=_OK,ROW()-ROW(T_D_FIJOS[[#Headers],[N_Pb]]),IF(T_D_FIJOS[[#This Row],[IMPRIMIR]]="",0,COUNTA($CF$4:CF28)-1))</f>
        <v>0</v>
      </c>
      <c r="CH28"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333331,51,545Emp.K50050-100-2520100100-70-70</v>
      </c>
    </row>
    <row r="29" spans="1:86" ht="28.7">
      <c r="A29" s="488">
        <f>ROW()-ROW(T_D_FIJOS[[#Headers],[Nº]])</f>
        <v>25</v>
      </c>
      <c r="B29" s="451" t="s">
        <v>807</v>
      </c>
      <c r="C29" s="489"/>
      <c r="D29" s="490"/>
      <c r="E29" s="490">
        <v>0.5</v>
      </c>
      <c r="F29" s="490">
        <v>0.25000000000000006</v>
      </c>
      <c r="G29" s="490">
        <v>2</v>
      </c>
      <c r="H29" s="490">
        <v>2</v>
      </c>
      <c r="I29" s="490"/>
      <c r="J29" s="490"/>
      <c r="K29" s="490">
        <v>1.5</v>
      </c>
      <c r="L29" s="490">
        <v>1.5</v>
      </c>
      <c r="M29" s="490">
        <v>3</v>
      </c>
      <c r="N29" s="490">
        <v>3</v>
      </c>
      <c r="O29" s="490"/>
      <c r="P29" s="491"/>
      <c r="Q29" s="492">
        <v>63.43494882292201</v>
      </c>
      <c r="R29" s="363" t="s">
        <v>397</v>
      </c>
      <c r="S29" s="2" t="s">
        <v>36</v>
      </c>
      <c r="T29" s="2" t="s">
        <v>196</v>
      </c>
      <c r="U29" s="493"/>
      <c r="V29" s="494"/>
      <c r="W29" s="495"/>
      <c r="X29" s="495"/>
      <c r="Y29" s="495"/>
      <c r="Z29" s="495">
        <v>400</v>
      </c>
      <c r="AA29" s="495"/>
      <c r="AB29" s="495"/>
      <c r="AC29" s="495"/>
      <c r="AD29" s="495"/>
      <c r="AE29" s="495"/>
      <c r="AF29" s="495">
        <v>-200</v>
      </c>
      <c r="AG29" s="495"/>
      <c r="AH29" s="495"/>
      <c r="AI29" s="495"/>
      <c r="AJ29" s="496"/>
      <c r="AK29" s="497"/>
      <c r="AL29" s="498"/>
      <c r="AM29" s="498"/>
      <c r="AN29" s="498"/>
      <c r="AO29" s="498"/>
      <c r="AP29" s="498"/>
      <c r="AQ29" s="498">
        <v>-200</v>
      </c>
      <c r="AR29" s="498"/>
      <c r="AS29" s="498"/>
      <c r="AT29" s="498">
        <v>100</v>
      </c>
      <c r="AU29" s="498"/>
      <c r="AV29" s="498"/>
      <c r="AW29" s="498"/>
      <c r="AX29" s="498"/>
      <c r="AY29" s="499"/>
      <c r="AZ29" s="500"/>
      <c r="BA29" s="501"/>
      <c r="BB29" s="501"/>
      <c r="BC29" s="501"/>
      <c r="BD29" s="501">
        <v>-5</v>
      </c>
      <c r="BE29" s="501"/>
      <c r="BF29" s="501"/>
      <c r="BG29" s="501"/>
      <c r="BH29" s="501"/>
      <c r="BI29" s="501"/>
      <c r="BJ29" s="501"/>
      <c r="BK29" s="501">
        <v>25</v>
      </c>
      <c r="BL29" s="501"/>
      <c r="BM29" s="501"/>
      <c r="BN29" s="502"/>
      <c r="BO29" s="488"/>
      <c r="BP29" s="503"/>
      <c r="BQ29" s="503"/>
      <c r="BR29" s="503"/>
      <c r="BS29" s="503"/>
      <c r="BT29" s="503"/>
      <c r="BU29" s="503"/>
      <c r="BV29" s="503"/>
      <c r="BW29" s="503"/>
      <c r="BX29" s="503"/>
      <c r="BY29" s="503"/>
      <c r="BZ29" s="503">
        <v>-95</v>
      </c>
      <c r="CA29" s="503">
        <v>-95</v>
      </c>
      <c r="CB29" s="503"/>
      <c r="CC29" s="504"/>
      <c r="CD29" s="505" t="s">
        <v>677</v>
      </c>
      <c r="CE29" s="504"/>
      <c r="CF29" s="506"/>
      <c r="CG29" s="508">
        <f>IF(Imp_OK=_OK,ROW()-ROW(T_D_FIJOS[[#Headers],[N_Pb]]),IF(T_D_FIJOS[[#This Row],[IMPRIMIR]]="",0,COUNTA($CF$4:CF29)-1))</f>
        <v>0</v>
      </c>
      <c r="CH29"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0,50,25221,51,53363,434948822922A FijoCM400-200-200100-525-95-95</v>
      </c>
    </row>
    <row r="30" spans="1:86" ht="28.7">
      <c r="A30" s="488">
        <f>ROW()-ROW(T_D_FIJOS[[#Headers],[Nº]])</f>
        <v>26</v>
      </c>
      <c r="B30" s="451" t="s">
        <v>808</v>
      </c>
      <c r="C30" s="489"/>
      <c r="D30" s="490"/>
      <c r="E30" s="490"/>
      <c r="F30" s="490"/>
      <c r="G30" s="490">
        <v>3</v>
      </c>
      <c r="H30" s="490">
        <v>3</v>
      </c>
      <c r="I30" s="490"/>
      <c r="J30" s="490"/>
      <c r="K30" s="490">
        <v>1</v>
      </c>
      <c r="L30" s="490">
        <v>1</v>
      </c>
      <c r="M30" s="490">
        <v>3</v>
      </c>
      <c r="N30" s="490">
        <v>3</v>
      </c>
      <c r="O30" s="490"/>
      <c r="P30" s="491">
        <v>1.5</v>
      </c>
      <c r="Q30" s="492"/>
      <c r="R30" s="363" t="s">
        <v>396</v>
      </c>
      <c r="S30" s="2" t="s">
        <v>118</v>
      </c>
      <c r="T30" s="2"/>
      <c r="U30" s="493"/>
      <c r="V30" s="494"/>
      <c r="W30" s="495"/>
      <c r="X30" s="495"/>
      <c r="Y30" s="495"/>
      <c r="Z30" s="495">
        <v>-500</v>
      </c>
      <c r="AA30" s="495"/>
      <c r="AB30" s="495"/>
      <c r="AC30" s="495"/>
      <c r="AD30" s="495"/>
      <c r="AE30" s="495"/>
      <c r="AF30" s="495">
        <v>200</v>
      </c>
      <c r="AG30" s="495"/>
      <c r="AH30" s="495"/>
      <c r="AI30" s="495"/>
      <c r="AJ30" s="496"/>
      <c r="AK30" s="497"/>
      <c r="AL30" s="498"/>
      <c r="AM30" s="498"/>
      <c r="AN30" s="498"/>
      <c r="AO30" s="498"/>
      <c r="AP30" s="498"/>
      <c r="AQ30" s="498"/>
      <c r="AR30" s="498"/>
      <c r="AS30" s="498"/>
      <c r="AT30" s="498">
        <v>-150</v>
      </c>
      <c r="AU30" s="498"/>
      <c r="AV30" s="498"/>
      <c r="AW30" s="498"/>
      <c r="AX30" s="498"/>
      <c r="AY30" s="499"/>
      <c r="AZ30" s="500"/>
      <c r="BA30" s="501"/>
      <c r="BB30" s="501"/>
      <c r="BC30" s="501"/>
      <c r="BD30" s="501">
        <v>-45</v>
      </c>
      <c r="BE30" s="501"/>
      <c r="BF30" s="501"/>
      <c r="BG30" s="501"/>
      <c r="BH30" s="501"/>
      <c r="BI30" s="501"/>
      <c r="BJ30" s="501">
        <v>15</v>
      </c>
      <c r="BK30" s="501"/>
      <c r="BL30" s="501"/>
      <c r="BM30" s="501"/>
      <c r="BN30" s="502"/>
      <c r="BO30" s="488"/>
      <c r="BP30" s="503"/>
      <c r="BQ30" s="503"/>
      <c r="BR30" s="503"/>
      <c r="BS30" s="503"/>
      <c r="BT30" s="503"/>
      <c r="BU30" s="503"/>
      <c r="BV30" s="503"/>
      <c r="BW30" s="503"/>
      <c r="BX30" s="503"/>
      <c r="BY30" s="503"/>
      <c r="BZ30" s="503">
        <v>85</v>
      </c>
      <c r="CA30" s="503">
        <v>85</v>
      </c>
      <c r="CB30" s="503"/>
      <c r="CC30" s="504"/>
      <c r="CD30" s="505" t="s">
        <v>639</v>
      </c>
      <c r="CE30" s="504"/>
      <c r="CF30" s="506"/>
      <c r="CG30" s="508">
        <f>IF(Imp_OK=_OK,ROW()-ROW(T_D_FIJOS[[#Headers],[N_Pb]]),IF(T_D_FIJOS[[#This Row],[IMPRIMIR]]="",0,COUNTA($CF$4:CF30)-1))</f>
        <v>0</v>
      </c>
      <c r="CH30"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3311331,5Emp.O-500200-150-45158585</v>
      </c>
    </row>
    <row r="31" spans="1:86" ht="28.7">
      <c r="A31" s="488">
        <f>ROW()-ROW(T_D_FIJOS[[#Headers],[Nº]])</f>
        <v>27</v>
      </c>
      <c r="B31" s="451" t="s">
        <v>809</v>
      </c>
      <c r="C31" s="489"/>
      <c r="D31" s="490"/>
      <c r="E31" s="490"/>
      <c r="F31" s="490"/>
      <c r="G31" s="490">
        <v>2</v>
      </c>
      <c r="H31" s="490">
        <v>2</v>
      </c>
      <c r="I31" s="490">
        <v>0.5</v>
      </c>
      <c r="J31" s="490">
        <v>0.5</v>
      </c>
      <c r="K31" s="490">
        <v>3</v>
      </c>
      <c r="L31" s="490">
        <v>3</v>
      </c>
      <c r="M31" s="490">
        <v>2.5</v>
      </c>
      <c r="N31" s="490">
        <v>2.5</v>
      </c>
      <c r="O31" s="490">
        <v>2.5</v>
      </c>
      <c r="P31" s="491">
        <v>1</v>
      </c>
      <c r="Q31" s="492"/>
      <c r="R31" s="363" t="s">
        <v>397</v>
      </c>
      <c r="S31" s="2" t="s">
        <v>416</v>
      </c>
      <c r="T31" s="2" t="s">
        <v>40</v>
      </c>
      <c r="U31" s="493"/>
      <c r="V31" s="494"/>
      <c r="W31" s="495"/>
      <c r="X31" s="495"/>
      <c r="Y31" s="495"/>
      <c r="Z31" s="495">
        <v>-50</v>
      </c>
      <c r="AA31" s="495"/>
      <c r="AB31" s="495"/>
      <c r="AC31" s="495"/>
      <c r="AD31" s="495">
        <v>-400</v>
      </c>
      <c r="AE31" s="495"/>
      <c r="AF31" s="495"/>
      <c r="AG31" s="495">
        <v>250</v>
      </c>
      <c r="AH31" s="495"/>
      <c r="AI31" s="495"/>
      <c r="AJ31" s="496"/>
      <c r="AK31" s="497"/>
      <c r="AL31" s="498"/>
      <c r="AM31" s="498"/>
      <c r="AN31" s="498"/>
      <c r="AO31" s="498"/>
      <c r="AP31" s="498"/>
      <c r="AQ31" s="498">
        <v>150</v>
      </c>
      <c r="AR31" s="498"/>
      <c r="AS31" s="498"/>
      <c r="AT31" s="498">
        <v>200</v>
      </c>
      <c r="AU31" s="498"/>
      <c r="AV31" s="498"/>
      <c r="AW31" s="498">
        <v>-50</v>
      </c>
      <c r="AX31" s="498"/>
      <c r="AY31" s="499"/>
      <c r="AZ31" s="500"/>
      <c r="BA31" s="501"/>
      <c r="BB31" s="501"/>
      <c r="BC31" s="501"/>
      <c r="BD31" s="501">
        <v>-5</v>
      </c>
      <c r="BE31" s="501"/>
      <c r="BF31" s="501"/>
      <c r="BG31" s="501"/>
      <c r="BH31" s="501">
        <v>20</v>
      </c>
      <c r="BI31" s="501"/>
      <c r="BJ31" s="501"/>
      <c r="BK31" s="501">
        <v>-5</v>
      </c>
      <c r="BL31" s="501"/>
      <c r="BM31" s="501"/>
      <c r="BN31" s="502">
        <v>35</v>
      </c>
      <c r="BO31" s="488"/>
      <c r="BP31" s="503"/>
      <c r="BQ31" s="503"/>
      <c r="BR31" s="503"/>
      <c r="BS31" s="503"/>
      <c r="BT31" s="503"/>
      <c r="BU31" s="503"/>
      <c r="BV31" s="503">
        <v>-95</v>
      </c>
      <c r="BW31" s="503">
        <v>-95</v>
      </c>
      <c r="BX31" s="503"/>
      <c r="BY31" s="503"/>
      <c r="BZ31" s="503"/>
      <c r="CA31" s="503"/>
      <c r="CB31" s="503"/>
      <c r="CC31" s="504"/>
      <c r="CD31" s="505" t="s">
        <v>678</v>
      </c>
      <c r="CE31" s="504"/>
      <c r="CF31" s="506"/>
      <c r="CG31" s="508">
        <f>IF(Imp_OK=_OK,ROW()-ROW(T_D_FIJOS[[#Headers],[N_Pb]]),IF(T_D_FIJOS[[#This Row],[IMPRIMIR]]="",0,COUNTA($CF$4:CF31)-1))</f>
        <v>0</v>
      </c>
      <c r="CH31" s="507" t="str">
        <f>T_D_FIJOS[[#This Row],[L_AB]]&amp;T_D_FIJOS[[#This Row],[L_BC]]&amp;T_D_FIJOS[[#This Row],[L_Cev]]&amp;T_D_FIJOS[[#This Row],[L_DE]]&amp;T_D_FIJOS[[#This Row],[L_EF]]&amp;T_D_FIJOS[[#This Row],[L_FG]]&amp;T_D_FIJOS[[#This Row],[L_GH]]&amp;T_D_FIJOS[[#This Row],[L_HI]]&amp;T_D_FIJOS[[#This Row],[L_GJ]]&amp;T_D_FIJOS[[#This Row],[L_JK]]&amp;
 T_D_FIJOS[[#This Row],[L_KL]]&amp;T_D_FIJOS[[#This Row],[L_LM]]&amp;  T_D_FIJOS[[#This Row],[L_MN]]&amp;T_D_FIJOS[[#This Row],[L_MO]]&amp;T_D_FIJOS[[#This Row],[a C]]&amp;T_D_FIJOS[[#This Row],[Tipo]]&amp;T_D_FIJOS[[#This Row],[Nudo Fijo]]&amp;T_D_FIJOS[[#This Row],[Nudo Móvil]]&amp;T_D_FIJOS[[#This Row],[Articulación]]&amp;
 T_D_FIJOS[[#This Row],[Fv_A]]&amp;T_D_FIJOS[[#This Row],[Fv_B]]&amp;T_D_FIJOS[[#This Row],[Fv_C]]&amp;T_D_FIJOS[[#This Row],[Fv_D]]&amp;T_D_FIJOS[[#This Row],[Fv_E]]&amp;T_D_FIJOS[[#This Row],[Fv_F]]&amp;T_D_FIJOS[[#This Row],[Fv_G]]&amp;T_D_FIJOS[[#This Row],[Fv_H]]&amp;T_D_FIJOS[[#This Row],[Fv_I]]&amp;T_D_FIJOS[[#This Row],[Fv_J]]&amp;
 T_D_FIJOS[[#This Row],[Fv_K]]&amp;T_D_FIJOS[[#This Row],[Fv_L]]&amp;  T_D_FIJOS[[#This Row],[Fv_M]]&amp;T_D_FIJOS[[#This Row],[Fv_N]]&amp;T_D_FIJOS[[#This Row],[Fv_O]]&amp;
 T_D_FIJOS[[#This Row],[Fh_A]]&amp;T_D_FIJOS[[#This Row],[Fh_B]]&amp;T_D_FIJOS[[#This Row],[Fh_C]]&amp;T_D_FIJOS[[#This Row],[Fh_D]]&amp;T_D_FIJOS[[#This Row],[Fh_E]]&amp;T_D_FIJOS[[#This Row],[Fh_F]]&amp;T_D_FIJOS[[#This Row],[Fh_G]]&amp;T_D_FIJOS[[#This Row],[Fh_H]]&amp;T_D_FIJOS[[#This Row],[Fh_I]]&amp;T_D_FIJOS[[#This Row],[Fh_J]]&amp;
 T_D_FIJOS[[#This Row],[Fh_K]]&amp;T_D_FIJOS[[#This Row],[Fh_L]]&amp;T_D_FIJOS[[#This Row],[Fh_M]]&amp;T_D_FIJOS[[#This Row],[Fh_N]]&amp;T_D_FIJOS[[#This Row],[Fh_O]]&amp;
 T_D_FIJOS[[#This Row],[Mz_A]]&amp;T_D_FIJOS[[#This Row],[Mz_B]]&amp;T_D_FIJOS[[#This Row],[Mz_C]]&amp;T_D_FIJOS[[#This Row],[Mz_D]]&amp;T_D_FIJOS[[#This Row],[Mz_E]]&amp;T_D_FIJOS[[#This Row],[Mz_F]]&amp;T_D_FIJOS[[#This Row],[Mz_G]]&amp;T_D_FIJOS[[#This Row],[Mz_H]]&amp;T_D_FIJOS[[#This Row],[Mz_I]]&amp;T_D_FIJOS[[#This Row],[Mz_J]]&amp;
 T_D_FIJOS[[#This Row],[Mz_K]]&amp;T_D_FIJOS[[#This Row],[Mz_L]]&amp;T_D_FIJOS[[#This Row],[Mz_M]]&amp;T_D_FIJOS[[#This Row],[Mz_N]]&amp;T_D_FIJOS[[#This Row],[Mz_O]]&amp;
 T_D_FIJOS[[#This Row],[q_AB]]&amp;T_D_FIJOS[[#This Row],[q_BC]]&amp;T_D_FIJOS[[#This Row],[q_CE_h]]&amp;T_D_FIJOS[[#This Row],[q_CE_v]]&amp;T_D_FIJOS[[#This Row],[q_CE]]&amp;T_D_FIJOS[[#This Row],[q_EF]]&amp;T_D_FIJOS[[#This Row],[q_FG]]&amp;T_D_FIJOS[[#This Row],[q_GH]]&amp;T_D_FIJOS[[#This Row],[q_HI]]&amp;T_D_FIJOS[[#This Row],[q_GJ]]&amp;
 T_D_FIJOS[[#This Row],[q_JK]]&amp;T_D_FIJOS[[#This Row],[q_KL]]&amp;T_D_FIJOS[[#This Row],[q_LM]]&amp;T_D_FIJOS[[#This Row],[q_MN]]</f>
        <v>220,50,5332,52,52,51A FijoFH-50-400250150200-50-520-535-95-95</v>
      </c>
    </row>
  </sheetData>
  <sheetProtection algorithmName="SHA-512" hashValue="WsYVFOfZKI7RUiVHy2LIabp0osMY7YqV2oSh6kuchP/XuiF1X93rmQbUIANo0ftxW9tbxtEc2rIQ7qCCeFEmDQ==" saltValue="nPJjkDn7qH1PmN67ROu83w==" spinCount="100000" sheet="1" objects="1" scenarios="1" formatColumns="0" selectLockedCells="1" sort="0" autoFilter="0"/>
  <phoneticPr fontId="37" type="noConversion"/>
  <conditionalFormatting sqref="B3">
    <cfRule type="duplicateValues" dxfId="229" priority="201"/>
  </conditionalFormatting>
  <conditionalFormatting sqref="B5:B31 CH5:CH31">
    <cfRule type="duplicateValues" dxfId="228" priority="7897"/>
  </conditionalFormatting>
  <dataValidations disablePrompts="1" count="3">
    <dataValidation type="decimal" allowBlank="1" showInputMessage="1" showErrorMessage="1" sqref="V5:CC31" xr:uid="{00000000-0002-0000-0200-000000000000}">
      <formula1>-1000000</formula1>
      <formula2>1000000</formula2>
    </dataValidation>
    <dataValidation type="decimal" allowBlank="1" showInputMessage="1" showErrorMessage="1" sqref="C5:P31" xr:uid="{00000000-0002-0000-0200-000001000000}">
      <formula1>-100000</formula1>
      <formula2>100000</formula2>
    </dataValidation>
    <dataValidation type="decimal" allowBlank="1" showInputMessage="1" showErrorMessage="1" errorTitle="Angulo" error="Debes introducir un ángulo entre 0 y 90º" sqref="Q5:Q31" xr:uid="{00000000-0002-0000-0200-000002000000}">
      <formula1>0</formula1>
      <formula2>90</formula2>
    </dataValidation>
  </dataValidations>
  <pageMargins left="0.7" right="0.7" top="0.75" bottom="0.75" header="0.3" footer="0.3"/>
  <pageSetup paperSize="9" orientation="portrait" horizontalDpi="1200" verticalDpi="1200"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200-000003000000}">
          <x14:formula1>
            <xm:f>OCULTOS!$N$2:$N$4</xm:f>
          </x14:formula1>
          <xm:sqref>R5:R31</xm:sqref>
        </x14:dataValidation>
        <x14:dataValidation type="list" allowBlank="1" showInputMessage="1" showErrorMessage="1" error="Introduce una letra de apoyo correcta" xr:uid="{00000000-0002-0000-0200-000004000000}">
          <x14:formula1>
            <xm:f>OCULTOS!$Y$14:$Y$28</xm:f>
          </x14:formula1>
          <xm:sqref>S5:U31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_Datos_Variables">
    <tabColor rgb="FF00B0F0"/>
  </sheetPr>
  <dimension ref="A1:XAC60"/>
  <sheetViews>
    <sheetView showGridLines="0" showRowColHeaders="0" zoomScaleNormal="100" workbookViewId="0">
      <pane xSplit="1" ySplit="4" topLeftCell="C5" activePane="bottomRight" state="frozen"/>
      <selection pane="topRight" activeCell="B1" sqref="B1"/>
      <selection pane="bottomLeft" activeCell="A4" sqref="A4"/>
      <selection pane="bottomRight" activeCell="CF5" sqref="CF5"/>
    </sheetView>
  </sheetViews>
  <sheetFormatPr baseColWidth="10" defaultColWidth="0" defaultRowHeight="14.35" zeroHeight="1" outlineLevelRow="1" outlineLevelCol="1"/>
  <cols>
    <col min="1" max="1" width="26" bestFit="1" customWidth="1"/>
    <col min="2" max="2" width="28.87890625" hidden="1" customWidth="1" outlineLevel="1"/>
    <col min="3" max="3" width="6" customWidth="1" collapsed="1"/>
    <col min="4" max="16" width="6" hidden="1" customWidth="1" outlineLevel="1"/>
    <col min="17" max="17" width="4.76171875" bestFit="1" customWidth="1" collapsed="1"/>
    <col min="18" max="18" width="6" customWidth="1"/>
    <col min="19" max="21" width="5.76171875" hidden="1" customWidth="1" outlineLevel="1"/>
    <col min="22" max="22" width="5.76171875" customWidth="1" collapsed="1"/>
    <col min="23" max="36" width="5.76171875" hidden="1" customWidth="1" outlineLevel="1"/>
    <col min="37" max="37" width="5.76171875" customWidth="1" collapsed="1"/>
    <col min="38" max="51" width="5.76171875" hidden="1" customWidth="1" outlineLevel="1"/>
    <col min="52" max="52" width="5.76171875" customWidth="1" collapsed="1"/>
    <col min="53" max="66" width="5.76171875" hidden="1" customWidth="1" outlineLevel="1"/>
    <col min="67" max="67" width="5.64453125" customWidth="1" collapsed="1"/>
    <col min="68" max="70" width="5.64453125" hidden="1" customWidth="1" outlineLevel="1"/>
    <col min="71" max="71" width="6.41015625" hidden="1" customWidth="1" outlineLevel="1"/>
    <col min="72" max="81" width="5.64453125" hidden="1" customWidth="1" outlineLevel="1"/>
    <col min="82" max="82" width="30.64453125" customWidth="1" collapsed="1"/>
    <col min="83" max="83" width="15.64453125" hidden="1" customWidth="1" outlineLevel="1"/>
    <col min="84" max="84" width="7.64453125" customWidth="1" collapsed="1"/>
    <col min="85" max="85" width="2.64453125" customWidth="1"/>
    <col min="86" max="86" width="3.64453125" customWidth="1"/>
    <col min="87" max="87" width="10.76171875" customWidth="1"/>
    <col min="88" max="16253" width="10.76171875" hidden="1" customWidth="1"/>
    <col min="16254" max="16384" width="5.64453125" hidden="1" customWidth="1"/>
  </cols>
  <sheetData>
    <row r="1" spans="1:85" hidden="1">
      <c r="B1" s="393" t="s">
        <v>0</v>
      </c>
      <c r="C1" s="394" t="s">
        <v>44</v>
      </c>
      <c r="D1" s="395" t="s">
        <v>45</v>
      </c>
      <c r="E1" s="395" t="s">
        <v>46</v>
      </c>
      <c r="F1" s="395" t="s">
        <v>415</v>
      </c>
      <c r="G1" s="395" t="s">
        <v>47</v>
      </c>
      <c r="H1" s="395" t="s">
        <v>48</v>
      </c>
      <c r="I1" s="395" t="s">
        <v>49</v>
      </c>
      <c r="J1" s="395" t="s">
        <v>50</v>
      </c>
      <c r="K1" s="395" t="s">
        <v>51</v>
      </c>
      <c r="L1" s="395" t="s">
        <v>52</v>
      </c>
      <c r="M1" s="395" t="s">
        <v>53</v>
      </c>
      <c r="N1" s="395" t="s">
        <v>54</v>
      </c>
      <c r="O1" s="395" t="s">
        <v>55</v>
      </c>
      <c r="P1" s="395" t="s">
        <v>56</v>
      </c>
      <c r="Q1" s="395" t="s">
        <v>405</v>
      </c>
      <c r="R1" s="396" t="s">
        <v>450</v>
      </c>
      <c r="S1" s="396" t="s">
        <v>410</v>
      </c>
      <c r="T1" s="396" t="s">
        <v>411</v>
      </c>
      <c r="U1" s="396" t="s">
        <v>558</v>
      </c>
      <c r="V1" s="394" t="s">
        <v>58</v>
      </c>
      <c r="W1" s="395" t="s">
        <v>59</v>
      </c>
      <c r="X1" s="395" t="s">
        <v>60</v>
      </c>
      <c r="Y1" s="395" t="s">
        <v>61</v>
      </c>
      <c r="Z1" s="395" t="s">
        <v>62</v>
      </c>
      <c r="AA1" s="395" t="s">
        <v>63</v>
      </c>
      <c r="AB1" s="395" t="s">
        <v>64</v>
      </c>
      <c r="AC1" s="395" t="s">
        <v>65</v>
      </c>
      <c r="AD1" s="395" t="s">
        <v>66</v>
      </c>
      <c r="AE1" s="395" t="s">
        <v>67</v>
      </c>
      <c r="AF1" s="395" t="s">
        <v>68</v>
      </c>
      <c r="AG1" s="395" t="s">
        <v>69</v>
      </c>
      <c r="AH1" s="395" t="s">
        <v>70</v>
      </c>
      <c r="AI1" s="395" t="s">
        <v>71</v>
      </c>
      <c r="AJ1" s="397" t="s">
        <v>72</v>
      </c>
      <c r="AK1" s="394" t="s">
        <v>73</v>
      </c>
      <c r="AL1" s="395" t="s">
        <v>74</v>
      </c>
      <c r="AM1" s="395" t="s">
        <v>75</v>
      </c>
      <c r="AN1" s="395" t="s">
        <v>76</v>
      </c>
      <c r="AO1" s="395" t="s">
        <v>77</v>
      </c>
      <c r="AP1" s="395" t="s">
        <v>78</v>
      </c>
      <c r="AQ1" s="395" t="s">
        <v>79</v>
      </c>
      <c r="AR1" s="395" t="s">
        <v>80</v>
      </c>
      <c r="AS1" s="395" t="s">
        <v>81</v>
      </c>
      <c r="AT1" s="395" t="s">
        <v>82</v>
      </c>
      <c r="AU1" s="395" t="s">
        <v>83</v>
      </c>
      <c r="AV1" s="395" t="s">
        <v>84</v>
      </c>
      <c r="AW1" s="395" t="s">
        <v>85</v>
      </c>
      <c r="AX1" s="395" t="s">
        <v>86</v>
      </c>
      <c r="AY1" s="397" t="s">
        <v>87</v>
      </c>
      <c r="AZ1" s="394" t="s">
        <v>88</v>
      </c>
      <c r="BA1" s="395" t="s">
        <v>89</v>
      </c>
      <c r="BB1" s="395" t="s">
        <v>90</v>
      </c>
      <c r="BC1" s="395" t="s">
        <v>91</v>
      </c>
      <c r="BD1" s="395" t="s">
        <v>92</v>
      </c>
      <c r="BE1" s="395" t="s">
        <v>93</v>
      </c>
      <c r="BF1" s="395" t="s">
        <v>94</v>
      </c>
      <c r="BG1" s="395" t="s">
        <v>95</v>
      </c>
      <c r="BH1" s="395" t="s">
        <v>96</v>
      </c>
      <c r="BI1" s="395" t="s">
        <v>97</v>
      </c>
      <c r="BJ1" s="395" t="s">
        <v>98</v>
      </c>
      <c r="BK1" s="395" t="s">
        <v>99</v>
      </c>
      <c r="BL1" s="395" t="s">
        <v>100</v>
      </c>
      <c r="BM1" s="395" t="s">
        <v>101</v>
      </c>
      <c r="BN1" s="397" t="s">
        <v>102</v>
      </c>
      <c r="BO1" s="394" t="s">
        <v>103</v>
      </c>
      <c r="BP1" s="395" t="s">
        <v>104</v>
      </c>
      <c r="BQ1" s="395" t="s">
        <v>447</v>
      </c>
      <c r="BR1" s="395" t="s">
        <v>446</v>
      </c>
      <c r="BS1" s="395" t="s">
        <v>107</v>
      </c>
      <c r="BT1" s="395" t="s">
        <v>108</v>
      </c>
      <c r="BU1" s="395" t="s">
        <v>109</v>
      </c>
      <c r="BV1" s="395" t="s">
        <v>110</v>
      </c>
      <c r="BW1" s="395" t="s">
        <v>111</v>
      </c>
      <c r="BX1" s="395" t="s">
        <v>112</v>
      </c>
      <c r="BY1" s="395" t="s">
        <v>113</v>
      </c>
      <c r="BZ1" s="395" t="s">
        <v>114</v>
      </c>
      <c r="CA1" s="395" t="s">
        <v>115</v>
      </c>
      <c r="CB1" s="395" t="s">
        <v>116</v>
      </c>
      <c r="CC1" s="397" t="s">
        <v>117</v>
      </c>
      <c r="CD1" s="398"/>
      <c r="CE1" s="399" t="s">
        <v>404</v>
      </c>
      <c r="CF1" s="400">
        <f>COUNT(T_D_VAR[Nº a GENERAR])</f>
        <v>27</v>
      </c>
      <c r="CG1" s="5">
        <f>SUM(T_D_VAR[Nº a GENERAR])</f>
        <v>27</v>
      </c>
    </row>
    <row r="2" spans="1:85" hidden="1">
      <c r="R2" s="2"/>
      <c r="S2" s="2"/>
      <c r="T2" s="2"/>
      <c r="U2" s="2"/>
      <c r="CG2" s="21"/>
    </row>
    <row r="3" spans="1:85" hidden="1">
      <c r="R3" s="2"/>
      <c r="S3" s="2"/>
      <c r="T3" s="2"/>
      <c r="U3" s="2"/>
      <c r="CG3" s="21"/>
    </row>
    <row r="4" spans="1:85" ht="30" customHeight="1">
      <c r="A4" s="401" t="s">
        <v>748</v>
      </c>
      <c r="B4" s="401" t="s">
        <v>0</v>
      </c>
      <c r="C4" s="402" t="s">
        <v>44</v>
      </c>
      <c r="D4" s="403" t="s">
        <v>45</v>
      </c>
      <c r="E4" s="403" t="s">
        <v>540</v>
      </c>
      <c r="F4" s="403" t="s">
        <v>415</v>
      </c>
      <c r="G4" s="403" t="s">
        <v>47</v>
      </c>
      <c r="H4" s="403" t="s">
        <v>48</v>
      </c>
      <c r="I4" s="403" t="s">
        <v>49</v>
      </c>
      <c r="J4" s="403" t="s">
        <v>50</v>
      </c>
      <c r="K4" s="403" t="s">
        <v>51</v>
      </c>
      <c r="L4" s="403" t="s">
        <v>52</v>
      </c>
      <c r="M4" s="403" t="s">
        <v>53</v>
      </c>
      <c r="N4" s="403" t="s">
        <v>54</v>
      </c>
      <c r="O4" s="403" t="s">
        <v>55</v>
      </c>
      <c r="P4" s="403" t="s">
        <v>56</v>
      </c>
      <c r="Q4" s="404" t="s">
        <v>57</v>
      </c>
      <c r="R4" s="405" t="s">
        <v>408</v>
      </c>
      <c r="S4" s="405" t="s">
        <v>406</v>
      </c>
      <c r="T4" s="405" t="s">
        <v>407</v>
      </c>
      <c r="U4" s="405" t="s">
        <v>557</v>
      </c>
      <c r="V4" s="406" t="s">
        <v>58</v>
      </c>
      <c r="W4" s="407" t="s">
        <v>59</v>
      </c>
      <c r="X4" s="407" t="s">
        <v>60</v>
      </c>
      <c r="Y4" s="407" t="s">
        <v>61</v>
      </c>
      <c r="Z4" s="407" t="s">
        <v>62</v>
      </c>
      <c r="AA4" s="407" t="s">
        <v>63</v>
      </c>
      <c r="AB4" s="407" t="s">
        <v>64</v>
      </c>
      <c r="AC4" s="407" t="s">
        <v>65</v>
      </c>
      <c r="AD4" s="407" t="s">
        <v>66</v>
      </c>
      <c r="AE4" s="407" t="s">
        <v>67</v>
      </c>
      <c r="AF4" s="407" t="s">
        <v>68</v>
      </c>
      <c r="AG4" s="407" t="s">
        <v>69</v>
      </c>
      <c r="AH4" s="407" t="s">
        <v>70</v>
      </c>
      <c r="AI4" s="407" t="s">
        <v>71</v>
      </c>
      <c r="AJ4" s="408" t="s">
        <v>72</v>
      </c>
      <c r="AK4" s="406" t="s">
        <v>73</v>
      </c>
      <c r="AL4" s="407" t="s">
        <v>74</v>
      </c>
      <c r="AM4" s="407" t="s">
        <v>75</v>
      </c>
      <c r="AN4" s="407" t="s">
        <v>76</v>
      </c>
      <c r="AO4" s="407" t="s">
        <v>77</v>
      </c>
      <c r="AP4" s="407" t="s">
        <v>78</v>
      </c>
      <c r="AQ4" s="407" t="s">
        <v>79</v>
      </c>
      <c r="AR4" s="407" t="s">
        <v>80</v>
      </c>
      <c r="AS4" s="407" t="s">
        <v>81</v>
      </c>
      <c r="AT4" s="407" t="s">
        <v>82</v>
      </c>
      <c r="AU4" s="407" t="s">
        <v>83</v>
      </c>
      <c r="AV4" s="407" t="s">
        <v>84</v>
      </c>
      <c r="AW4" s="407" t="s">
        <v>85</v>
      </c>
      <c r="AX4" s="407" t="s">
        <v>86</v>
      </c>
      <c r="AY4" s="408" t="s">
        <v>87</v>
      </c>
      <c r="AZ4" s="406" t="s">
        <v>88</v>
      </c>
      <c r="BA4" s="407" t="s">
        <v>89</v>
      </c>
      <c r="BB4" s="407" t="s">
        <v>90</v>
      </c>
      <c r="BC4" s="407" t="s">
        <v>91</v>
      </c>
      <c r="BD4" s="407" t="s">
        <v>92</v>
      </c>
      <c r="BE4" s="407" t="s">
        <v>93</v>
      </c>
      <c r="BF4" s="407" t="s">
        <v>94</v>
      </c>
      <c r="BG4" s="407" t="s">
        <v>95</v>
      </c>
      <c r="BH4" s="407" t="s">
        <v>96</v>
      </c>
      <c r="BI4" s="407" t="s">
        <v>97</v>
      </c>
      <c r="BJ4" s="407" t="s">
        <v>98</v>
      </c>
      <c r="BK4" s="407" t="s">
        <v>99</v>
      </c>
      <c r="BL4" s="407" t="s">
        <v>100</v>
      </c>
      <c r="BM4" s="407" t="s">
        <v>101</v>
      </c>
      <c r="BN4" s="408" t="s">
        <v>102</v>
      </c>
      <c r="BO4" s="406" t="s">
        <v>103</v>
      </c>
      <c r="BP4" s="407" t="s">
        <v>104</v>
      </c>
      <c r="BQ4" s="407" t="s">
        <v>105</v>
      </c>
      <c r="BR4" s="407" t="s">
        <v>106</v>
      </c>
      <c r="BS4" s="407" t="s">
        <v>107</v>
      </c>
      <c r="BT4" s="407" t="s">
        <v>108</v>
      </c>
      <c r="BU4" s="407" t="s">
        <v>109</v>
      </c>
      <c r="BV4" s="407" t="s">
        <v>110</v>
      </c>
      <c r="BW4" s="407" t="s">
        <v>111</v>
      </c>
      <c r="BX4" s="407" t="s">
        <v>112</v>
      </c>
      <c r="BY4" s="407" t="s">
        <v>113</v>
      </c>
      <c r="BZ4" s="407" t="s">
        <v>114</v>
      </c>
      <c r="CA4" s="407" t="s">
        <v>115</v>
      </c>
      <c r="CB4" s="407" t="s">
        <v>116</v>
      </c>
      <c r="CC4" s="409" t="s">
        <v>117</v>
      </c>
      <c r="CD4" s="409" t="s">
        <v>575</v>
      </c>
      <c r="CE4" s="407" t="s">
        <v>404</v>
      </c>
      <c r="CF4" s="407" t="s">
        <v>764</v>
      </c>
      <c r="CG4" s="461" t="s">
        <v>747</v>
      </c>
    </row>
    <row r="5" spans="1:85" ht="33.75" customHeight="1">
      <c r="A5" s="463" t="s">
        <v>580</v>
      </c>
      <c r="B5"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Pilar-Empotrado-Libre: 4,5 m; 1 Pv; 1 Ph; 2 q (-520)</v>
      </c>
      <c r="C5" s="411">
        <f ca="1">MROUND(RANDBETWEEN(MinL,MaxL),MulL)/10</f>
        <v>1.5</v>
      </c>
      <c r="D5" s="412">
        <f ca="1">IF(L_1Iguales=_OK,T_D_VAR[[#This Row],[L_AB]],MROUND(RANDBETWEEN(MinL,MaxL),MulL)/10)</f>
        <v>1.5</v>
      </c>
      <c r="E5" s="412">
        <f ca="1">IF(L_1Iguales=_OK,T_D_VAR[[#This Row],[L_AB]],MROUND(RANDBETWEEN(MinL,MaxL),MulL)/10)</f>
        <v>1.5</v>
      </c>
      <c r="F5" s="412"/>
      <c r="G5" s="412"/>
      <c r="H5" s="412"/>
      <c r="I5" s="412"/>
      <c r="J5" s="412"/>
      <c r="K5" s="412"/>
      <c r="L5" s="412"/>
      <c r="M5" s="412"/>
      <c r="N5" s="412"/>
      <c r="O5" s="412"/>
      <c r="P5" s="412"/>
      <c r="Q5" s="413"/>
      <c r="R5" s="464" t="s">
        <v>396</v>
      </c>
      <c r="S5" s="450" t="s">
        <v>12</v>
      </c>
      <c r="T5" s="450"/>
      <c r="U5" s="450"/>
      <c r="V5" s="414"/>
      <c r="W5" s="415">
        <f ca="1">MROUND(RANDBETWEEN(MinFv,MaxFv),MulFv)*RANDBETWEEN(-1,1)*IF(OR(X5&lt;&gt;0,Y5&lt;&gt;0),0,1)</f>
        <v>0</v>
      </c>
      <c r="X5" s="415">
        <f ca="1">MROUND(RANDBETWEEN(MinFv,MaxFv),MulFv)*RANDBETWEEN(-1,1)*IF(Y5=0,1,0)</f>
        <v>-300</v>
      </c>
      <c r="Y5" s="415">
        <f ca="1">MROUND(RANDBETWEEN(MinFv,MaxFv),MulFv)*RANDBETWEEN(-1,1)</f>
        <v>0</v>
      </c>
      <c r="Z5" s="415"/>
      <c r="AA5" s="415"/>
      <c r="AB5" s="415"/>
      <c r="AC5" s="415"/>
      <c r="AD5" s="415"/>
      <c r="AE5" s="415"/>
      <c r="AF5" s="415"/>
      <c r="AG5" s="415"/>
      <c r="AH5" s="415"/>
      <c r="AI5" s="415"/>
      <c r="AJ5" s="416"/>
      <c r="AK5" s="417"/>
      <c r="AL5" s="418">
        <f ca="1">MROUND(RANDBETWEEN(MinFh,MaxFh),MulFh)*RANDBETWEEN(-1,1)*IF(OR(AM5&lt;&gt;0,AN5&lt;&gt;0),0,1)*IF(W5=0,1,0)</f>
        <v>0</v>
      </c>
      <c r="AM5" s="418">
        <f ca="1">MROUND(RANDBETWEEN(MinFh,MaxFh),MulFh)*RANDBETWEEN(-1,1)*IF(AN5=0,1,0)*IF(X5=0,1,0)</f>
        <v>0</v>
      </c>
      <c r="AN5" s="418">
        <f ca="1">MROUND(RANDBETWEEN(MinFh,MaxFh),MulFh)*RANDBETWEEN(-1,1)*IF(Y5=0,1,0)</f>
        <v>-50</v>
      </c>
      <c r="AO5" s="418"/>
      <c r="AP5" s="418"/>
      <c r="AQ5" s="418"/>
      <c r="AR5" s="418"/>
      <c r="AS5" s="418"/>
      <c r="AT5" s="418"/>
      <c r="AU5" s="418"/>
      <c r="AV5" s="418"/>
      <c r="AW5" s="418"/>
      <c r="AX5" s="418"/>
      <c r="AY5" s="419"/>
      <c r="AZ5" s="420"/>
      <c r="BA5" s="421">
        <f t="shared" ref="BA5:BB5" ca="1" si="0">MROUND(RANDBETWEEN(MinMz,MaxMz),MulMz)*RANDBETWEEN(-1,1)*IF(OR(BB5&lt;&gt;0,BC5&lt;&gt;0),0,1)*IF(AND(W5=0,AL5=0),1,0)</f>
        <v>0</v>
      </c>
      <c r="BB5" s="421">
        <f t="shared" ca="1" si="0"/>
        <v>0</v>
      </c>
      <c r="BC5" s="421">
        <f ca="1">MROUND(RANDBETWEEN(MinMz,MaxMz),MulMz)*IF(AND(Y5=0,AN5=0),1,0)*RANDBETWEEN(-1,1)</f>
        <v>0</v>
      </c>
      <c r="BD5" s="421"/>
      <c r="BE5" s="421"/>
      <c r="BF5" s="421"/>
      <c r="BG5" s="421"/>
      <c r="BH5" s="421"/>
      <c r="BI5" s="421"/>
      <c r="BJ5" s="421"/>
      <c r="BK5" s="421"/>
      <c r="BL5" s="421"/>
      <c r="BM5" s="421"/>
      <c r="BN5" s="422"/>
      <c r="BO5" s="423">
        <f ca="1">MROUND(RANDBETWEEN(MinQ,MaxQ),MulQ)*IF(AND(AL5=0,BA5=0),1,0)*
  IF(SUM(T_D_VAR[[#This Row],[Fv_A]:[Mz_O]])=0,1,RANDBETWEEN(-1,1))</f>
        <v>-85</v>
      </c>
      <c r="BP5" s="424">
        <f ca="1">IF(q_1Iguales=_OK,BO5,MROUND(RANDBETWEEN(MinQ,MaxQ),MulQ)*RANDBETWEEN(-1,1)*IF(OR(BQ5&lt;&gt;0),0,1)*IF(AND(AL5=0,BA5=0),1,0))</f>
        <v>-85</v>
      </c>
      <c r="BQ5" s="424">
        <f ca="1">IF(q_1Iguales=_OK,BP5,MROUND(RANDBETWEEN(MinQ,MaxQ),MulQ)*IF(AND(AM5=0,BB5=0),1,0))*RANDBETWEEN(-1,1)</f>
        <v>0</v>
      </c>
      <c r="BR5" s="424"/>
      <c r="BS5" s="424"/>
      <c r="BT5" s="424"/>
      <c r="BU5" s="424"/>
      <c r="BV5" s="424"/>
      <c r="BW5" s="424"/>
      <c r="BX5" s="424"/>
      <c r="BY5" s="424"/>
      <c r="BZ5" s="424"/>
      <c r="CA5" s="424"/>
      <c r="CB5" s="424"/>
      <c r="CC5" s="425"/>
      <c r="CD5" s="426" t="s">
        <v>580</v>
      </c>
      <c r="CE5" s="427"/>
      <c r="CF5" s="386">
        <f>1</f>
        <v>1</v>
      </c>
      <c r="CG5" s="465">
        <f>ROW()-ROW(T_D_VAR[[#Headers],[Nº]])</f>
        <v>1</v>
      </c>
    </row>
    <row r="6" spans="1:85" ht="28.7" outlineLevel="1">
      <c r="A6" s="463" t="s">
        <v>579</v>
      </c>
      <c r="B6"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Pilar-Empotrado-Libre-Pescante-Recto: 7,5 m; 2 Pv; 3 q (415)</v>
      </c>
      <c r="C6" s="411">
        <f ca="1">MROUND(RANDBETWEEN(MinL,MaxL),MulL)/10</f>
        <v>1.5</v>
      </c>
      <c r="D6" s="412">
        <f ca="1">IF(L_1Iguales=_OK,T_D_VAR[[#This Row],[L_AB]],MROUND(RANDBETWEEN(MinL,MaxL),MulL)/10)</f>
        <v>1.5</v>
      </c>
      <c r="E6" s="412">
        <f ca="1">IF(L_1Iguales=_OK,T_D_VAR[[#This Row],[L_AB]],MROUND(RANDBETWEEN(MinL,MaxL),MulL)/10)</f>
        <v>1.5</v>
      </c>
      <c r="F6" s="412">
        <f ca="1">MROUND(RANDBETWEEN(MinL,MaxL),MulL)/10</f>
        <v>3</v>
      </c>
      <c r="G6" s="412"/>
      <c r="H6" s="412"/>
      <c r="I6" s="412"/>
      <c r="J6" s="412"/>
      <c r="K6" s="412"/>
      <c r="L6" s="412"/>
      <c r="M6" s="412"/>
      <c r="N6" s="412"/>
      <c r="O6" s="412"/>
      <c r="P6" s="412"/>
      <c r="Q6" s="413">
        <v>90</v>
      </c>
      <c r="R6" s="462" t="s">
        <v>396</v>
      </c>
      <c r="S6" s="2" t="s">
        <v>12</v>
      </c>
      <c r="T6" s="2"/>
      <c r="U6" s="2"/>
      <c r="V6" s="414"/>
      <c r="W6" s="415">
        <f ca="1">MROUND(RANDBETWEEN(MinFv,MaxFv),MulFv)*RANDBETWEEN(-1,1)*IF(OR(X6&lt;&gt;0,Y6&lt;&gt;0),0,1)</f>
        <v>0</v>
      </c>
      <c r="X6" s="415">
        <f ca="1">MROUND(RANDBETWEEN(MinFv,MaxFv),MulFv)*RANDBETWEEN(-1,1)*IF(Y6=0,1,0)</f>
        <v>-200</v>
      </c>
      <c r="Y6" s="415">
        <f ca="1">MROUND(RANDBETWEEN(MinFv,MaxFv),MulFv)*RANDBETWEEN(-1,1)*IF(Z6=0,1,0)</f>
        <v>0</v>
      </c>
      <c r="Z6" s="415">
        <f ca="1">MROUND(RANDBETWEEN(MinFv,MaxFv),MulFv)*RANDBETWEEN(-1,1)</f>
        <v>300</v>
      </c>
      <c r="AA6" s="415"/>
      <c r="AB6" s="415"/>
      <c r="AC6" s="415"/>
      <c r="AD6" s="415"/>
      <c r="AE6" s="415"/>
      <c r="AF6" s="415"/>
      <c r="AG6" s="415"/>
      <c r="AH6" s="415"/>
      <c r="AI6" s="415"/>
      <c r="AJ6" s="416"/>
      <c r="AK6" s="417"/>
      <c r="AL6" s="418">
        <f ca="1">MROUND(RANDBETWEEN(MinFh,MaxFh),MulFh)*RANDBETWEEN(-1,1)*IF(OR(AM6&lt;&gt;0,AN6&lt;&gt;0),0,1)*IF(W6=0,1,0)</f>
        <v>0</v>
      </c>
      <c r="AM6" s="418">
        <f ca="1">MROUND(RANDBETWEEN(MinFh,MaxFh),MulFh)*RANDBETWEEN(-1,1)*IF(OR(AN6&lt;&gt;0,AO6&lt;&gt;0),0,1)*IF(X6=0,1,0)</f>
        <v>0</v>
      </c>
      <c r="AN6" s="418">
        <f ca="1">MROUND(RANDBETWEEN(MinFh,MaxFh),MulFh)*RANDBETWEEN(-1,1)*IF(AND(Y6=0,AO6=0),1,0)</f>
        <v>0</v>
      </c>
      <c r="AO6" s="418">
        <f ca="1">MROUND(RANDBETWEEN(MinFh,MaxFh),MulFh)*RANDBETWEEN(-1,1)*IF(OR(AP6&lt;&gt;0,AQ6&lt;&gt;0),0,1)*IF(Z6=0,1,0)</f>
        <v>0</v>
      </c>
      <c r="AP6" s="418"/>
      <c r="AQ6" s="418"/>
      <c r="AR6" s="418"/>
      <c r="AS6" s="418"/>
      <c r="AT6" s="418"/>
      <c r="AU6" s="418"/>
      <c r="AV6" s="418"/>
      <c r="AW6" s="418"/>
      <c r="AX6" s="418"/>
      <c r="AY6" s="419"/>
      <c r="AZ6" s="420"/>
      <c r="BA6" s="421">
        <f t="shared" ref="BA6:BC6" ca="1" si="1">MROUND(RANDBETWEEN(MinMz,MaxMz),MulMz)*RANDBETWEEN(-1,1)*IF(OR(BB6&lt;&gt;0,BC6&lt;&gt;0),0,1)*IF(AND(W6=0,AL6=0),1,0)</f>
        <v>0</v>
      </c>
      <c r="BB6" s="421">
        <f t="shared" ca="1" si="1"/>
        <v>0</v>
      </c>
      <c r="BC6" s="421">
        <f t="shared" ca="1" si="1"/>
        <v>0</v>
      </c>
      <c r="BD6" s="421">
        <f ca="1">MROUND(RANDBETWEEN(MinMz,MaxMz),MulMz)*RANDBETWEEN(-1,1)*IF(OR(BE6&lt;&gt;0,BF6&lt;&gt;0),0,1)*IF(AND(Z6=0,AO6=0),1,0)</f>
        <v>0</v>
      </c>
      <c r="BE6" s="421"/>
      <c r="BF6" s="421"/>
      <c r="BG6" s="421"/>
      <c r="BH6" s="421"/>
      <c r="BI6" s="421"/>
      <c r="BJ6" s="421"/>
      <c r="BK6" s="421"/>
      <c r="BL6" s="421"/>
      <c r="BM6" s="421"/>
      <c r="BN6" s="422"/>
      <c r="BO6" s="423">
        <f ca="1">MROUND(RANDBETWEEN(MinQ,MaxQ),MulQ)*IF(AND(AL6=0,BA6=0),1,0)*
  IF(SUM(T_D_VAR[[#This Row],[Fv_A]:[Mz_O]])=0,1,RANDBETWEEN(-1,1))</f>
        <v>105</v>
      </c>
      <c r="BP6" s="424">
        <f t="shared" ref="BP6" ca="1" si="2">IF(q_1Iguales=_OK,BO6,MROUND(RANDBETWEEN(MinQ,MaxQ),MulQ)*RANDBETWEEN(-1,1)*IF(OR(BQ6&lt;&gt;0,BR6&lt;&gt;0),0,1)*IF(AND(AL6=0,BA6=0),1,0))</f>
        <v>105</v>
      </c>
      <c r="BQ6" s="424">
        <f ca="1">IF(q_1Iguales=_OK,BP6,MROUND(RANDBETWEEN(MinQ,MaxQ),MulQ)*RANDBETWEEN(-1,1)*IF(BR6&lt;&gt;0,0,1)*IF(AND(AM6=0,BB6=0),1,0))</f>
        <v>105</v>
      </c>
      <c r="BR6" s="424">
        <f ca="1">MROUND(RANDBETWEEN(MinQ,MaxQ),MulQ)*RANDBETWEEN(-1,1)*IF(BO6=0,1,0)</f>
        <v>0</v>
      </c>
      <c r="BS6" s="424"/>
      <c r="BT6" s="424"/>
      <c r="BU6" s="424"/>
      <c r="BV6" s="424"/>
      <c r="BW6" s="424"/>
      <c r="BX6" s="424"/>
      <c r="BY6" s="424"/>
      <c r="BZ6" s="424"/>
      <c r="CA6" s="424"/>
      <c r="CB6" s="424"/>
      <c r="CC6" s="425"/>
      <c r="CD6" s="426" t="s">
        <v>616</v>
      </c>
      <c r="CE6" s="427"/>
      <c r="CF6" s="386">
        <f>1</f>
        <v>1</v>
      </c>
      <c r="CG6" s="466">
        <f>ROW()-ROW(T_D_VAR[[#Headers],[Nº]])</f>
        <v>2</v>
      </c>
    </row>
    <row r="7" spans="1:85" ht="43" outlineLevel="1">
      <c r="A7" s="467" t="s">
        <v>581</v>
      </c>
      <c r="B7" s="468"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Pilar-Empotrado-Libre-Pescante-Inclinado: 9,5 m; 2 Pv; 1 Ph; 1 M; 1 q (-520)</v>
      </c>
      <c r="C7" s="469">
        <f ca="1">MROUND(RANDBETWEEN(MinL,MaxL),MulL)/10</f>
        <v>2.5</v>
      </c>
      <c r="D7" s="470">
        <f ca="1">IF(L_1Iguales=_OK,T_D_VAR[[#This Row],[L_AB]],MROUND(RANDBETWEEN(MinL,MaxL),MulL)/10)</f>
        <v>2.5</v>
      </c>
      <c r="E7" s="470">
        <f ca="1">IF(L_1Iguales=_OK,T_D_VAR[[#This Row],[L_AB]],MROUND(RANDBETWEEN(MinL,MaxL),MulL)/10)</f>
        <v>2.5</v>
      </c>
      <c r="F7" s="470">
        <f ca="1">MROUND(RANDBETWEEN(MinL,MaxL),MulL)/10</f>
        <v>2</v>
      </c>
      <c r="G7" s="470"/>
      <c r="H7" s="470"/>
      <c r="I7" s="470"/>
      <c r="J7" s="470"/>
      <c r="K7" s="470"/>
      <c r="L7" s="470"/>
      <c r="M7" s="470"/>
      <c r="N7" s="470"/>
      <c r="O7" s="470"/>
      <c r="P7" s="470"/>
      <c r="Q7" s="471" cm="1">
        <f t="array" aca="1" ref="Q7" ca="1">INDIRECT("alfa_"&amp;RANDBETWEEN(1,6))</f>
        <v>60</v>
      </c>
      <c r="R7" s="472" t="s">
        <v>396</v>
      </c>
      <c r="S7" s="473" t="s">
        <v>12</v>
      </c>
      <c r="T7" s="473"/>
      <c r="U7" s="473"/>
      <c r="V7" s="474"/>
      <c r="W7" s="475">
        <f ca="1">MROUND(RANDBETWEEN(MinFv,MaxFv),MulFv)*RANDBETWEEN(-1,1)*IF(OR(X7&lt;&gt;0,Y7&lt;&gt;0),0,1)</f>
        <v>0</v>
      </c>
      <c r="X7" s="475">
        <f ca="1">MROUND(RANDBETWEEN(MinFv,MaxFv),MulFv)*RANDBETWEEN(-1,1)*IF(Y7=0,1,0)</f>
        <v>-400</v>
      </c>
      <c r="Y7" s="475">
        <f ca="1">MROUND(RANDBETWEEN(MinFv,MaxFv),MulFv)*RANDBETWEEN(-1,1)*IF(Z7=0,1,0)</f>
        <v>0</v>
      </c>
      <c r="Z7" s="475">
        <f ca="1">MROUND(RANDBETWEEN(MinFv,MaxFv),MulFv)*RANDBETWEEN(-1,1)</f>
        <v>-150</v>
      </c>
      <c r="AA7" s="475"/>
      <c r="AB7" s="475"/>
      <c r="AC7" s="475"/>
      <c r="AD7" s="475"/>
      <c r="AE7" s="475"/>
      <c r="AF7" s="475"/>
      <c r="AG7" s="475"/>
      <c r="AH7" s="475"/>
      <c r="AI7" s="475"/>
      <c r="AJ7" s="476"/>
      <c r="AK7" s="477"/>
      <c r="AL7" s="478">
        <f ca="1">MROUND(RANDBETWEEN(MinFh,MaxFh),MulFh)*RANDBETWEEN(-1,1)*IF(OR(AM7&lt;&gt;0,AN7&lt;&gt;0),0,1)*IF(W7=0,1,0)</f>
        <v>0</v>
      </c>
      <c r="AM7" s="478">
        <f ca="1">MROUND(RANDBETWEEN(MinFh,MaxFh),MulFh)*RANDBETWEEN(-1,1)*IF(OR(AN7&lt;&gt;0,AO7&lt;&gt;0),0,1)*IF(X7=0,1,0)</f>
        <v>0</v>
      </c>
      <c r="AN7" s="478">
        <f ca="1">MROUND(RANDBETWEEN(MinFh,MaxFh),MulFh)*RANDBETWEEN(-1,1)*IF(AND(Y7=0,AO7=0),1,0)</f>
        <v>-50</v>
      </c>
      <c r="AO7" s="478">
        <f ca="1">MROUND(RANDBETWEEN(MinFh,MaxFh),MulFh)*RANDBETWEEN(-1,1)*IF(OR(AP7&lt;&gt;0,AQ7&lt;&gt;0),0,1)*IF(Z7=0,1,0)</f>
        <v>0</v>
      </c>
      <c r="AP7" s="478"/>
      <c r="AQ7" s="478"/>
      <c r="AR7" s="478"/>
      <c r="AS7" s="478"/>
      <c r="AT7" s="478"/>
      <c r="AU7" s="478"/>
      <c r="AV7" s="478"/>
      <c r="AW7" s="478"/>
      <c r="AX7" s="478"/>
      <c r="AY7" s="479"/>
      <c r="AZ7" s="480"/>
      <c r="BA7" s="481">
        <f t="shared" ref="BA7:BC7" ca="1" si="3">MROUND(RANDBETWEEN(MinMz,MaxMz),MulMz)*RANDBETWEEN(-1,1)*IF(OR(BB7&lt;&gt;0,BC7&lt;&gt;0),0,1)*IF(AND(W7=0,AL7=0),1,0)</f>
        <v>-25</v>
      </c>
      <c r="BB7" s="481">
        <f t="shared" ca="1" si="3"/>
        <v>0</v>
      </c>
      <c r="BC7" s="481">
        <f t="shared" ca="1" si="3"/>
        <v>0</v>
      </c>
      <c r="BD7" s="481">
        <f ca="1">MROUND(RANDBETWEEN(MinMz,MaxMz),MulMz)*RANDBETWEEN(-1,1)*IF(OR(BE7&lt;&gt;0,BF7&lt;&gt;0),0,1)*IF(AND(Z7=0,AO7=0),1,0)</f>
        <v>0</v>
      </c>
      <c r="BE7" s="481"/>
      <c r="BF7" s="481"/>
      <c r="BG7" s="481"/>
      <c r="BH7" s="481"/>
      <c r="BI7" s="481"/>
      <c r="BJ7" s="481"/>
      <c r="BK7" s="481"/>
      <c r="BL7" s="481"/>
      <c r="BM7" s="481"/>
      <c r="BN7" s="482"/>
      <c r="BO7" s="423">
        <f ca="1">MROUND(RANDBETWEEN(MinQ,MaxQ),MulQ)*IF(AND(AL7=0,BA7=0),1,0)*
  IF(SUM(T_D_VAR[[#This Row],[Fv_A]:[Mz_O]])=0,1,RANDBETWEEN(-1,1))</f>
        <v>0</v>
      </c>
      <c r="BP7" s="424">
        <f ca="1">IF(q_1Iguales=_OK,BO7,MROUND(RANDBETWEEN(MinQ,MaxQ),MulQ)*RANDBETWEEN(-1,1)*IF(BR7&lt;&gt;0,0,1)*IF(AND(AL7=0,BA7=0),1,0))</f>
        <v>0</v>
      </c>
      <c r="BQ7" s="424">
        <f ca="1">IF(T_D_VAR[[#This Row],[q_CE_v]]=0,T_D_VAR[[#This Row],[q_BC]]*RANDBETWEEN(0,1),T_D_VAR[[#This Row],[q_CE_v]]*RANDBETWEEN(-1,1))</f>
        <v>0</v>
      </c>
      <c r="BR7" s="424">
        <f ca="1">IF(q_1Barra_Inclinada=_OK,0,MROUND(RANDBETWEEN(MinQ,MaxQ),MulQ)*RANDBETWEEN(-1,1)*IF(BO7=0,1,0))</f>
        <v>0</v>
      </c>
      <c r="BS7" s="424">
        <f ca="1">IF(q_1Barra_Inclinada=_NO,0,MROUND(RANDBETWEEN(MinQ,MaxQ),MulQ)*RANDBETWEEN(-1,1)*IF(BO7=0,1,0))</f>
        <v>105</v>
      </c>
      <c r="BT7" s="424"/>
      <c r="BU7" s="424"/>
      <c r="BV7" s="424"/>
      <c r="BW7" s="424"/>
      <c r="BX7" s="424"/>
      <c r="BY7" s="424"/>
      <c r="BZ7" s="424"/>
      <c r="CA7" s="424"/>
      <c r="CB7" s="424"/>
      <c r="CC7" s="425"/>
      <c r="CD7" s="483" t="s">
        <v>616</v>
      </c>
      <c r="CE7" s="484"/>
      <c r="CF7" s="485">
        <f>1</f>
        <v>1</v>
      </c>
      <c r="CG7" s="486">
        <f>ROW()-ROW(T_D_VAR[[#Headers],[Nº]])</f>
        <v>3</v>
      </c>
    </row>
    <row r="8" spans="1:85" ht="28.7">
      <c r="A8" s="463" t="s">
        <v>589</v>
      </c>
      <c r="B8"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Viga-Horizontal-Fijo-Movil: 8 m; 1 Pv; 1 Ph; 1 M; (540)</v>
      </c>
      <c r="C8" s="411"/>
      <c r="D8" s="412"/>
      <c r="E8" s="412"/>
      <c r="F8" s="412"/>
      <c r="G8" s="412">
        <f t="shared" ref="G8:G10" ca="1" si="4">MROUND(RANDBETWEEN(MinL,MaxL),MulL)/10</f>
        <v>2</v>
      </c>
      <c r="H8" s="412">
        <f ca="1">IF(L_1Iguales=_OK,T_D_VAR[[#This Row],[L_EF]],MROUND(RANDBETWEEN(MinL,MaxL),MulL)/10)</f>
        <v>2</v>
      </c>
      <c r="I8" s="412">
        <f ca="1">IF(L_1Iguales=_OK,T_D_VAR[[#This Row],[L_EF]],MROUND(RANDBETWEEN(MinL,MaxL),MulL)/10)</f>
        <v>2</v>
      </c>
      <c r="J8" s="412">
        <f ca="1">IF(L_1Iguales=_OK,T_D_VAR[[#This Row],[L_EF]],MROUND(RANDBETWEEN(MinL,MaxL),MulL)/10)</f>
        <v>2</v>
      </c>
      <c r="K8" s="412"/>
      <c r="L8" s="412"/>
      <c r="M8" s="412"/>
      <c r="N8" s="412"/>
      <c r="O8" s="412"/>
      <c r="P8" s="412"/>
      <c r="Q8" s="413"/>
      <c r="R8" s="464" t="s">
        <v>397</v>
      </c>
      <c r="S8" s="450" t="s">
        <v>38</v>
      </c>
      <c r="T8" s="450" t="s">
        <v>412</v>
      </c>
      <c r="U8" s="450"/>
      <c r="V8" s="414"/>
      <c r="W8" s="415"/>
      <c r="X8" s="415"/>
      <c r="Y8" s="415"/>
      <c r="Z8" s="415"/>
      <c r="AA8" s="415">
        <f t="shared" ref="AA8:AA10" ca="1" si="5">MROUND(RANDBETWEEN(MinFv,MaxFv),MulFv)*RANDBETWEEN(-1,1)</f>
        <v>350</v>
      </c>
      <c r="AB8" s="415">
        <f ca="1">IF(OR(T_D_VAR[[#This Row],[Nudo Fijo]]=MID(AB$4,4,1),T_D_VAR[[#This Row],[Nudo Móvil]]=MID(AB$4,4,1)),0,MROUND(RANDBETWEEN(MinFv,MaxFv),MulFv)*RANDBETWEEN(-1,1))*IF(AA8=0,1,0)</f>
        <v>0</v>
      </c>
      <c r="AC8" s="415">
        <f ca="1">IF(OR(T_D_VAR[[#This Row],[Nudo Fijo]]=MID(AC$4,4,1),T_D_VAR[[#This Row],[Nudo Móvil]]=MID(AC$4,4,1)),0,MROUND(RANDBETWEEN(MinFv,MaxFv),MulFv)*RANDBETWEEN(-1,1))*IF(AND(AA8=0,AB8=0),1,0)</f>
        <v>0</v>
      </c>
      <c r="AD8" s="415"/>
      <c r="AE8" s="415"/>
      <c r="AF8" s="415"/>
      <c r="AG8" s="415"/>
      <c r="AH8" s="415"/>
      <c r="AI8" s="415"/>
      <c r="AJ8" s="416"/>
      <c r="AK8" s="417"/>
      <c r="AL8" s="418"/>
      <c r="AM8" s="418"/>
      <c r="AN8" s="418"/>
      <c r="AO8" s="418"/>
      <c r="AP8" s="418">
        <f t="shared" ref="AP8:AP10" ca="1" si="6">MROUND(RANDBETWEEN(MinFh,MaxFh),MulFh)*RANDBETWEEN(-1,1)*IF(AA8=0,1,0)</f>
        <v>0</v>
      </c>
      <c r="AQ8" s="418">
        <f ca="1">IF(OR(T_D_VAR[[#This Row],[Nudo Fijo]]=MID(AQ$4,4,1),T_D_VAR[[#This Row],[Nudo Móvil]]=MID(AQ$4,4,1)),0,MROUND(RANDBETWEEN(MinFh,MaxFh),MulFh)*RANDBETWEEN(-1,1))*IF(AND(AB8=0,AP8=0),1,0)</f>
        <v>150</v>
      </c>
      <c r="AR8" s="418">
        <f ca="1">IF(OR(T_D_VAR[[#This Row],[Nudo Fijo]]=MID(AR$4,4,1),T_D_VAR[[#This Row],[Nudo Móvil]]=MID(AR$4,4,1)),0,MROUND(RANDBETWEEN(MinFh,MaxFh),MulFh)*RANDBETWEEN(-1,1))*IF(AND(AC8=0,AP8=0,AQ8=0),1,0)</f>
        <v>0</v>
      </c>
      <c r="AS8" s="418"/>
      <c r="AT8" s="418"/>
      <c r="AU8" s="418"/>
      <c r="AV8" s="418"/>
      <c r="AW8" s="418"/>
      <c r="AX8" s="418"/>
      <c r="AY8" s="419"/>
      <c r="AZ8" s="420"/>
      <c r="BA8" s="421"/>
      <c r="BB8" s="421"/>
      <c r="BC8" s="421"/>
      <c r="BD8" s="421"/>
      <c r="BE8" s="421">
        <f t="shared" ref="BE8:BE10" ca="1" si="7">MROUND(RANDBETWEEN(MinMz,MaxMz),MulMz)*RANDBETWEEN(-1,1)*IF(AND(AA8,AP8=0),1,0)</f>
        <v>40</v>
      </c>
      <c r="BF8" s="421">
        <f ca="1">IF(OR(T_D_VAR[[#This Row],[Nudo Fijo]]=MID(BF$4,4,1),T_D_VAR[[#This Row],[Nudo Móvil]]=MID(BF$4,4,1)),0,MROUND(RANDBETWEEN(MinMz,MaxMz),MulMz)*RANDBETWEEN(-1,1))*IF(AND(AB8=0,AQ8=0,BE8=0),1,0)</f>
        <v>0</v>
      </c>
      <c r="BG8" s="421">
        <f ca="1">IF(OR(T_D_VAR[[#This Row],[Nudo Fijo]]=MID(BG$4,4,1),T_D_VAR[[#This Row],[Nudo Móvil]]=MID(BG$4,4,1)),0,MROUND(RANDBETWEEN(MinMz,MaxMz),MulMz)*RANDBETWEEN(-1,1))*IF(AND(AC8=0,AR8=0,BE8=0,BF8=0),1,0)</f>
        <v>0</v>
      </c>
      <c r="BH8" s="421"/>
      <c r="BI8" s="421"/>
      <c r="BJ8" s="421"/>
      <c r="BK8" s="421"/>
      <c r="BL8" s="421"/>
      <c r="BM8" s="421"/>
      <c r="BN8" s="422"/>
      <c r="BO8" s="423"/>
      <c r="BP8" s="424"/>
      <c r="BQ8" s="424"/>
      <c r="BR8" s="424"/>
      <c r="BS8" s="424"/>
      <c r="BT8" s="424">
        <f ca="1">MROUND(RANDBETWEEN(MinQ,MaxQ),MulQ)*IF(AND(AP8=0,BE8=0),1,0)*
  IF(SUM(T_D_VAR[[#This Row],[Fv_A]:[Mz_O]])=0,1,RANDBETWEEN(-1,1))</f>
        <v>0</v>
      </c>
      <c r="BU8" s="424">
        <f t="shared" ref="BU8:BU9" ca="1" si="8">IF(q_1Iguales=_OK,BT8,MROUND(RANDBETWEEN(MinQ,MaxQ),MulQ)*RANDBETWEEN(-1,1)*IF(OR(BV8&lt;&gt;0,BW8&lt;&gt;0),0,1)*IF(AQ8=0,1,0))</f>
        <v>0</v>
      </c>
      <c r="BV8" s="424">
        <f t="shared" ref="BV8:BV15" ca="1" si="9">IF(q_1Iguales=_OK,BU8,MROUND(RANDBETWEEN(MinQ,MaxQ),MulQ)*RANDBETWEEN(-1,1)*IF(BW8&lt;&gt;0,0,1)*IF(AR8=0,1,0))</f>
        <v>0</v>
      </c>
      <c r="BW8" s="424">
        <f ca="1">IF(q_1Iguales=_OK,BV8,MROUND(RANDBETWEEN(MinQ,MaxQ),MulQ)*RANDBETWEEN(-1,1)*IF(AS8=0,1,0))</f>
        <v>0</v>
      </c>
      <c r="BX8" s="424"/>
      <c r="BY8" s="424"/>
      <c r="BZ8" s="424"/>
      <c r="CA8" s="424"/>
      <c r="CB8" s="424"/>
      <c r="CC8" s="425"/>
      <c r="CD8" s="426" t="s">
        <v>616</v>
      </c>
      <c r="CE8" s="427"/>
      <c r="CF8" s="386">
        <f>1</f>
        <v>1</v>
      </c>
      <c r="CG8" s="487">
        <f>ROW()-ROW(T_D_VAR[[#Headers],[Nº]])</f>
        <v>4</v>
      </c>
    </row>
    <row r="9" spans="1:85" ht="28.7" outlineLevel="1">
      <c r="A9" s="463" t="s">
        <v>584</v>
      </c>
      <c r="B9"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Viga-Horizontal-Movil-Fijo: 6 m; 1 Pv; 1 Ph; 1 M; (-110)</v>
      </c>
      <c r="C9" s="411"/>
      <c r="D9" s="412"/>
      <c r="E9" s="412"/>
      <c r="F9" s="412"/>
      <c r="G9" s="412">
        <f t="shared" ca="1" si="4"/>
        <v>1.5</v>
      </c>
      <c r="H9" s="412">
        <f ca="1">IF(L_1Iguales=_OK,T_D_VAR[[#This Row],[L_EF]],MROUND(RANDBETWEEN(MinL,MaxL),MulL)/10)</f>
        <v>1.5</v>
      </c>
      <c r="I9" s="412">
        <f ca="1">IF(L_1Iguales=_OK,T_D_VAR[[#This Row],[L_EF]],MROUND(RANDBETWEEN(MinL,MaxL),MulL)/10)</f>
        <v>1.5</v>
      </c>
      <c r="J9" s="412">
        <f ca="1">IF(L_1Iguales=_OK,T_D_VAR[[#This Row],[L_EF]],MROUND(RANDBETWEEN(MinL,MaxL),MulL)/10)</f>
        <v>1.5</v>
      </c>
      <c r="K9" s="412"/>
      <c r="L9" s="412"/>
      <c r="M9" s="412"/>
      <c r="N9" s="412"/>
      <c r="O9" s="412"/>
      <c r="P9" s="412"/>
      <c r="Q9" s="413"/>
      <c r="R9" s="462" t="s">
        <v>397</v>
      </c>
      <c r="S9" s="2" t="s">
        <v>412</v>
      </c>
      <c r="T9" s="2" t="s">
        <v>38</v>
      </c>
      <c r="U9" s="2"/>
      <c r="V9" s="414"/>
      <c r="W9" s="415"/>
      <c r="X9" s="415"/>
      <c r="Y9" s="415"/>
      <c r="Z9" s="415"/>
      <c r="AA9" s="415">
        <f t="shared" ca="1" si="5"/>
        <v>100</v>
      </c>
      <c r="AB9" s="415">
        <f ca="1">IF(OR(T_D_VAR[[#This Row],[Nudo Fijo]]=MID(AB$4,4,1),T_D_VAR[[#This Row],[Nudo Móvil]]=MID(AB$4,4,1)),0,MROUND(RANDBETWEEN(MinFv,MaxFv),MulFv)*RANDBETWEEN(-1,1))*IF(AA9=0,1,0)</f>
        <v>0</v>
      </c>
      <c r="AC9" s="415">
        <f ca="1">IF(OR(T_D_VAR[[#This Row],[Nudo Fijo]]=MID(AC$4,4,1),T_D_VAR[[#This Row],[Nudo Móvil]]=MID(AC$4,4,1)),0,MROUND(RANDBETWEEN(MinFv,MaxFv),MulFv)*RANDBETWEEN(-1,1))*IF(AND(AA9=0,AB9=0),1,0)</f>
        <v>0</v>
      </c>
      <c r="AD9" s="415"/>
      <c r="AE9" s="415"/>
      <c r="AF9" s="415"/>
      <c r="AG9" s="415"/>
      <c r="AH9" s="415"/>
      <c r="AI9" s="415"/>
      <c r="AJ9" s="416"/>
      <c r="AK9" s="417"/>
      <c r="AL9" s="418"/>
      <c r="AM9" s="418"/>
      <c r="AN9" s="418"/>
      <c r="AO9" s="418"/>
      <c r="AP9" s="418">
        <f t="shared" ca="1" si="6"/>
        <v>0</v>
      </c>
      <c r="AQ9" s="418">
        <f ca="1">IF(OR(T_D_VAR[[#This Row],[Nudo Fijo]]=MID(AQ$4,4,1),T_D_VAR[[#This Row],[Nudo Móvil]]=MID(AQ$4,4,1)),0,MROUND(RANDBETWEEN(MinFh,MaxFh),MulFh)*RANDBETWEEN(-1,1))*IF(AND(AB9=0,AP9=0),1,0)</f>
        <v>-200</v>
      </c>
      <c r="AR9" s="418">
        <f ca="1">IF(OR(T_D_VAR[[#This Row],[Nudo Fijo]]=MID(AR$4,4,1),T_D_VAR[[#This Row],[Nudo Móvil]]=MID(AR$4,4,1)),0,MROUND(RANDBETWEEN(MinFh,MaxFh),MulFh)*RANDBETWEEN(-1,1))*IF(AND(AC9=0,AP9=0,AQ9=0),1,0)</f>
        <v>0</v>
      </c>
      <c r="AS9" s="418"/>
      <c r="AT9" s="418"/>
      <c r="AU9" s="418"/>
      <c r="AV9" s="418"/>
      <c r="AW9" s="418"/>
      <c r="AX9" s="418"/>
      <c r="AY9" s="419"/>
      <c r="AZ9" s="420"/>
      <c r="BA9" s="421"/>
      <c r="BB9" s="421"/>
      <c r="BC9" s="421"/>
      <c r="BD9" s="421"/>
      <c r="BE9" s="421">
        <f t="shared" ca="1" si="7"/>
        <v>-10</v>
      </c>
      <c r="BF9" s="421">
        <f ca="1">IF(OR(T_D_VAR[[#This Row],[Nudo Fijo]]=MID(BF$4,4,1),T_D_VAR[[#This Row],[Nudo Móvil]]=MID(BF$4,4,1)),0,MROUND(RANDBETWEEN(MinMz,MaxMz),MulMz)*RANDBETWEEN(-1,1))*IF(AND(AB9=0,AQ9=0,BE9=0),1,0)</f>
        <v>0</v>
      </c>
      <c r="BG9" s="421">
        <f ca="1">IF(OR(T_D_VAR[[#This Row],[Nudo Fijo]]=MID(BG$4,4,1),T_D_VAR[[#This Row],[Nudo Móvil]]=MID(BG$4,4,1)),0,MROUND(RANDBETWEEN(MinMz,MaxMz),MulMz)*RANDBETWEEN(-1,1))*IF(AND(AC9=0,AR9=0,BE9=0,BF9=0),1,0)</f>
        <v>0</v>
      </c>
      <c r="BH9" s="421"/>
      <c r="BI9" s="421"/>
      <c r="BJ9" s="421"/>
      <c r="BK9" s="421"/>
      <c r="BL9" s="421"/>
      <c r="BM9" s="421"/>
      <c r="BN9" s="422"/>
      <c r="BO9" s="423"/>
      <c r="BP9" s="424"/>
      <c r="BQ9" s="424"/>
      <c r="BR9" s="424"/>
      <c r="BS9" s="424"/>
      <c r="BT9" s="424">
        <f ca="1">MROUND(RANDBETWEEN(MinQ,MaxQ),MulQ)*IF(AND(AP9=0,BE9=0),1,0)*
  IF(SUM(T_D_VAR[[#This Row],[Fv_A]:[Mz_O]])=0,1,RANDBETWEEN(-1,1))</f>
        <v>0</v>
      </c>
      <c r="BU9" s="424">
        <f t="shared" ca="1" si="8"/>
        <v>0</v>
      </c>
      <c r="BV9" s="424">
        <f t="shared" ca="1" si="9"/>
        <v>0</v>
      </c>
      <c r="BW9" s="424">
        <f ca="1">IF(q_1Iguales=_OK,BV9,MROUND(RANDBETWEEN(MinQ,MaxQ),MulQ)*RANDBETWEEN(-1,1)*IF(AS9=0,1,0))</f>
        <v>0</v>
      </c>
      <c r="BX9" s="424"/>
      <c r="BY9" s="424"/>
      <c r="BZ9" s="424"/>
      <c r="CA9" s="424"/>
      <c r="CB9" s="424"/>
      <c r="CC9" s="425"/>
      <c r="CD9" s="426" t="s">
        <v>616</v>
      </c>
      <c r="CE9" s="427"/>
      <c r="CF9" s="386">
        <f>1</f>
        <v>1</v>
      </c>
      <c r="CG9" s="466">
        <f>ROW()-ROW(T_D_VAR[[#Headers],[Nº]])</f>
        <v>5</v>
      </c>
    </row>
    <row r="10" spans="1:85" ht="28.7" outlineLevel="1">
      <c r="A10" s="463" t="s">
        <v>616</v>
      </c>
      <c r="B10"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Viga-Horizontal-Fijo-Movil-Vol1: 8 m; 1 Pv; 1 M; 3 q (-245)</v>
      </c>
      <c r="C10" s="411"/>
      <c r="D10" s="412"/>
      <c r="E10" s="412"/>
      <c r="F10" s="412"/>
      <c r="G10" s="412">
        <f t="shared" ca="1" si="4"/>
        <v>2</v>
      </c>
      <c r="H10" s="412">
        <f ca="1">IF(L_1Iguales=_OK,T_D_VAR[[#This Row],[L_EF]],MROUND(RANDBETWEEN(MinL,MaxL),MulL)/10)</f>
        <v>2</v>
      </c>
      <c r="I10" s="412">
        <f ca="1">IF(L_1Iguales=_OK,T_D_VAR[[#This Row],[L_EF]],MROUND(RANDBETWEEN(MinL,MaxL),MulL)/10)</f>
        <v>2</v>
      </c>
      <c r="J10" s="412">
        <f ca="1">MROUND(RANDBETWEEN(MinL,MaxL),MulL)/10</f>
        <v>2</v>
      </c>
      <c r="K10" s="412"/>
      <c r="L10" s="412"/>
      <c r="M10" s="412"/>
      <c r="N10" s="412"/>
      <c r="O10" s="412"/>
      <c r="P10" s="412"/>
      <c r="Q10" s="413"/>
      <c r="R10" s="462" t="s">
        <v>397</v>
      </c>
      <c r="S10" s="2" t="s">
        <v>38</v>
      </c>
      <c r="T10" s="2" t="s">
        <v>40</v>
      </c>
      <c r="U10" s="2"/>
      <c r="V10" s="414"/>
      <c r="W10" s="415"/>
      <c r="X10" s="415"/>
      <c r="Y10" s="415"/>
      <c r="Z10" s="415"/>
      <c r="AA10" s="415">
        <f t="shared" ca="1" si="5"/>
        <v>0</v>
      </c>
      <c r="AB10" s="415">
        <f ca="1">IF(OR(T_D_VAR[[#This Row],[Nudo Fijo]]=MID(AB$4,4,1),T_D_VAR[[#This Row],[Nudo Móvil]]=MID(AB$4,4,1)),0,MROUND(RANDBETWEEN(MinFv,MaxFv),MulFv)*RANDBETWEEN(-1,1))*IF(AA10=0,1,0)</f>
        <v>100</v>
      </c>
      <c r="AC10" s="415"/>
      <c r="AD10" s="415">
        <f ca="1">IF(OR(T_D_VAR[[#This Row],[Nudo Fijo]]=MID(AD$4,4,1),T_D_VAR[[#This Row],[Nudo Móvil]]=MID(AD$4,4,1)),0,MROUND(RANDBETWEEN(MinFv,MaxFv),MulFv)*RANDBETWEEN(-1,1))*IF(AB10=0,1,0)</f>
        <v>0</v>
      </c>
      <c r="AE10" s="415"/>
      <c r="AF10" s="415"/>
      <c r="AG10" s="415"/>
      <c r="AH10" s="415"/>
      <c r="AI10" s="415"/>
      <c r="AJ10" s="416"/>
      <c r="AK10" s="417"/>
      <c r="AL10" s="418"/>
      <c r="AM10" s="418"/>
      <c r="AN10" s="418"/>
      <c r="AO10" s="418"/>
      <c r="AP10" s="418">
        <f t="shared" ca="1" si="6"/>
        <v>0</v>
      </c>
      <c r="AQ10" s="418">
        <f ca="1">IF(OR(T_D_VAR[[#This Row],[Nudo Fijo]]=MID(AQ$4,4,1),T_D_VAR[[#This Row],[Nudo Móvil]]=MID(AQ$4,4,1)),0,MROUND(RANDBETWEEN(MinFh,MaxFh),MulFh)*RANDBETWEEN(-1,1))*IF(AND(AB10=0,AP10=0),1,0)</f>
        <v>0</v>
      </c>
      <c r="AR10" s="418"/>
      <c r="AS10" s="418">
        <f ca="1">IF(OR(T_D_VAR[[#This Row],[Nudo Fijo]]=MID(AS$4,4,1),T_D_VAR[[#This Row],[Nudo Móvil]]=MID(AS$4,4,1)),0,MROUND(RANDBETWEEN(MinFh,MaxFh),MulFh)*RANDBETWEEN(-1,1))*IF(AND(AD10=0,AQ10=0,AR10=0),1,0)</f>
        <v>0</v>
      </c>
      <c r="AT10" s="418"/>
      <c r="AU10" s="418"/>
      <c r="AV10" s="418"/>
      <c r="AW10" s="418"/>
      <c r="AX10" s="418"/>
      <c r="AY10" s="419"/>
      <c r="AZ10" s="420"/>
      <c r="BA10" s="421"/>
      <c r="BB10" s="421"/>
      <c r="BC10" s="421"/>
      <c r="BD10" s="421"/>
      <c r="BE10" s="421">
        <f t="shared" ca="1" si="7"/>
        <v>0</v>
      </c>
      <c r="BF10" s="421">
        <f ca="1">IF(OR(T_D_VAR[[#This Row],[Nudo Fijo]]=MID(BF$4,4,1),T_D_VAR[[#This Row],[Nudo Móvil]]=MID(BF$4,4,1)),0,MROUND(RANDBETWEEN(MinMz,MaxMz),MulMz)*RANDBETWEEN(-1,1))*IF(AND(AB10=0,AQ10=0,BE10=0),1,0)</f>
        <v>0</v>
      </c>
      <c r="BG10" s="421">
        <f ca="1">IF(OR(T_D_VAR[[#This Row],[Nudo Fijo]]=MID(BG$4,4,1),T_D_VAR[[#This Row],[Nudo Móvil]]=MID(BG$4,4,1)),0,MROUND(RANDBETWEEN(MinMz,MaxMz),MulMz)*RANDBETWEEN(-1,1))*IF(AND(AC10=0,AR10=0,BE10=0,BF10=0),1,0)</f>
        <v>0</v>
      </c>
      <c r="BH10" s="421">
        <f ca="1">IF(OR(T_D_VAR[[#This Row],[Nudo Fijo]]=MID(BH$4,4,1),T_D_VAR[[#This Row],[Nudo Móvil]]=MID(BH$4,4,1)),0,MROUND(RANDBETWEEN(MinMz,MaxMz),MulMz)*RANDBETWEEN(-1,1))*IF(AND(AD10=0,AS10=0,BF10=0,BG10=0),1,0)</f>
        <v>-30</v>
      </c>
      <c r="BI10" s="421"/>
      <c r="BJ10" s="421"/>
      <c r="BK10" s="421"/>
      <c r="BL10" s="421"/>
      <c r="BM10" s="421"/>
      <c r="BN10" s="422"/>
      <c r="BO10" s="423"/>
      <c r="BP10" s="424"/>
      <c r="BQ10" s="424"/>
      <c r="BR10" s="424"/>
      <c r="BS10" s="424"/>
      <c r="BT10" s="424">
        <f ca="1">MROUND(RANDBETWEEN(MinQ,MaxQ),MulQ)*IF(AND(AP10=0,BE10=0),1,0)*
  IF(SUM(T_D_VAR[[#This Row],[Fv_A]:[Mz_O]])=0,1,RANDBETWEEN(-1,1))</f>
        <v>-105</v>
      </c>
      <c r="BU10" s="424">
        <f t="shared" ref="BU10" ca="1" si="10">IF(q_1Iguales=_OK,BT10,MROUND(RANDBETWEEN(MinQ,MaxQ),MulQ)*RANDBETWEEN(-1,1)*IF(OR(BV10&lt;&gt;0,BW10&lt;&gt;0),0,1)*IF(AQ10=0,1,0))</f>
        <v>-105</v>
      </c>
      <c r="BV10" s="424">
        <f t="shared" ca="1" si="9"/>
        <v>-105</v>
      </c>
      <c r="BW10" s="424">
        <f ca="1">IF(AND(q_1Iguales=_OK,BT10&lt;&gt;0),BV10*RANDBETWEEN(-1,1),
    MROUND(RANDBETWEEN(MinQ,MaxQ),MulQ)*RANDBETWEEN(-1,1)*IF(AS10=0,1,0))</f>
        <v>0</v>
      </c>
      <c r="BX10" s="424"/>
      <c r="BY10" s="424"/>
      <c r="BZ10" s="424"/>
      <c r="CA10" s="424"/>
      <c r="CB10" s="424"/>
      <c r="CC10" s="425"/>
      <c r="CD10" s="426" t="s">
        <v>581</v>
      </c>
      <c r="CE10" s="427"/>
      <c r="CF10" s="386">
        <f>1</f>
        <v>1</v>
      </c>
      <c r="CG10" s="466">
        <f>ROW()-ROW(T_D_VAR[[#Headers],[Nº]])</f>
        <v>6</v>
      </c>
    </row>
    <row r="11" spans="1:85" ht="28.7" outlineLevel="1">
      <c r="A11" s="463" t="s">
        <v>617</v>
      </c>
      <c r="B11"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Viga-Horizontal-Movil-Fijo-Vol1: 5,5 m; 2 Pv; 1 M; (-120)</v>
      </c>
      <c r="C11" s="411"/>
      <c r="D11" s="412"/>
      <c r="E11" s="412"/>
      <c r="F11" s="412"/>
      <c r="G11" s="412">
        <f t="shared" ref="G11:G15" ca="1" si="11">MROUND(RANDBETWEEN(MinL,MaxL),MulL)/10</f>
        <v>1.5</v>
      </c>
      <c r="H11" s="412">
        <f ca="1">IF(L_1Iguales=_OK,T_D_VAR[[#This Row],[L_EF]],MROUND(RANDBETWEEN(MinL,MaxL),MulL)/10)</f>
        <v>1.5</v>
      </c>
      <c r="I11" s="412">
        <f ca="1">IF(L_1Iguales=_OK,T_D_VAR[[#This Row],[L_EF]],MROUND(RANDBETWEEN(MinL,MaxL),MulL)/10)</f>
        <v>1.5</v>
      </c>
      <c r="J11" s="412">
        <f ca="1">MROUND(RANDBETWEEN(MinL,MaxL),MulL)/10</f>
        <v>1</v>
      </c>
      <c r="K11" s="412"/>
      <c r="L11" s="412"/>
      <c r="M11" s="412"/>
      <c r="N11" s="412"/>
      <c r="O11" s="412"/>
      <c r="P11" s="412"/>
      <c r="Q11" s="413"/>
      <c r="R11" s="462" t="s">
        <v>397</v>
      </c>
      <c r="S11" s="2" t="s">
        <v>40</v>
      </c>
      <c r="T11" s="2" t="s">
        <v>38</v>
      </c>
      <c r="U11" s="2"/>
      <c r="V11" s="414"/>
      <c r="W11" s="415"/>
      <c r="X11" s="415"/>
      <c r="Y11" s="415"/>
      <c r="Z11" s="415"/>
      <c r="AA11" s="415">
        <f t="shared" ref="AA11:AA14" ca="1" si="12">MROUND(RANDBETWEEN(MinFv,MaxFv),MulFv)*RANDBETWEEN(-1,1)</f>
        <v>250</v>
      </c>
      <c r="AB11" s="415">
        <f ca="1">IF(OR(T_D_VAR[[#This Row],[Nudo Fijo]]=MID(AB$4,4,1),T_D_VAR[[#This Row],[Nudo Móvil]]=MID(AB$4,4,1)),0,MROUND(RANDBETWEEN(MinFv,MaxFv),MulFv)*RANDBETWEEN(-1,1))*IF(AA11=0,1,0)</f>
        <v>0</v>
      </c>
      <c r="AC11" s="415"/>
      <c r="AD11" s="415">
        <f ca="1">IF(OR(T_D_VAR[[#This Row],[Nudo Fijo]]=MID(AD$4,4,1),T_D_VAR[[#This Row],[Nudo Móvil]]=MID(AD$4,4,1)),0,MROUND(RANDBETWEEN(MinFv,MaxFv),MulFv)*RANDBETWEEN(-1,1))*IF(AB11=0,1,0)</f>
        <v>-350</v>
      </c>
      <c r="AE11" s="415"/>
      <c r="AF11" s="415"/>
      <c r="AG11" s="415"/>
      <c r="AH11" s="415"/>
      <c r="AI11" s="415"/>
      <c r="AJ11" s="416"/>
      <c r="AK11" s="417"/>
      <c r="AL11" s="418"/>
      <c r="AM11" s="418"/>
      <c r="AN11" s="418"/>
      <c r="AO11" s="418"/>
      <c r="AP11" s="418">
        <f t="shared" ref="AP11:AP14" ca="1" si="13">MROUND(RANDBETWEEN(MinFh,MaxFh),MulFh)*RANDBETWEEN(-1,1)*IF(AA11=0,1,0)</f>
        <v>0</v>
      </c>
      <c r="AQ11" s="418">
        <f ca="1">IF(OR(T_D_VAR[[#This Row],[Nudo Fijo]]=MID(AQ$4,4,1),T_D_VAR[[#This Row],[Nudo Móvil]]=MID(AQ$4,4,1)),0,MROUND(RANDBETWEEN(MinFh,MaxFh),MulFh)*RANDBETWEEN(-1,1))*IF(AND(AB11=0,AP11=0),1,0)</f>
        <v>0</v>
      </c>
      <c r="AR11" s="418"/>
      <c r="AS11" s="418">
        <f ca="1">IF(OR(T_D_VAR[[#This Row],[Nudo Fijo]]=MID(AS$4,4,1),T_D_VAR[[#This Row],[Nudo Móvil]]=MID(AS$4,4,1)),0,MROUND(RANDBETWEEN(MinFh,MaxFh),MulFh)*RANDBETWEEN(-1,1))*IF(AND(AD11=0,AQ11=0,AR11=0),1,0)</f>
        <v>0</v>
      </c>
      <c r="AT11" s="418"/>
      <c r="AU11" s="418"/>
      <c r="AV11" s="418"/>
      <c r="AW11" s="418"/>
      <c r="AX11" s="418"/>
      <c r="AY11" s="419"/>
      <c r="AZ11" s="420"/>
      <c r="BA11" s="421"/>
      <c r="BB11" s="421"/>
      <c r="BC11" s="421"/>
      <c r="BD11" s="421"/>
      <c r="BE11" s="421">
        <f t="shared" ref="BE11:BE14" ca="1" si="14">MROUND(RANDBETWEEN(MinMz,MaxMz),MulMz)*RANDBETWEEN(-1,1)*IF(AND(AA11,AP11=0),1,0)</f>
        <v>-20</v>
      </c>
      <c r="BF11" s="421">
        <f ca="1">IF(OR(T_D_VAR[[#This Row],[Nudo Fijo]]=MID(BF$4,4,1),T_D_VAR[[#This Row],[Nudo Móvil]]=MID(BF$4,4,1)),0,MROUND(RANDBETWEEN(MinMz,MaxMz),MulMz)*RANDBETWEEN(-1,1))*IF(AND(AB11=0,AQ11=0,BE11=0),1,0)</f>
        <v>0</v>
      </c>
      <c r="BG11" s="421">
        <f ca="1">IF(OR(T_D_VAR[[#This Row],[Nudo Fijo]]=MID(BG$4,4,1),T_D_VAR[[#This Row],[Nudo Móvil]]=MID(BG$4,4,1)),0,MROUND(RANDBETWEEN(MinMz,MaxMz),MulMz)*RANDBETWEEN(-1,1))*IF(AND(AC11=0,AR11=0,BE11=0,BF11=0),1,0)</f>
        <v>0</v>
      </c>
      <c r="BH11" s="421">
        <f ca="1">IF(OR(T_D_VAR[[#This Row],[Nudo Fijo]]=MID(BH$4,4,1),T_D_VAR[[#This Row],[Nudo Móvil]]=MID(BH$4,4,1)),0,MROUND(RANDBETWEEN(MinMz,MaxMz),MulMz)*RANDBETWEEN(-1,1))*IF(AND(AD11=0,AS11=0,BF11=0,BG11=0),1,0)</f>
        <v>0</v>
      </c>
      <c r="BI11" s="421"/>
      <c r="BJ11" s="421"/>
      <c r="BK11" s="421"/>
      <c r="BL11" s="421"/>
      <c r="BM11" s="421"/>
      <c r="BN11" s="422"/>
      <c r="BO11" s="423"/>
      <c r="BP11" s="424"/>
      <c r="BQ11" s="424"/>
      <c r="BR11" s="424"/>
      <c r="BS11" s="424"/>
      <c r="BT11" s="424">
        <f ca="1">MROUND(RANDBETWEEN(MinQ,MaxQ),MulQ)*IF(AND(AP11=0,BE11=0),1,0)*
  IF(SUM(T_D_VAR[[#This Row],[Fv_A]:[Mz_O]])=0,1,RANDBETWEEN(-1,1))</f>
        <v>0</v>
      </c>
      <c r="BU11" s="424">
        <f t="shared" ref="BU11:BU15" ca="1" si="15">IF(q_1Iguales=_OK,BT11,MROUND(RANDBETWEEN(MinQ,MaxQ),MulQ)*RANDBETWEEN(-1,1)*IF(OR(BV11&lt;&gt;0,BW11&lt;&gt;0),0,1)*IF(AQ11=0,1,0))</f>
        <v>0</v>
      </c>
      <c r="BV11" s="424">
        <f t="shared" ca="1" si="9"/>
        <v>0</v>
      </c>
      <c r="BW11" s="424">
        <f ca="1">IF(AND(q_1Iguales=_OK,BT11&lt;&gt;0),BV11*RANDBETWEEN(-1,1),
    MROUND(RANDBETWEEN(MinQ,MaxQ),MulQ)*RANDBETWEEN(-1,1)*IF(AS11=0,1,0))</f>
        <v>0</v>
      </c>
      <c r="BX11" s="424"/>
      <c r="BY11" s="424"/>
      <c r="BZ11" s="424"/>
      <c r="CA11" s="424"/>
      <c r="CB11" s="424"/>
      <c r="CC11" s="425"/>
      <c r="CD11" s="426" t="s">
        <v>617</v>
      </c>
      <c r="CE11" s="427"/>
      <c r="CF11" s="386">
        <f>1</f>
        <v>1</v>
      </c>
      <c r="CG11" s="466">
        <f>ROW()-ROW(T_D_VAR[[#Headers],[Nº]])</f>
        <v>7</v>
      </c>
    </row>
    <row r="12" spans="1:85" ht="43" outlineLevel="1">
      <c r="A12" s="463" t="s">
        <v>618</v>
      </c>
      <c r="B12"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Viga-Horizontal-Vol1-Fijo-Movil-Vol1: 3,5 m; 2 Pv; 1 Ph; 1 M; 2 q (240)</v>
      </c>
      <c r="C12" s="411"/>
      <c r="D12" s="412"/>
      <c r="E12" s="412"/>
      <c r="F12" s="412">
        <f ca="1">IF(L_1Iguales=_OK,T_D_VAR[[#This Row],[L_HI]],MROUND(RANDBETWEEN(MinL,MaxL),MulL)/10)</f>
        <v>1</v>
      </c>
      <c r="G12" s="412">
        <f t="shared" ca="1" si="11"/>
        <v>0.5</v>
      </c>
      <c r="H12" s="412">
        <f ca="1">IF(L_1Iguales=_OK,T_D_VAR[[#This Row],[L_EF]],MROUND(RANDBETWEEN(MinL,MaxL),MulL)/10)</f>
        <v>0.5</v>
      </c>
      <c r="I12" s="412">
        <f ca="1">IF(L_1Iguales=_OK,T_D_VAR[[#This Row],[L_EF]],MROUND(RANDBETWEEN(MinL,MaxL),MulL)/10)</f>
        <v>0.5</v>
      </c>
      <c r="J12" s="412">
        <f ca="1">MROUND(RANDBETWEEN(MinL,MaxL),MulL)/10</f>
        <v>1</v>
      </c>
      <c r="K12" s="412"/>
      <c r="L12" s="412"/>
      <c r="M12" s="412"/>
      <c r="N12" s="412"/>
      <c r="O12" s="412"/>
      <c r="P12" s="412"/>
      <c r="Q12" s="413"/>
      <c r="R12" s="462" t="s">
        <v>397</v>
      </c>
      <c r="S12" s="2" t="s">
        <v>38</v>
      </c>
      <c r="T12" s="2" t="s">
        <v>40</v>
      </c>
      <c r="U12" s="2"/>
      <c r="V12" s="414"/>
      <c r="W12" s="415"/>
      <c r="X12" s="415"/>
      <c r="Y12" s="415">
        <f ca="1">IF(OR(T_D_VAR[[#This Row],[Nudo Fijo]]=MID(Y$4,4,1),T_D_VAR[[#This Row],[Nudo Móvil]]=MID(Y$4,4,1)),0,MROUND(RANDBETWEEN(MinFv,MaxFv),MulFv)*RANDBETWEEN(-1,1))*IF(AA12=0,1,0)</f>
        <v>0</v>
      </c>
      <c r="Z12" s="415"/>
      <c r="AA12" s="415">
        <f t="shared" ca="1" si="12"/>
        <v>150</v>
      </c>
      <c r="AB12" s="415">
        <f ca="1">IF(OR(T_D_VAR[[#This Row],[Nudo Fijo]]=MID(AB$4,4,1),T_D_VAR[[#This Row],[Nudo Móvil]]=MID(AB$4,4,1)),0,MROUND(RANDBETWEEN(MinFv,MaxFv),MulFv)*RANDBETWEEN(-1,1))*IF(AA12=0,1,0)</f>
        <v>0</v>
      </c>
      <c r="AC12" s="415"/>
      <c r="AD12" s="415">
        <f ca="1">IF(OR(T_D_VAR[[#This Row],[Nudo Fijo]]=MID(AD$4,4,1),T_D_VAR[[#This Row],[Nudo Móvil]]=MID(AD$4,4,1)),0,MROUND(RANDBETWEEN(MinFv,MaxFv),MulFv)*RANDBETWEEN(-1,1))*IF(AB12=0,1,0)</f>
        <v>-150</v>
      </c>
      <c r="AE12" s="415"/>
      <c r="AF12" s="415"/>
      <c r="AG12" s="415"/>
      <c r="AH12" s="415"/>
      <c r="AI12" s="415"/>
      <c r="AJ12" s="416"/>
      <c r="AK12" s="417"/>
      <c r="AL12" s="418"/>
      <c r="AM12" s="418"/>
      <c r="AN12" s="418">
        <f ca="1">IF(OR(T_D_VAR[[#This Row],[Nudo Fijo]]=MID(AN$4,4,1),T_D_VAR[[#This Row],[Nudo Móvil]]=MID(AN$4,4,1)),0,MROUND(RANDBETWEEN(MinFh,MaxFh),MulFh)*RANDBETWEEN(-1,1))*IF(AND(Y12=0,AQ12=0,AP12=0),1,0)</f>
        <v>0</v>
      </c>
      <c r="AO12" s="418"/>
      <c r="AP12" s="418">
        <f t="shared" ca="1" si="13"/>
        <v>0</v>
      </c>
      <c r="AQ12" s="418">
        <f ca="1">IF(OR(T_D_VAR[[#This Row],[Nudo Fijo]]=MID(AQ$4,4,1),T_D_VAR[[#This Row],[Nudo Móvil]]=MID(AQ$4,4,1)),0,MROUND(RANDBETWEEN(MinFh,MaxFh),MulFh)*RANDBETWEEN(-1,1))*IF(AND(AB12=0,AP12=0),1,0)</f>
        <v>100</v>
      </c>
      <c r="AR12" s="418"/>
      <c r="AS12" s="418">
        <f ca="1">IF(OR(T_D_VAR[[#This Row],[Nudo Fijo]]=MID(AS$4,4,1),T_D_VAR[[#This Row],[Nudo Móvil]]=MID(AS$4,4,1)),0,MROUND(RANDBETWEEN(MinFh,MaxFh),MulFh)*RANDBETWEEN(-1,1))*IF(AND(AD12=0,AQ12=0,AR12=0),1,0)</f>
        <v>0</v>
      </c>
      <c r="AT12" s="418"/>
      <c r="AU12" s="418"/>
      <c r="AV12" s="418"/>
      <c r="AW12" s="418"/>
      <c r="AX12" s="418"/>
      <c r="AY12" s="419"/>
      <c r="AZ12" s="420"/>
      <c r="BA12" s="421"/>
      <c r="BB12" s="421"/>
      <c r="BC12" s="421">
        <f ca="1">IF(OR(T_D_VAR[[#This Row],[Nudo Fijo]]=MID(BC$4,4,1),T_D_VAR[[#This Row],[Nudo Móvil]]=MID(BC$4,4,1)),0,MROUND(RANDBETWEEN(MinMz,MaxMz),MulMz)*RANDBETWEEN(-1,1))*IF(AND(X12=0,AM12=0,BE12=0,BD12=0),1,0)</f>
        <v>0</v>
      </c>
      <c r="BD12" s="421">
        <f ca="1">IF(OR(T_D_VAR[[#This Row],[Nudo Fijo]]=MID(BD$4,4,1),T_D_VAR[[#This Row],[Nudo Móvil]]=MID(BD$4,4,1)),0,MROUND(RANDBETWEEN(MinMz,MaxMz),MulMz)*RANDBETWEEN(-1,1))*IF(AND(Y12=0,AN12=0,BF12=0,BE12=0),1,0)</f>
        <v>0</v>
      </c>
      <c r="BE12" s="421">
        <f t="shared" ca="1" si="14"/>
        <v>50</v>
      </c>
      <c r="BF12" s="421">
        <f ca="1">IF(OR(T_D_VAR[[#This Row],[Nudo Fijo]]=MID(BF$4,4,1),T_D_VAR[[#This Row],[Nudo Móvil]]=MID(BF$4,4,1)),0,MROUND(RANDBETWEEN(MinMz,MaxMz),MulMz)*RANDBETWEEN(-1,1))*IF(AND(AB12=0,AQ12=0,BE12=0),1,0)</f>
        <v>0</v>
      </c>
      <c r="BG12" s="421">
        <f ca="1">IF(OR(T_D_VAR[[#This Row],[Nudo Fijo]]=MID(BG$4,4,1),T_D_VAR[[#This Row],[Nudo Móvil]]=MID(BG$4,4,1)),0,MROUND(RANDBETWEEN(MinMz,MaxMz),MulMz)*RANDBETWEEN(-1,1))*IF(AND(AC12=0,AR12=0,BE12=0,BF12=0),1,0)</f>
        <v>0</v>
      </c>
      <c r="BH12" s="421">
        <f ca="1">IF(OR(T_D_VAR[[#This Row],[Nudo Fijo]]=MID(BH$4,4,1),T_D_VAR[[#This Row],[Nudo Móvil]]=MID(BH$4,4,1)),0,MROUND(RANDBETWEEN(MinMz,MaxMz),MulMz)*RANDBETWEEN(-1,1))*IF(AND(AD12=0,AS12=0,BF12=0,BG12=0),1,0)</f>
        <v>0</v>
      </c>
      <c r="BI12" s="421"/>
      <c r="BJ12" s="421"/>
      <c r="BK12" s="421"/>
      <c r="BL12" s="421"/>
      <c r="BM12" s="421"/>
      <c r="BN12" s="422"/>
      <c r="BO12" s="423"/>
      <c r="BP12" s="424"/>
      <c r="BQ12" s="424"/>
      <c r="BR12" s="424">
        <f ca="1">IF(AND(q_1Iguales=_OK,BW12&lt;&gt;0),T_D_VAR[[#This Row],[q_HI]],
    MROUND(RANDBETWEEN(MinQ,MaxQ),MulQ)*RANDBETWEEN(-1,1)*IF(OR(BT12&lt;&gt;0,BT12&lt;&gt;0),0,1)*IF(AN12=0,1,0))</f>
        <v>45</v>
      </c>
      <c r="BS12" s="424"/>
      <c r="BT12" s="424">
        <f ca="1">MROUND(RANDBETWEEN(MinQ,MaxQ),MulQ)*IF(AND(AP12=0,BE12=0),1,0)*
  IF(SUM(T_D_VAR[[#This Row],[Fv_A]:[Mz_O]])=0,1,RANDBETWEEN(-1,1))</f>
        <v>0</v>
      </c>
      <c r="BU12" s="424">
        <f t="shared" ca="1" si="15"/>
        <v>0</v>
      </c>
      <c r="BV12" s="424">
        <f t="shared" ca="1" si="9"/>
        <v>0</v>
      </c>
      <c r="BW12" s="424">
        <f ca="1">IF(AND(q_1Iguales=_OK,BT12&lt;&gt;0),BV12*RANDBETWEEN(-1,1),
    MROUND(RANDBETWEEN(MinQ,MaxQ),MulQ)*RANDBETWEEN(-1,1)*IF(AS12=0,1,0))</f>
        <v>45</v>
      </c>
      <c r="BX12" s="424"/>
      <c r="BY12" s="424"/>
      <c r="BZ12" s="424"/>
      <c r="CA12" s="424"/>
      <c r="CB12" s="424"/>
      <c r="CC12" s="425"/>
      <c r="CD12" s="426" t="s">
        <v>618</v>
      </c>
      <c r="CE12" s="427"/>
      <c r="CF12" s="386">
        <f>1</f>
        <v>1</v>
      </c>
      <c r="CG12" s="466">
        <f>ROW()-ROW(T_D_VAR[[#Headers],[Nº]])</f>
        <v>8</v>
      </c>
    </row>
    <row r="13" spans="1:85" ht="43" outlineLevel="1">
      <c r="A13" s="463" t="s">
        <v>750</v>
      </c>
      <c r="B13"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Viga-Horizontal-Vol1-Movil-Fijo-Vol1: 6 m; 2 Pv; 1 Ph; 1 M; 2 q (-40)</v>
      </c>
      <c r="C13" s="411"/>
      <c r="D13" s="412"/>
      <c r="E13" s="412"/>
      <c r="F13" s="412">
        <f ca="1">IF(L_1Iguales=_OK,T_D_VAR[[#This Row],[L_HI]],MROUND(RANDBETWEEN(MinL,MaxL),MulL)/10)</f>
        <v>1.5</v>
      </c>
      <c r="G13" s="412">
        <f t="shared" ca="1" si="11"/>
        <v>1</v>
      </c>
      <c r="H13" s="412">
        <f ca="1">IF(L_1Iguales=_OK,T_D_VAR[[#This Row],[L_EF]],MROUND(RANDBETWEEN(MinL,MaxL),MulL)/10)</f>
        <v>1</v>
      </c>
      <c r="I13" s="412">
        <f ca="1">IF(L_1Iguales=_OK,T_D_VAR[[#This Row],[L_EF]],MROUND(RANDBETWEEN(MinL,MaxL),MulL)/10)</f>
        <v>1</v>
      </c>
      <c r="J13" s="412">
        <f ca="1">MROUND(RANDBETWEEN(MinL,MaxL),MulL)/10</f>
        <v>1.5</v>
      </c>
      <c r="K13" s="412"/>
      <c r="L13" s="412"/>
      <c r="M13" s="412"/>
      <c r="N13" s="412"/>
      <c r="O13" s="412"/>
      <c r="P13" s="412"/>
      <c r="Q13" s="413"/>
      <c r="R13" s="462" t="s">
        <v>397</v>
      </c>
      <c r="S13" s="2" t="s">
        <v>40</v>
      </c>
      <c r="T13" s="2" t="s">
        <v>38</v>
      </c>
      <c r="U13" s="2"/>
      <c r="V13" s="414"/>
      <c r="W13" s="415"/>
      <c r="X13" s="415"/>
      <c r="Y13" s="415">
        <f ca="1">IF(OR(T_D_VAR[[#This Row],[Nudo Fijo]]=MID(Y$4,4,1),T_D_VAR[[#This Row],[Nudo Móvil]]=MID(Y$4,4,1)),0,MROUND(RANDBETWEEN(MinFv,MaxFv),MulFv)*RANDBETWEEN(-1,1))*IF(AA13=0,1,0)</f>
        <v>0</v>
      </c>
      <c r="Z13" s="415"/>
      <c r="AA13" s="415">
        <f t="shared" ca="1" si="12"/>
        <v>-250</v>
      </c>
      <c r="AB13" s="415">
        <f ca="1">IF(OR(T_D_VAR[[#This Row],[Nudo Fijo]]=MID(AB$4,4,1),T_D_VAR[[#This Row],[Nudo Móvil]]=MID(AB$4,4,1)),0,MROUND(RANDBETWEEN(MinFv,MaxFv),MulFv)*RANDBETWEEN(-1,1))*IF(AA13=0,1,0)</f>
        <v>0</v>
      </c>
      <c r="AC13" s="415"/>
      <c r="AD13" s="415">
        <f ca="1">IF(OR(T_D_VAR[[#This Row],[Nudo Fijo]]=MID(AD$4,4,1),T_D_VAR[[#This Row],[Nudo Móvil]]=MID(AD$4,4,1)),0,MROUND(RANDBETWEEN(MinFv,MaxFv),MulFv)*RANDBETWEEN(-1,1))*IF(AB13=0,1,0)</f>
        <v>400</v>
      </c>
      <c r="AE13" s="415"/>
      <c r="AF13" s="415"/>
      <c r="AG13" s="415"/>
      <c r="AH13" s="415"/>
      <c r="AI13" s="415"/>
      <c r="AJ13" s="416"/>
      <c r="AK13" s="417"/>
      <c r="AL13" s="418"/>
      <c r="AM13" s="418"/>
      <c r="AN13" s="418">
        <f ca="1">IF(OR(T_D_VAR[[#This Row],[Nudo Fijo]]=MID(AN$4,4,1),T_D_VAR[[#This Row],[Nudo Móvil]]=MID(AN$4,4,1)),0,MROUND(RANDBETWEEN(MinFh,MaxFh),MulFh)*RANDBETWEEN(-1,1))*IF(AND(Y13=0,AQ13=0,AP13=0),1,0)</f>
        <v>50</v>
      </c>
      <c r="AO13" s="418"/>
      <c r="AP13" s="418">
        <f t="shared" ca="1" si="13"/>
        <v>0</v>
      </c>
      <c r="AQ13" s="418">
        <f ca="1">IF(OR(T_D_VAR[[#This Row],[Nudo Fijo]]=MID(AQ$4,4,1),T_D_VAR[[#This Row],[Nudo Móvil]]=MID(AQ$4,4,1)),0,MROUND(RANDBETWEEN(MinFh,MaxFh),MulFh)*RANDBETWEEN(-1,1))*IF(AND(AB13=0,AP13=0),1,0)</f>
        <v>0</v>
      </c>
      <c r="AR13" s="418"/>
      <c r="AS13" s="418">
        <f ca="1">IF(OR(T_D_VAR[[#This Row],[Nudo Fijo]]=MID(AS$4,4,1),T_D_VAR[[#This Row],[Nudo Móvil]]=MID(AS$4,4,1)),0,MROUND(RANDBETWEEN(MinFh,MaxFh),MulFh)*RANDBETWEEN(-1,1))*IF(AND(AD13=0,AQ13=0,AR13=0),1,0)</f>
        <v>0</v>
      </c>
      <c r="AT13" s="418"/>
      <c r="AU13" s="418"/>
      <c r="AV13" s="418"/>
      <c r="AW13" s="418"/>
      <c r="AX13" s="418"/>
      <c r="AY13" s="419"/>
      <c r="AZ13" s="420"/>
      <c r="BA13" s="421"/>
      <c r="BB13" s="421"/>
      <c r="BC13" s="421">
        <f ca="1">IF(OR(T_D_VAR[[#This Row],[Nudo Fijo]]=MID(BC$4,4,1),T_D_VAR[[#This Row],[Nudo Móvil]]=MID(BC$4,4,1)),0,MROUND(RANDBETWEEN(MinMz,MaxMz),MulMz)*RANDBETWEEN(-1,1))*IF(AND(X13=0,AM13=0,BE13=0,BD13=0),1,0)</f>
        <v>0</v>
      </c>
      <c r="BD13" s="421">
        <f ca="1">IF(OR(T_D_VAR[[#This Row],[Nudo Fijo]]=MID(BD$4,4,1),T_D_VAR[[#This Row],[Nudo Móvil]]=MID(BD$4,4,1)),0,MROUND(RANDBETWEEN(MinMz,MaxMz),MulMz)*RANDBETWEEN(-1,1))*IF(AND(Y13=0,AN13=0,BF13=0,BE13=0),1,0)</f>
        <v>0</v>
      </c>
      <c r="BE13" s="421">
        <f t="shared" ca="1" si="14"/>
        <v>-10</v>
      </c>
      <c r="BF13" s="421">
        <f ca="1">IF(OR(T_D_VAR[[#This Row],[Nudo Fijo]]=MID(BF$4,4,1),T_D_VAR[[#This Row],[Nudo Móvil]]=MID(BF$4,4,1)),0,MROUND(RANDBETWEEN(MinMz,MaxMz),MulMz)*RANDBETWEEN(-1,1))*IF(AND(AB13=0,AQ13=0,BE13=0),1,0)</f>
        <v>0</v>
      </c>
      <c r="BG13" s="421">
        <f ca="1">IF(OR(T_D_VAR[[#This Row],[Nudo Fijo]]=MID(BG$4,4,1),T_D_VAR[[#This Row],[Nudo Móvil]]=MID(BG$4,4,1)),0,MROUND(RANDBETWEEN(MinMz,MaxMz),MulMz)*RANDBETWEEN(-1,1))*IF(AND(AC13=0,AR13=0,BE13=0,BF13=0),1,0)</f>
        <v>0</v>
      </c>
      <c r="BH13" s="421">
        <f ca="1">IF(OR(T_D_VAR[[#This Row],[Nudo Fijo]]=MID(BH$4,4,1),T_D_VAR[[#This Row],[Nudo Móvil]]=MID(BH$4,4,1)),0,MROUND(RANDBETWEEN(MinMz,MaxMz),MulMz)*RANDBETWEEN(-1,1))*IF(AND(AD13=0,AS13=0,BF13=0,BG13=0),1,0)</f>
        <v>0</v>
      </c>
      <c r="BI13" s="421"/>
      <c r="BJ13" s="421"/>
      <c r="BK13" s="421"/>
      <c r="BL13" s="421"/>
      <c r="BM13" s="421"/>
      <c r="BN13" s="422"/>
      <c r="BO13" s="423"/>
      <c r="BP13" s="424"/>
      <c r="BQ13" s="424"/>
      <c r="BR13" s="424">
        <f ca="1">IF(AND(q_1Iguales=_OK,BW13&lt;&gt;0),T_D_VAR[[#This Row],[q_HI]],
    MROUND(RANDBETWEEN(MinQ,MaxQ),MulQ)*RANDBETWEEN(-1,1)*IF(OR(BT13&lt;&gt;0,BT13&lt;&gt;0),0,1)*IF(AN13=0,1,0))</f>
        <v>-115</v>
      </c>
      <c r="BS13" s="424"/>
      <c r="BT13" s="424">
        <f ca="1">MROUND(RANDBETWEEN(MinQ,MaxQ),MulQ)*IF(AND(AP13=0,BE13=0),1,0)*
  IF(SUM(T_D_VAR[[#This Row],[Fv_A]:[Mz_O]])=0,1,RANDBETWEEN(-1,1))</f>
        <v>0</v>
      </c>
      <c r="BU13" s="424">
        <f t="shared" ca="1" si="15"/>
        <v>0</v>
      </c>
      <c r="BV13" s="424">
        <f t="shared" ca="1" si="9"/>
        <v>0</v>
      </c>
      <c r="BW13" s="424">
        <f ca="1">IF(AND(q_1Iguales=_OK,BT13&lt;&gt;0),BV13*RANDBETWEEN(-1,1),
    MROUND(RANDBETWEEN(MinQ,MaxQ),MulQ)*RANDBETWEEN(-1,1)*IF(AS13=0,1,0))</f>
        <v>-115</v>
      </c>
      <c r="BX13" s="424"/>
      <c r="BY13" s="424"/>
      <c r="BZ13" s="424"/>
      <c r="CA13" s="424"/>
      <c r="CB13" s="424"/>
      <c r="CC13" s="425"/>
      <c r="CD13" s="426" t="s">
        <v>750</v>
      </c>
      <c r="CE13" s="427"/>
      <c r="CF13" s="386">
        <f>1</f>
        <v>1</v>
      </c>
      <c r="CG13" s="466">
        <f>ROW()-ROW(T_D_VAR[[#Headers],[Nº]])</f>
        <v>9</v>
      </c>
    </row>
    <row r="14" spans="1:85" ht="28.7" outlineLevel="1">
      <c r="A14" s="463" t="s">
        <v>585</v>
      </c>
      <c r="B14"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Viga-Horizontal-Empotrado-Libre: 8 m; 1 Pv; 2 Ph; (400)</v>
      </c>
      <c r="C14" s="411"/>
      <c r="D14" s="412"/>
      <c r="E14" s="412"/>
      <c r="F14" s="412"/>
      <c r="G14" s="412">
        <f t="shared" ca="1" si="11"/>
        <v>2</v>
      </c>
      <c r="H14" s="412">
        <f ca="1">IF(L_1Iguales=_OK,T_D_VAR[[#This Row],[L_EF]],MROUND(RANDBETWEEN(MinL,MaxL),MulL)/10)</f>
        <v>2</v>
      </c>
      <c r="I14" s="412">
        <f ca="1">IF(L_1Iguales=_OK,T_D_VAR[[#This Row],[L_EF]],MROUND(RANDBETWEEN(MinL,MaxL),MulL)/10)</f>
        <v>2</v>
      </c>
      <c r="J14" s="412">
        <f ca="1">IF(L_1Iguales=_OK,T_D_VAR[[#This Row],[L_EF]],MROUND(RANDBETWEEN(MinL,MaxL),MulL)/10)</f>
        <v>2</v>
      </c>
      <c r="K14" s="412"/>
      <c r="L14" s="412"/>
      <c r="M14" s="412"/>
      <c r="N14" s="412"/>
      <c r="O14" s="412"/>
      <c r="P14" s="412"/>
      <c r="Q14" s="413"/>
      <c r="R14" s="462" t="s">
        <v>396</v>
      </c>
      <c r="S14" s="2" t="s">
        <v>38</v>
      </c>
      <c r="T14" s="2"/>
      <c r="U14" s="2"/>
      <c r="V14" s="414"/>
      <c r="W14" s="415"/>
      <c r="X14" s="415"/>
      <c r="Y14" s="415"/>
      <c r="Z14" s="415"/>
      <c r="AA14" s="415">
        <f t="shared" ca="1" si="12"/>
        <v>0</v>
      </c>
      <c r="AB14" s="415">
        <f ca="1">IF(OR(T_D_VAR[[#This Row],[Nudo Fijo]]=MID(AB$4,4,1),T_D_VAR[[#This Row],[Nudo Móvil]]=MID(AB$4,4,1)),0,MROUND(RANDBETWEEN(MinFv,MaxFv),MulFv)*RANDBETWEEN(-1,1))*IF(AA14=0,1,0)</f>
        <v>0</v>
      </c>
      <c r="AC14" s="415">
        <f ca="1">IF(OR(T_D_VAR[[#This Row],[Nudo Fijo]]=MID(AC$4,4,1),T_D_VAR[[#This Row],[Nudo Móvil]]=MID(AC$4,4,1)),0,MROUND(RANDBETWEEN(MinFv,MaxFv),MulFv)*RANDBETWEEN(-1,1))*IF(AB14=0,1,0)</f>
        <v>450</v>
      </c>
      <c r="AD14" s="415">
        <f ca="1">IF(OR(T_D_VAR[[#This Row],[Nudo Fijo]]=MID(AD$4,4,1),T_D_VAR[[#This Row],[Nudo Móvil]]=MID(AD$4,4,1)),0,MROUND(RANDBETWEEN(MinFv,MaxFv),MulFv)*RANDBETWEEN(-1,1))*IF(AC14=0,1,0)</f>
        <v>0</v>
      </c>
      <c r="AE14" s="415"/>
      <c r="AF14" s="415"/>
      <c r="AG14" s="415"/>
      <c r="AH14" s="415"/>
      <c r="AI14" s="415"/>
      <c r="AJ14" s="416"/>
      <c r="AK14" s="417"/>
      <c r="AL14" s="418"/>
      <c r="AM14" s="418"/>
      <c r="AN14" s="418"/>
      <c r="AO14" s="418"/>
      <c r="AP14" s="418">
        <f t="shared" ca="1" si="13"/>
        <v>-100</v>
      </c>
      <c r="AQ14" s="418">
        <f ca="1">IF(OR(T_D_VAR[[#This Row],[Nudo Fijo]]=MID(AQ$4,4,1),T_D_VAR[[#This Row],[Nudo Móvil]]=MID(AQ$4,4,1)),0,MROUND(RANDBETWEEN(MinFh,MaxFh),MulFh)*RANDBETWEEN(-1,1))*IF(AND(AB14=0,AP14=0),1,0)</f>
        <v>0</v>
      </c>
      <c r="AR14" s="418">
        <f ca="1">IF(OR(T_D_VAR[[#This Row],[Nudo Fijo]]=MID(AR$4,4,1),T_D_VAR[[#This Row],[Nudo Móvil]]=MID(AR$4,4,1)),0,MROUND(RANDBETWEEN(MinFh,MaxFh),MulFh)*RANDBETWEEN(-1,1))*IF(AQ14=0,1,0)</f>
        <v>0</v>
      </c>
      <c r="AS14" s="418">
        <f ca="1">IF(OR(T_D_VAR[[#This Row],[Nudo Fijo]]=MID(AS$4,4,1),T_D_VAR[[#This Row],[Nudo Móvil]]=MID(AS$4,4,1)),0,MROUND(RANDBETWEEN(MinFh,MaxFh),MulFh)*RANDBETWEEN(-1,1))*IF(AND(AD14=0,AQ14=0,AR14=0),1,0)</f>
        <v>50</v>
      </c>
      <c r="AT14" s="418"/>
      <c r="AU14" s="418"/>
      <c r="AV14" s="418"/>
      <c r="AW14" s="418"/>
      <c r="AX14" s="418"/>
      <c r="AY14" s="419"/>
      <c r="AZ14" s="420"/>
      <c r="BA14" s="421"/>
      <c r="BB14" s="421"/>
      <c r="BC14" s="421"/>
      <c r="BD14" s="421"/>
      <c r="BE14" s="421">
        <f t="shared" ca="1" si="14"/>
        <v>0</v>
      </c>
      <c r="BF14" s="421">
        <f ca="1">IF(OR(T_D_VAR[[#This Row],[Nudo Fijo]]=MID(BF$4,4,1),T_D_VAR[[#This Row],[Nudo Móvil]]=MID(BF$4,4,1)),0,MROUND(RANDBETWEEN(MinMz,MaxMz),MulMz)*RANDBETWEEN(-1,1))*IF(AND(AB14=0,AQ14=0,BE14=0),1,0)</f>
        <v>0</v>
      </c>
      <c r="BG14" s="421">
        <f ca="1">IF(OR(T_D_VAR[[#This Row],[Nudo Fijo]]=MID(BG$4,4,1),T_D_VAR[[#This Row],[Nudo Móvil]]=MID(BG$4,4,1)),0,MROUND(RANDBETWEEN(MinMz,MaxMz),MulMz)*RANDBETWEEN(-1,1))*IF(AND(AC14=0,AR14=0,BE14=0,BF14=0),1,0)</f>
        <v>0</v>
      </c>
      <c r="BH14" s="421">
        <f ca="1">IF(OR(T_D_VAR[[#This Row],[Nudo Fijo]]=MID(BH$4,4,1),T_D_VAR[[#This Row],[Nudo Móvil]]=MID(BH$4,4,1)),0,MROUND(RANDBETWEEN(MinMz,MaxMz),MulMz)*RANDBETWEEN(-1,1))*IF(AND(AD14=0,AS14=0,BF14=0,BG14=0),1,0)</f>
        <v>0</v>
      </c>
      <c r="BI14" s="421"/>
      <c r="BJ14" s="421"/>
      <c r="BK14" s="421"/>
      <c r="BL14" s="421"/>
      <c r="BM14" s="421"/>
      <c r="BN14" s="422"/>
      <c r="BO14" s="423"/>
      <c r="BP14" s="424"/>
      <c r="BQ14" s="424"/>
      <c r="BR14" s="424"/>
      <c r="BS14" s="424"/>
      <c r="BT14" s="424">
        <f ca="1">MROUND(RANDBETWEEN(MinQ,MaxQ),MulQ)*IF(AND(AP14=0,BE14=0),1,0)*
  IF(SUM(T_D_VAR[[#This Row],[Fv_A]:[Mz_O]])=0,1,RANDBETWEEN(-1,1))</f>
        <v>0</v>
      </c>
      <c r="BU14" s="424">
        <f t="shared" ca="1" si="15"/>
        <v>0</v>
      </c>
      <c r="BV14" s="424">
        <f t="shared" ca="1" si="9"/>
        <v>0</v>
      </c>
      <c r="BW14" s="424">
        <f ca="1">IF(q_1Iguales=_OK,BV14,MROUND(RANDBETWEEN(MinQ,MaxQ),MulQ)*RANDBETWEEN(-1,1)*IF(AS14=0,1,0))</f>
        <v>0</v>
      </c>
      <c r="BX14" s="424"/>
      <c r="BY14" s="424"/>
      <c r="BZ14" s="424"/>
      <c r="CA14" s="424"/>
      <c r="CB14" s="424"/>
      <c r="CC14" s="425"/>
      <c r="CD14" s="426" t="s">
        <v>585</v>
      </c>
      <c r="CE14" s="427"/>
      <c r="CF14" s="386">
        <f>1</f>
        <v>1</v>
      </c>
      <c r="CG14" s="466">
        <f>ROW()-ROW(T_D_VAR[[#Headers],[Nº]])</f>
        <v>10</v>
      </c>
    </row>
    <row r="15" spans="1:85" ht="28.7" outlineLevel="1">
      <c r="A15" s="467" t="s">
        <v>590</v>
      </c>
      <c r="B15" s="468"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Viga-Horizontal-Libre-Empotrado: 6 m; 2 Pv; 1 Ph; 2 M; (495)</v>
      </c>
      <c r="C15" s="469"/>
      <c r="D15" s="470"/>
      <c r="E15" s="470"/>
      <c r="F15" s="470"/>
      <c r="G15" s="470">
        <f t="shared" ca="1" si="11"/>
        <v>1.5</v>
      </c>
      <c r="H15" s="470">
        <f ca="1">IF(L_1Iguales=_OK,T_D_VAR[[#This Row],[L_EF]],MROUND(RANDBETWEEN(MinL,MaxL),MulL)/10)</f>
        <v>1.5</v>
      </c>
      <c r="I15" s="470">
        <f ca="1">IF(L_1Iguales=_OK,T_D_VAR[[#This Row],[L_EF]],MROUND(RANDBETWEEN(MinL,MaxL),MulL)/10)</f>
        <v>1.5</v>
      </c>
      <c r="J15" s="470">
        <f ca="1">IF(L_1Iguales=_OK,T_D_VAR[[#This Row],[L_EF]],MROUND(RANDBETWEEN(MinL,MaxL),MulL)/10)</f>
        <v>1.5</v>
      </c>
      <c r="K15" s="470"/>
      <c r="L15" s="470"/>
      <c r="M15" s="470"/>
      <c r="N15" s="470"/>
      <c r="O15" s="470"/>
      <c r="P15" s="470"/>
      <c r="Q15" s="471"/>
      <c r="R15" s="472" t="s">
        <v>396</v>
      </c>
      <c r="S15" s="473" t="s">
        <v>412</v>
      </c>
      <c r="T15" s="473"/>
      <c r="U15" s="473"/>
      <c r="V15" s="474"/>
      <c r="W15" s="475"/>
      <c r="X15" s="475"/>
      <c r="Y15" s="475"/>
      <c r="Z15" s="475">
        <f ca="1">MROUND(RANDBETWEEN(MinFv,MaxFv),MulFv)*RANDBETWEEN(-1,1)</f>
        <v>500</v>
      </c>
      <c r="AA15" s="475">
        <f ca="1">IF(OR(T_D_VAR[[#This Row],[Nudo Fijo]]=MID(AA$4,4,1),T_D_VAR[[#This Row],[Nudo Móvil]]=MID(AA$4,4,1)),0,MROUND(RANDBETWEEN(MinFv,MaxFv),MulFv)*RANDBETWEEN(-1,1))*IF(Z15=0,1,0)</f>
        <v>0</v>
      </c>
      <c r="AB15" s="475">
        <f ca="1">IF(OR(T_D_VAR[[#This Row],[Nudo Fijo]]=MID(AB$4,4,1),T_D_VAR[[#This Row],[Nudo Móvil]]=MID(AB$4,4,1)),0,MROUND(RANDBETWEEN(MinFv,MaxFv),MulFv)*RANDBETWEEN(-1,1))*IF(AA15=0,1,0)</f>
        <v>-250</v>
      </c>
      <c r="AC15" s="475">
        <f ca="1">IF(OR(T_D_VAR[[#This Row],[Nudo Fijo]]=MID(AC$4,4,1),T_D_VAR[[#This Row],[Nudo Móvil]]=MID(AC$4,4,1)),0,MROUND(RANDBETWEEN(MinFv,MaxFv),MulFv)*RANDBETWEEN(-1,1))*IF(AB15=0,1,0)</f>
        <v>0</v>
      </c>
      <c r="AD15" s="475"/>
      <c r="AE15" s="475"/>
      <c r="AF15" s="475"/>
      <c r="AG15" s="475"/>
      <c r="AH15" s="475"/>
      <c r="AI15" s="475"/>
      <c r="AJ15" s="476"/>
      <c r="AK15" s="477"/>
      <c r="AL15" s="478"/>
      <c r="AM15" s="478"/>
      <c r="AN15" s="478"/>
      <c r="AO15" s="478">
        <f ca="1">MROUND(RANDBETWEEN(MinFh,MaxFh),MulFh)*RANDBETWEEN(-1,1)*IF(Z15=0,1,0)</f>
        <v>0</v>
      </c>
      <c r="AP15" s="478">
        <f ca="1">IF(OR(T_D_VAR[[#This Row],[Nudo Fijo]]=MID(AP$4,4,1),T_D_VAR[[#This Row],[Nudo Móvil]]=MID(AP$4,4,1)),0,MROUND(RANDBETWEEN(MinFh,MaxFh),MulFh)*RANDBETWEEN(-1,1))*IF(AND(AA15=0,AO15=0),1,0)</f>
        <v>200</v>
      </c>
      <c r="AQ15" s="478">
        <f ca="1">IF(OR(T_D_VAR[[#This Row],[Nudo Fijo]]=MID(AQ$4,4,1),T_D_VAR[[#This Row],[Nudo Móvil]]=MID(AQ$4,4,1)),0,MROUND(RANDBETWEEN(MinFh,MaxFh),MulFh)*RANDBETWEEN(-1,1))*IF(AP15=0,1,0)</f>
        <v>0</v>
      </c>
      <c r="AR15" s="478">
        <f ca="1">IF(OR(T_D_VAR[[#This Row],[Nudo Fijo]]=MID(AR$4,4,1),T_D_VAR[[#This Row],[Nudo Móvil]]=MID(AR$4,4,1)),0,MROUND(RANDBETWEEN(MinFh,MaxFh),MulFh)*RANDBETWEEN(-1,1))*IF(AND(AC15=0,AP15=0,AQ15=0),1,0)</f>
        <v>0</v>
      </c>
      <c r="AS15" s="478"/>
      <c r="AT15" s="478"/>
      <c r="AU15" s="478"/>
      <c r="AV15" s="478"/>
      <c r="AW15" s="478"/>
      <c r="AX15" s="478"/>
      <c r="AY15" s="479"/>
      <c r="AZ15" s="480"/>
      <c r="BA15" s="481"/>
      <c r="BB15" s="481"/>
      <c r="BC15" s="481"/>
      <c r="BD15" s="481">
        <f ca="1">MROUND(RANDBETWEEN(MinMz,MaxMz),MulMz)*RANDBETWEEN(-1,1)*IF(AND(Z15,AO15=0),1,0)</f>
        <v>15</v>
      </c>
      <c r="BE15" s="481">
        <f ca="1">IF(OR(T_D_VAR[[#This Row],[Nudo Fijo]]=MID(BE$4,4,1),T_D_VAR[[#This Row],[Nudo Móvil]]=MID(BE$4,4,1)),0,MROUND(RANDBETWEEN(MinMz,MaxMz),MulMz)*RANDBETWEEN(-1,1))*IF(AND(AA15=0,AP15=0,BD15=0),1,0)</f>
        <v>0</v>
      </c>
      <c r="BF15" s="481">
        <f ca="1">IF(OR(T_D_VAR[[#This Row],[Nudo Fijo]]=MID(BF$4,4,1),T_D_VAR[[#This Row],[Nudo Móvil]]=MID(BF$4,4,1)),0,MROUND(RANDBETWEEN(MinMz,MaxMz),MulMz)*RANDBETWEEN(-1,1))*IF(AND(AB15=0,AQ15=0,BD15=0,BE15=0),1,0)</f>
        <v>0</v>
      </c>
      <c r="BG15" s="481">
        <f ca="1">IF(OR(T_D_VAR[[#This Row],[Nudo Fijo]]=MID(BG$4,4,1),T_D_VAR[[#This Row],[Nudo Móvil]]=MID(BG$4,4,1)),0,MROUND(RANDBETWEEN(MinMz,MaxMz),MulMz)*RANDBETWEEN(-1,1))*IF(AND(AC15=0,AR15=0,BE15=0,BF15=0),1,0)</f>
        <v>30</v>
      </c>
      <c r="BH15" s="481"/>
      <c r="BI15" s="481"/>
      <c r="BJ15" s="481"/>
      <c r="BK15" s="481"/>
      <c r="BL15" s="481"/>
      <c r="BM15" s="481"/>
      <c r="BN15" s="482"/>
      <c r="BO15" s="423"/>
      <c r="BP15" s="424"/>
      <c r="BQ15" s="424"/>
      <c r="BR15" s="424"/>
      <c r="BS15" s="424"/>
      <c r="BT15" s="424">
        <f ca="1">MROUND(RANDBETWEEN(MinQ,MaxQ),MulQ)*IF(AND(AP15=0,BE15=0),1,0)*
  IF(SUM(T_D_VAR[[#This Row],[Fv_A]:[Mz_O]])=0,1,RANDBETWEEN(-1,1))</f>
        <v>0</v>
      </c>
      <c r="BU15" s="424">
        <f t="shared" ca="1" si="15"/>
        <v>0</v>
      </c>
      <c r="BV15" s="424">
        <f t="shared" ca="1" si="9"/>
        <v>0</v>
      </c>
      <c r="BW15" s="424">
        <f ca="1">IF(q_1Iguales=_OK,BV15,MROUND(RANDBETWEEN(MinQ,MaxQ),MulQ)*RANDBETWEEN(-1,1)*IF(AS15=0,1,0))</f>
        <v>0</v>
      </c>
      <c r="BX15" s="424"/>
      <c r="BY15" s="424"/>
      <c r="BZ15" s="424"/>
      <c r="CA15" s="424"/>
      <c r="CB15" s="424"/>
      <c r="CC15" s="425"/>
      <c r="CD15" s="483" t="s">
        <v>590</v>
      </c>
      <c r="CE15" s="484"/>
      <c r="CF15" s="485">
        <f>1</f>
        <v>1</v>
      </c>
      <c r="CG15" s="486">
        <f>ROW()-ROW(T_D_VAR[[#Headers],[Nº]])</f>
        <v>11</v>
      </c>
    </row>
    <row r="16" spans="1:85" ht="28.7">
      <c r="A16" s="463" t="s">
        <v>592</v>
      </c>
      <c r="B16"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Viga-Inclinada-Fijo-Movil: 1,5 m; 1 Pv; 1 Ph; 1 M; 3 q (320)</v>
      </c>
      <c r="C16" s="411"/>
      <c r="D16" s="412"/>
      <c r="E16" s="412">
        <f ca="1">MROUND(RANDBETWEEN(MinL,MaxL),MulL)/10</f>
        <v>1.5</v>
      </c>
      <c r="F16" s="412"/>
      <c r="G16" s="412"/>
      <c r="H16" s="412"/>
      <c r="I16" s="412"/>
      <c r="J16" s="412"/>
      <c r="K16" s="412"/>
      <c r="L16" s="412"/>
      <c r="M16" s="412"/>
      <c r="N16" s="412"/>
      <c r="O16" s="412"/>
      <c r="P16" s="412"/>
      <c r="Q16" s="413" cm="1">
        <f t="array" aca="1" ref="Q16" ca="1">INDIRECT("alfa_"&amp;RANDBETWEEN(1,6))</f>
        <v>30</v>
      </c>
      <c r="R16" s="464" t="s">
        <v>397</v>
      </c>
      <c r="S16" s="450" t="s">
        <v>36</v>
      </c>
      <c r="T16" s="450" t="s">
        <v>38</v>
      </c>
      <c r="U16" s="450"/>
      <c r="V16" s="414"/>
      <c r="W16" s="415"/>
      <c r="X16" s="415"/>
      <c r="Y16" s="415">
        <f ca="1">MROUND(RANDBETWEEN(MinFv,MaxFv),MulFv)*RANDBETWEEN(-1,1)</f>
        <v>100</v>
      </c>
      <c r="Z16" s="415"/>
      <c r="AA16" s="415"/>
      <c r="AB16" s="415"/>
      <c r="AC16" s="415"/>
      <c r="AD16" s="415"/>
      <c r="AE16" s="415"/>
      <c r="AF16" s="415"/>
      <c r="AG16" s="415"/>
      <c r="AH16" s="415"/>
      <c r="AI16" s="415"/>
      <c r="AJ16" s="416"/>
      <c r="AK16" s="417"/>
      <c r="AL16" s="418"/>
      <c r="AM16" s="418"/>
      <c r="AN16" s="418">
        <f ca="1">MROUND(RANDBETWEEN(MinFh,MaxFh),MulFh)*RANDBETWEEN(-1,1)</f>
        <v>-100</v>
      </c>
      <c r="AO16" s="418"/>
      <c r="AP16" s="418"/>
      <c r="AQ16" s="418"/>
      <c r="AR16" s="418"/>
      <c r="AS16" s="418"/>
      <c r="AT16" s="418"/>
      <c r="AU16" s="418"/>
      <c r="AV16" s="418"/>
      <c r="AW16" s="418"/>
      <c r="AX16" s="418"/>
      <c r="AY16" s="419"/>
      <c r="AZ16" s="420"/>
      <c r="BA16" s="421"/>
      <c r="BB16" s="421"/>
      <c r="BC16" s="421">
        <f ca="1">MROUND(RANDBETWEEN(MinMz,MaxMz),MulMz)*RANDBETWEEN(-1,1)</f>
        <v>-10</v>
      </c>
      <c r="BD16" s="421"/>
      <c r="BE16" s="421"/>
      <c r="BF16" s="421"/>
      <c r="BG16" s="421"/>
      <c r="BH16" s="421"/>
      <c r="BI16" s="421"/>
      <c r="BJ16" s="421"/>
      <c r="BK16" s="421"/>
      <c r="BL16" s="421"/>
      <c r="BM16" s="421"/>
      <c r="BN16" s="422"/>
      <c r="BO16" s="423"/>
      <c r="BP16" s="424"/>
      <c r="BQ16" s="424">
        <f ca="1">T_D_VAR[[#This Row],[q_CE_v]]*RANDBETWEEN(-1,1)</f>
        <v>110</v>
      </c>
      <c r="BR16" s="424">
        <f ca="1">MROUND(RANDBETWEEN(MinQ,MaxQ),MulQ)*IF(SUM(T_D_VAR[[#This Row],[Fv_A]:[q_BC]])=0,-1,RANDBETWEEN(-1,1))</f>
        <v>110</v>
      </c>
      <c r="BS16" s="424">
        <f ca="1">MAX(ABS(T_D_VAR[[#This Row],[q_CE_h]]),ABS(T_D_VAR[[#This Row],[q_CE_v]]))*IF(T_D_VAR[[#This Row],[q_CE_v]]&lt;0,-1,1)</f>
        <v>110</v>
      </c>
      <c r="BT16" s="424"/>
      <c r="BU16" s="424"/>
      <c r="BV16" s="424"/>
      <c r="BW16" s="424"/>
      <c r="BX16" s="424"/>
      <c r="BY16" s="424"/>
      <c r="BZ16" s="424"/>
      <c r="CA16" s="424"/>
      <c r="CB16" s="424"/>
      <c r="CC16" s="425"/>
      <c r="CD16" s="426" t="s">
        <v>592</v>
      </c>
      <c r="CE16" s="427"/>
      <c r="CF16" s="386">
        <f>1</f>
        <v>1</v>
      </c>
      <c r="CG16" s="487">
        <f>ROW()-ROW(T_D_VAR[[#Headers],[Nº]])</f>
        <v>12</v>
      </c>
    </row>
    <row r="17" spans="1:85" ht="28.7" outlineLevel="1">
      <c r="A17" s="463" t="s">
        <v>622</v>
      </c>
      <c r="B17"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Viga-Inclinada-Movil-Fijo: 1 m; 1 Pv; 1 Ph; (-50)</v>
      </c>
      <c r="C17" s="411"/>
      <c r="D17" s="412"/>
      <c r="E17" s="412">
        <f ca="1">MROUND(RANDBETWEEN(MinL,MaxL),MulL)/10</f>
        <v>1</v>
      </c>
      <c r="F17" s="412"/>
      <c r="G17" s="412"/>
      <c r="H17" s="412"/>
      <c r="I17" s="412"/>
      <c r="J17" s="412"/>
      <c r="K17" s="412"/>
      <c r="L17" s="412"/>
      <c r="M17" s="412"/>
      <c r="N17" s="412"/>
      <c r="O17" s="412"/>
      <c r="P17" s="412"/>
      <c r="Q17" s="413" cm="1">
        <f t="array" aca="1" ref="Q17" ca="1">INDIRECT("alfa_"&amp;RANDBETWEEN(1,6))</f>
        <v>63.43494882292201</v>
      </c>
      <c r="R17" s="462" t="s">
        <v>398</v>
      </c>
      <c r="S17" s="2" t="s">
        <v>36</v>
      </c>
      <c r="T17" s="2" t="s">
        <v>38</v>
      </c>
      <c r="U17" s="2"/>
      <c r="V17" s="414"/>
      <c r="W17" s="415"/>
      <c r="X17" s="415"/>
      <c r="Y17" s="415">
        <f ca="1">MROUND(RANDBETWEEN(MinFv,MaxFv),MulFv)*RANDBETWEEN(-1,1)</f>
        <v>50</v>
      </c>
      <c r="Z17" s="415"/>
      <c r="AA17" s="415"/>
      <c r="AB17" s="415"/>
      <c r="AC17" s="415"/>
      <c r="AD17" s="415"/>
      <c r="AE17" s="415"/>
      <c r="AF17" s="415"/>
      <c r="AG17" s="415"/>
      <c r="AH17" s="415"/>
      <c r="AI17" s="415"/>
      <c r="AJ17" s="416"/>
      <c r="AK17" s="417"/>
      <c r="AL17" s="418"/>
      <c r="AM17" s="418"/>
      <c r="AN17" s="418">
        <f ca="1">MROUND(RANDBETWEEN(MinFh,MaxFh),MulFh)*RANDBETWEEN(-1,1)</f>
        <v>-100</v>
      </c>
      <c r="AO17" s="418"/>
      <c r="AP17" s="418"/>
      <c r="AQ17" s="418"/>
      <c r="AR17" s="418"/>
      <c r="AS17" s="418"/>
      <c r="AT17" s="418"/>
      <c r="AU17" s="418"/>
      <c r="AV17" s="418"/>
      <c r="AW17" s="418"/>
      <c r="AX17" s="418"/>
      <c r="AY17" s="419"/>
      <c r="AZ17" s="420"/>
      <c r="BA17" s="421"/>
      <c r="BB17" s="421"/>
      <c r="BC17" s="421">
        <f ca="1">MROUND(RANDBETWEEN(MinMz,MaxMz),MulMz)*RANDBETWEEN(-1,1)</f>
        <v>0</v>
      </c>
      <c r="BD17" s="421"/>
      <c r="BE17" s="421"/>
      <c r="BF17" s="421"/>
      <c r="BG17" s="421"/>
      <c r="BH17" s="421"/>
      <c r="BI17" s="421"/>
      <c r="BJ17" s="421"/>
      <c r="BK17" s="421"/>
      <c r="BL17" s="421"/>
      <c r="BM17" s="421"/>
      <c r="BN17" s="422"/>
      <c r="BO17" s="423"/>
      <c r="BP17" s="424"/>
      <c r="BQ17" s="424">
        <f ca="1">T_D_VAR[[#This Row],[q_CE_v]]*RANDBETWEEN(-1,1)</f>
        <v>0</v>
      </c>
      <c r="BR17" s="424">
        <f ca="1">MROUND(RANDBETWEEN(MinQ,MaxQ),MulQ)*IF(SUM(T_D_VAR[[#This Row],[Fv_A]:[q_BC]])=0,-1,RANDBETWEEN(-1,1))</f>
        <v>0</v>
      </c>
      <c r="BS17" s="424">
        <f ca="1">MAX(ABS(T_D_VAR[[#This Row],[q_CE_h]]),ABS(T_D_VAR[[#This Row],[q_CE_v]]))*IF(T_D_VAR[[#This Row],[q_CE_v]]&lt;0,-1,1)</f>
        <v>0</v>
      </c>
      <c r="BT17" s="424"/>
      <c r="BU17" s="424"/>
      <c r="BV17" s="424"/>
      <c r="BW17" s="424"/>
      <c r="BX17" s="424"/>
      <c r="BY17" s="424"/>
      <c r="BZ17" s="424"/>
      <c r="CA17" s="424"/>
      <c r="CB17" s="424"/>
      <c r="CC17" s="425"/>
      <c r="CD17" s="426" t="s">
        <v>622</v>
      </c>
      <c r="CE17" s="427"/>
      <c r="CF17" s="386">
        <f>1</f>
        <v>1</v>
      </c>
      <c r="CG17" s="466">
        <f>ROW()-ROW(T_D_VAR[[#Headers],[Nº]])</f>
        <v>13</v>
      </c>
    </row>
    <row r="18" spans="1:85" ht="28.7" outlineLevel="1">
      <c r="A18" s="463" t="s">
        <v>751</v>
      </c>
      <c r="B18"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Viga-Inclinada-Empotrado-Libre: 2 m; 1 Pv; 1 M; (350)</v>
      </c>
      <c r="C18" s="411"/>
      <c r="D18" s="412"/>
      <c r="E18" s="412">
        <f ca="1">MROUND(RANDBETWEEN(MinL,MaxL),MulL)/10</f>
        <v>2</v>
      </c>
      <c r="F18" s="412"/>
      <c r="G18" s="412"/>
      <c r="H18" s="412"/>
      <c r="I18" s="412"/>
      <c r="J18" s="412"/>
      <c r="K18" s="412"/>
      <c r="L18" s="412"/>
      <c r="M18" s="412"/>
      <c r="N18" s="412"/>
      <c r="O18" s="412"/>
      <c r="P18" s="412"/>
      <c r="Q18" s="413" cm="1">
        <f t="array" aca="1" ref="Q18" ca="1">INDIRECT("alfa_"&amp;RANDBETWEEN(1,6))</f>
        <v>30</v>
      </c>
      <c r="R18" s="462" t="s">
        <v>396</v>
      </c>
      <c r="S18" s="2" t="s">
        <v>36</v>
      </c>
      <c r="T18" s="2"/>
      <c r="U18" s="2"/>
      <c r="V18" s="414"/>
      <c r="W18" s="415"/>
      <c r="X18" s="415"/>
      <c r="Y18" s="415">
        <f ca="1">MROUND(RANDBETWEEN(MinFv,MaxFv),MulFv)*RANDBETWEEN(-1,1)</f>
        <v>400</v>
      </c>
      <c r="Z18" s="415">
        <f ca="1">MROUND(RANDBETWEEN(MinFv,MaxFv),MulFv)*RANDBETWEEN(-1,1)*IF(Y18=0,1,0)</f>
        <v>0</v>
      </c>
      <c r="AA18" s="415"/>
      <c r="AB18" s="415"/>
      <c r="AC18" s="415"/>
      <c r="AD18" s="415"/>
      <c r="AE18" s="415"/>
      <c r="AF18" s="415"/>
      <c r="AG18" s="415"/>
      <c r="AH18" s="415"/>
      <c r="AI18" s="415"/>
      <c r="AJ18" s="416"/>
      <c r="AK18" s="417"/>
      <c r="AL18" s="418"/>
      <c r="AM18" s="418"/>
      <c r="AN18" s="418">
        <f ca="1">MROUND(RANDBETWEEN(MinFh,MaxFh),MulFh)*RANDBETWEEN(-1,1)</f>
        <v>0</v>
      </c>
      <c r="AO18" s="418">
        <f ca="1">MROUND(RANDBETWEEN(MinFh,MaxFh),MulFh)*RANDBETWEEN(-1,1)</f>
        <v>0</v>
      </c>
      <c r="AP18" s="418"/>
      <c r="AQ18" s="418"/>
      <c r="AR18" s="418"/>
      <c r="AS18" s="418"/>
      <c r="AT18" s="418"/>
      <c r="AU18" s="418"/>
      <c r="AV18" s="418"/>
      <c r="AW18" s="418"/>
      <c r="AX18" s="418"/>
      <c r="AY18" s="419"/>
      <c r="AZ18" s="420"/>
      <c r="BA18" s="421"/>
      <c r="BB18" s="421"/>
      <c r="BC18" s="421">
        <f ca="1">MROUND(RANDBETWEEN(MinMz,MaxMz),MulMz)*RANDBETWEEN(-1,1)</f>
        <v>-50</v>
      </c>
      <c r="BD18" s="421">
        <f ca="1">MROUND(RANDBETWEEN(MinMz,MaxMz),MulMz)*RANDBETWEEN(-1,1)*IF(AND(Z18=0,AO18=0,BC18=0),1,0)</f>
        <v>0</v>
      </c>
      <c r="BE18" s="421"/>
      <c r="BF18" s="421"/>
      <c r="BG18" s="421"/>
      <c r="BH18" s="421"/>
      <c r="BI18" s="421"/>
      <c r="BJ18" s="421"/>
      <c r="BK18" s="421"/>
      <c r="BL18" s="421"/>
      <c r="BM18" s="421"/>
      <c r="BN18" s="422"/>
      <c r="BO18" s="423"/>
      <c r="BP18" s="424"/>
      <c r="BQ18" s="424">
        <f ca="1">T_D_VAR[[#This Row],[q_CE_v]]*RANDBETWEEN(-1,1)</f>
        <v>0</v>
      </c>
      <c r="BR18" s="424">
        <f ca="1">MROUND(RANDBETWEEN(MinQ,MaxQ),MulQ)*IF(SUM(T_D_VAR[[#This Row],[Fv_A]:[q_BC]])=0,-1,RANDBETWEEN(-1,1))</f>
        <v>0</v>
      </c>
      <c r="BS18" s="424">
        <f ca="1">MAX(ABS(T_D_VAR[[#This Row],[q_CE_h]]),ABS(T_D_VAR[[#This Row],[q_CE_v]]))*IF(T_D_VAR[[#This Row],[q_CE_v]]&lt;0,-1,1)</f>
        <v>0</v>
      </c>
      <c r="BT18" s="424"/>
      <c r="BU18" s="424"/>
      <c r="BV18" s="424"/>
      <c r="BW18" s="424"/>
      <c r="BX18" s="424"/>
      <c r="BY18" s="424"/>
      <c r="BZ18" s="424"/>
      <c r="CA18" s="424"/>
      <c r="CB18" s="424"/>
      <c r="CC18" s="425"/>
      <c r="CD18" s="426" t="s">
        <v>751</v>
      </c>
      <c r="CE18" s="427"/>
      <c r="CF18" s="386">
        <f>1</f>
        <v>1</v>
      </c>
      <c r="CG18" s="466">
        <f>ROW()-ROW(T_D_VAR[[#Headers],[Nº]])</f>
        <v>14</v>
      </c>
    </row>
    <row r="19" spans="1:85" ht="28.7" outlineLevel="1">
      <c r="A19" s="467" t="s">
        <v>753</v>
      </c>
      <c r="B19" s="468"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Viga-Inclinada-Libre-Empotrado: 1,5 m; 2 Ph; 1 M; 3 q (-100)</v>
      </c>
      <c r="C19" s="469"/>
      <c r="D19" s="470"/>
      <c r="E19" s="470">
        <f ca="1">MROUND(RANDBETWEEN(MinL,MaxL),MulL)/10</f>
        <v>1.5</v>
      </c>
      <c r="F19" s="470"/>
      <c r="G19" s="470"/>
      <c r="H19" s="470"/>
      <c r="I19" s="470"/>
      <c r="J19" s="470"/>
      <c r="K19" s="470"/>
      <c r="L19" s="470"/>
      <c r="M19" s="470"/>
      <c r="N19" s="470"/>
      <c r="O19" s="470"/>
      <c r="P19" s="470"/>
      <c r="Q19" s="471" cm="1">
        <f t="array" aca="1" ref="Q19" ca="1">INDIRECT("alfa_"&amp;RANDBETWEEN(1,6))</f>
        <v>45</v>
      </c>
      <c r="R19" s="472" t="s">
        <v>396</v>
      </c>
      <c r="S19" s="473" t="s">
        <v>38</v>
      </c>
      <c r="T19" s="473"/>
      <c r="U19" s="473"/>
      <c r="V19" s="474"/>
      <c r="W19" s="475"/>
      <c r="X19" s="475">
        <f ca="1">MROUND(RANDBETWEEN(MinFv,MaxFv),MulFv)*RANDBETWEEN(-1,1)</f>
        <v>0</v>
      </c>
      <c r="Y19" s="475">
        <f ca="1">MROUND(RANDBETWEEN(MinFv,MaxFv),MulFv)*RANDBETWEEN(-1,1)*IF(X19=0,1,0)</f>
        <v>0</v>
      </c>
      <c r="Z19" s="475"/>
      <c r="AA19" s="475"/>
      <c r="AB19" s="475"/>
      <c r="AC19" s="475"/>
      <c r="AD19" s="475"/>
      <c r="AE19" s="475"/>
      <c r="AF19" s="475"/>
      <c r="AG19" s="475"/>
      <c r="AH19" s="475"/>
      <c r="AI19" s="475"/>
      <c r="AJ19" s="476"/>
      <c r="AK19" s="477"/>
      <c r="AL19" s="478"/>
      <c r="AM19" s="478">
        <f ca="1">MROUND(RANDBETWEEN(MinFh,MaxFh),MulFh)*RANDBETWEEN(-1,1)</f>
        <v>-50</v>
      </c>
      <c r="AN19" s="478">
        <f ca="1">MROUND(RANDBETWEEN(MinFh,MaxFh),MulFh)*RANDBETWEEN(-1,1)</f>
        <v>-100</v>
      </c>
      <c r="AO19" s="478"/>
      <c r="AP19" s="478"/>
      <c r="AQ19" s="478"/>
      <c r="AR19" s="478"/>
      <c r="AS19" s="478"/>
      <c r="AT19" s="478"/>
      <c r="AU19" s="478"/>
      <c r="AV19" s="478"/>
      <c r="AW19" s="478"/>
      <c r="AX19" s="478"/>
      <c r="AY19" s="479"/>
      <c r="AZ19" s="480"/>
      <c r="BA19" s="481"/>
      <c r="BB19" s="481">
        <f ca="1">MROUND(RANDBETWEEN(MinMz,MaxMz),MulMz)*RANDBETWEEN(-1,1)*IF(AND(X19=0,AM19=0),1,0)</f>
        <v>0</v>
      </c>
      <c r="BC19" s="481">
        <f ca="1">MROUND(RANDBETWEEN(MinMz,MaxMz),MulMz)*RANDBETWEEN(-1,1)</f>
        <v>-45</v>
      </c>
      <c r="BD19" s="481"/>
      <c r="BE19" s="481"/>
      <c r="BF19" s="481"/>
      <c r="BG19" s="481"/>
      <c r="BH19" s="481"/>
      <c r="BI19" s="481"/>
      <c r="BJ19" s="481"/>
      <c r="BK19" s="481"/>
      <c r="BL19" s="481"/>
      <c r="BM19" s="481"/>
      <c r="BN19" s="482"/>
      <c r="BO19" s="423"/>
      <c r="BP19" s="424"/>
      <c r="BQ19" s="424">
        <f ca="1">T_D_VAR[[#This Row],[q_CE_v]]*RANDBETWEEN(-1,1)</f>
        <v>-95</v>
      </c>
      <c r="BR19" s="424">
        <f ca="1">MROUND(RANDBETWEEN(MinQ,MaxQ),MulQ)*IF(SUM(T_D_VAR[[#This Row],[Fv_A]:[q_BC]])=0,-1,RANDBETWEEN(-1,1))</f>
        <v>95</v>
      </c>
      <c r="BS19" s="424">
        <f ca="1">MAX(ABS(T_D_VAR[[#This Row],[q_CE_h]]),ABS(T_D_VAR[[#This Row],[q_CE_v]]))*IF(T_D_VAR[[#This Row],[q_CE_v]]&lt;0,-1,1)</f>
        <v>95</v>
      </c>
      <c r="BT19" s="424"/>
      <c r="BU19" s="424"/>
      <c r="BV19" s="424"/>
      <c r="BW19" s="424"/>
      <c r="BX19" s="424"/>
      <c r="BY19" s="424"/>
      <c r="BZ19" s="424"/>
      <c r="CA19" s="424"/>
      <c r="CB19" s="424"/>
      <c r="CC19" s="425"/>
      <c r="CD19" s="483" t="s">
        <v>753</v>
      </c>
      <c r="CE19" s="484"/>
      <c r="CF19" s="485">
        <f>1</f>
        <v>1</v>
      </c>
      <c r="CG19" s="486">
        <f>ROW()-ROW(T_D_VAR[[#Headers],[Nº]])</f>
        <v>15</v>
      </c>
    </row>
    <row r="20" spans="1:85" ht="28.7">
      <c r="A20" s="463" t="s">
        <v>641</v>
      </c>
      <c r="B20"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Portico-TODO-Recto: 14,5 m; 4 Pv; 5 Ph; 3 M; 1 q (335)</v>
      </c>
      <c r="C20" s="411">
        <f ca="1">MROUND(RANDBETWEEN(MinL,MaxL),MulL)/10</f>
        <v>2</v>
      </c>
      <c r="D20" s="412">
        <f ca="1">IF(L_1Iguales=_OK,T_D_VAR[[#This Row],[L_AB]],MROUND(RANDBETWEEN(MinL,MaxL),MulL)/10)</f>
        <v>2</v>
      </c>
      <c r="E20" s="412">
        <f ca="1">IF(L_1Iguales=_OK,T_D_VAR[[#This Row],[L_AB]],MROUND(RANDBETWEEN(MinL,MaxL),MulL)/10)</f>
        <v>2</v>
      </c>
      <c r="F20" s="412">
        <f ca="1">MROUND(RANDBETWEEN(MinL,MaxL),MulL)/10</f>
        <v>0.5</v>
      </c>
      <c r="G20" s="412">
        <f ca="1">IF(L_1Iguales=_OK,T_D_VAR[[#This Row],[L_DE]],MROUND(RANDBETWEEN(MinL,MaxL),MulL)/10)</f>
        <v>0.5</v>
      </c>
      <c r="H20" s="412">
        <f ca="1">IF(L_1Iguales=_OK,T_D_VAR[[#This Row],[L_DE]],MROUND(RANDBETWEEN(MinL,MaxL),MulL)/10)</f>
        <v>0.5</v>
      </c>
      <c r="I20" s="412">
        <f ca="1">MROUND(RANDBETWEEN(MinL,MaxL),MulL)/10</f>
        <v>0.5</v>
      </c>
      <c r="J20" s="412">
        <f ca="1">IF(L_1Iguales=_OK,T_D_VAR[[#This Row],[L_GH]],MROUND(RANDBETWEEN(MinL,MaxL),MulL)/10)</f>
        <v>0.5</v>
      </c>
      <c r="K20" s="412">
        <f ca="1">MROUND(RANDBETWEEN(MinL,MaxL),MulL)/10</f>
        <v>1.5</v>
      </c>
      <c r="L20" s="412">
        <f ca="1">IF(L_1Iguales=_OK,T_D_VAR[[#This Row],[L_GJ]],MROUND(RANDBETWEEN(MinL,MaxL),MulL)/10)</f>
        <v>1.5</v>
      </c>
      <c r="M20" s="412">
        <f ca="1">MROUND(RANDBETWEEN(MinL,MaxL),MulL)/10</f>
        <v>0.5</v>
      </c>
      <c r="N20" s="412">
        <f ca="1">IF(L_1Iguales=_OK,T_D_VAR[[#This Row],[L_KL]],MROUND(RANDBETWEEN(MinL,MaxL),MulL)/10)</f>
        <v>0.5</v>
      </c>
      <c r="O20" s="412">
        <f ca="1">MROUND(RANDBETWEEN(MinL,MaxL),MulL)/10</f>
        <v>0.5</v>
      </c>
      <c r="P20" s="412">
        <f ca="1">MROUND(RANDBETWEEN(MinL,MaxL),MulL)/10</f>
        <v>1.5</v>
      </c>
      <c r="Q20" s="413">
        <v>90</v>
      </c>
      <c r="R20" s="464" t="str" cm="1">
        <f t="array" aca="1" ref="R20" ca="1">INDIRECT("OCULTOS!N"&amp;RANDBETWEEN(2,3))</f>
        <v>A Fijo</v>
      </c>
      <c r="S20" s="450" t="str">
        <f ca="1">IF(T_D_VAR[[#This Row],[Tipo]]=T_Emp,OCULTOS!B$33,OCULTOS!B$42)</f>
        <v>N</v>
      </c>
      <c r="T20" s="450" t="str">
        <f ca="1">IF(T_D_VAR[[#This Row],[Tipo]]=OCULTOS!$N$2,"",OCULTOS!B$43)</f>
        <v>F</v>
      </c>
      <c r="U20" s="450"/>
      <c r="V20" s="414">
        <f ca="1">IF(OR(T_D_VAR[[#This Row],[Nudo Fijo]]=MID(V$4,4,1),T_D_VAR[[#This Row],[Nudo Móvil]]=MID(V$4,4,1)),0,MROUND(RANDBETWEEN(MinFv,MaxFv),MulFv)*RANDBETWEEN(-1,1))</f>
        <v>-500</v>
      </c>
      <c r="W20" s="415"/>
      <c r="X20" s="415"/>
      <c r="Y20" s="415">
        <f ca="1">IF(OR(T_D_VAR[[#This Row],[Nudo Fijo]]=MID(Y$4,4,1),T_D_VAR[[#This Row],[Nudo Móvil]]=MID(Y$4,4,1)),0,MROUND(RANDBETWEEN(MinFv,MaxFv),MulFv)*RANDBETWEEN(-1,1))</f>
        <v>400</v>
      </c>
      <c r="Z20" s="415">
        <f ca="1">IF(OR(T_D_VAR[[#This Row],[Nudo Fijo]]=MID(Z$4,4,1),T_D_VAR[[#This Row],[Nudo Móvil]]=MID(Z$4,4,1)),0,MROUND(RANDBETWEEN(MinFv,MaxFv),MulFv)*RANDBETWEEN(-1,1))*IF(AND(Y20=0,X20=0),1,0)</f>
        <v>0</v>
      </c>
      <c r="AA20" s="415">
        <f ca="1">IF(OR(T_D_VAR[[#This Row],[Nudo Fijo]]=MID(AA$4,4,1),T_D_VAR[[#This Row],[Nudo Móvil]]=MID(AA$4,4,1)),0,MROUND(RANDBETWEEN(MinFv,MaxFv),MulFv)*RANDBETWEEN(-1,1))*IF(AND(Z20=0,Y20=0),1,0)</f>
        <v>0</v>
      </c>
      <c r="AB20" s="415">
        <f ca="1">IF(OR(T_D_VAR[[#This Row],[Nudo Fijo]]=MID(AB$4,4,1),T_D_VAR[[#This Row],[Nudo Móvil]]=MID(AB$4,4,1)),0,MROUND(RANDBETWEEN(MinFv,MaxFv),MulFv)*RANDBETWEEN(-1,1))*IF(AND(AA20=0,Z20=0),1,0)</f>
        <v>0</v>
      </c>
      <c r="AC20" s="415">
        <f ca="1">IF(OR(T_D_VAR[[#This Row],[Nudo Fijo]]=MID(AC$4,4,1),T_D_VAR[[#This Row],[Nudo Móvil]]=MID(AC$4,4,1)),0,MROUND(RANDBETWEEN(MinFv,MaxFv),MulFv)*RANDBETWEEN(-1,1))*IF(AND(AB20=0,AA20=0),1,0)</f>
        <v>0</v>
      </c>
      <c r="AD20" s="415">
        <f ca="1">IF(OR(T_D_VAR[[#This Row],[Nudo Fijo]]=MID(AD$4,4,1),T_D_VAR[[#This Row],[Nudo Móvil]]=MID(AD$4,4,1)),0,MROUND(RANDBETWEEN(MinFv,MaxFv),MulFv)*RANDBETWEEN(-1,1))*IF(AND(AC20=0,AB20=0),1,0)</f>
        <v>0</v>
      </c>
      <c r="AE20" s="415">
        <f ca="1">IF(OR(T_D_VAR[[#This Row],[Nudo Fijo]]=MID(AE$4,4,1),T_D_VAR[[#This Row],[Nudo Móvil]]=MID(AE$4,4,1)),0,MROUND(RANDBETWEEN(MinFv,MaxFv),MulFv)*RANDBETWEEN(-1,1))*IF(AND(AD20=0,AC20=0),1,0)</f>
        <v>400</v>
      </c>
      <c r="AF20" s="415">
        <f ca="1">IF(OR(T_D_VAR[[#This Row],[Nudo Fijo]]=MID(AF$4,4,1),T_D_VAR[[#This Row],[Nudo Móvil]]=MID(AF$4,4,1)),0,MROUND(RANDBETWEEN(MinFv,MaxFv),MulFv)*RANDBETWEEN(-1,1))*IF(AND(AE20=0,AD20=0),1,0)</f>
        <v>0</v>
      </c>
      <c r="AG20" s="415">
        <f ca="1">IF(OR(T_D_VAR[[#This Row],[Nudo Fijo]]=MID(AG$4,4,1),T_D_VAR[[#This Row],[Nudo Móvil]]=MID(AG$4,4,1)),0,MROUND(RANDBETWEEN(MinFv,MaxFv),MulFv)*RANDBETWEEN(-1,1))*IF(AND(AF20=0,AE20=0),1,0)</f>
        <v>0</v>
      </c>
      <c r="AH20" s="415">
        <f ca="1">IF(OR(T_D_VAR[[#This Row],[Nudo Fijo]]=MID(AH$4,4,1),T_D_VAR[[#This Row],[Nudo Móvil]]=MID(AH$4,4,1)),0,MROUND(RANDBETWEEN(MinFv,MaxFv),MulFv)*RANDBETWEEN(-1,1))*IF(AND(AG20=0,AF20=0),1,0)</f>
        <v>-150</v>
      </c>
      <c r="AI20" s="415">
        <f ca="1">IF(OR(T_D_VAR[[#This Row],[Nudo Fijo]]=MID(AI$4,4,1),T_D_VAR[[#This Row],[Nudo Móvil]]=MID(AI$4,4,1)),0,MROUND(RANDBETWEEN(MinFv,MaxFv),MulFv)*RANDBETWEEN(-1,1))*IF(AND(AH20=0,AG20=0),1,0)</f>
        <v>0</v>
      </c>
      <c r="AJ20" s="416">
        <f ca="1">IF(OR(T_D_VAR[[#This Row],[Nudo Fijo]]=MID(AJ$4,4,1),T_D_VAR[[#This Row],[Nudo Móvil]]=MID(AJ$4,4,1)),0,MROUND(RANDBETWEEN(MinFv,MaxFv),MulFv)*RANDBETWEEN(-1,1))*IF(AND(AI20=0,AH20=0),1,0)</f>
        <v>0</v>
      </c>
      <c r="AK20" s="417">
        <f ca="1">IF(OR(T_D_VAR[[#This Row],[Nudo Fijo]]=MID(AK$4,4,1),T_D_VAR[[#This Row],[Nudo Móvil]]=MID(AK$4,4,1)),0,MROUND(RANDBETWEEN(MinFh,MaxFh),MulFh)*RANDBETWEEN(-1,1))*IF(V20=0,1,0)</f>
        <v>0</v>
      </c>
      <c r="AL20" s="418">
        <f ca="1">IF(OR(T_D_VAR[[#This Row],[Nudo Fijo]]=MID(AL$4,4,1),T_D_VAR[[#This Row],[Nudo Móvil]]=MID(AL$4,4,1)),0,MROUND(RANDBETWEEN(MinFh,MaxFh),MulFh)*RANDBETWEEN(-1,1))*IF(AND(W20=0,AK20=0,AJ20=0),1,0)</f>
        <v>-100</v>
      </c>
      <c r="AM20" s="418">
        <f ca="1">IF(OR(T_D_VAR[[#This Row],[Nudo Fijo]]=MID(AM$4,4,1),T_D_VAR[[#This Row],[Nudo Móvil]]=MID(AM$4,4,1)),0,MROUND(RANDBETWEEN(MinFh,MaxFh),MulFh)*RANDBETWEEN(-1,1))*IF(AND(AL20=0,AK20=0),1,0)</f>
        <v>0</v>
      </c>
      <c r="AN20" s="418">
        <f ca="1">IF(OR(T_D_VAR[[#This Row],[Nudo Fijo]]=MID(AN$4,4,1),T_D_VAR[[#This Row],[Nudo Móvil]]=MID(AN$4,4,1)),0,MROUND(RANDBETWEEN(MinFh,MaxFh),MulFh)*RANDBETWEEN(-1,1))*IF(Y20=0,1,0)</f>
        <v>0</v>
      </c>
      <c r="AO20" s="418">
        <f ca="1">IF(OR(T_D_VAR[[#This Row],[Nudo Fijo]]=MID(AO$4,4,1),T_D_VAR[[#This Row],[Nudo Móvil]]=MID(AO$4,4,1)),0,MROUND(RANDBETWEEN(MinFh,MaxFh),MulFh)*RANDBETWEEN(-1,1))*IF(AND(Z20=0,AN20=0,AM20=0),1,0)</f>
        <v>50</v>
      </c>
      <c r="AP20" s="418">
        <f ca="1">IF(OR(T_D_VAR[[#This Row],[Nudo Fijo]]=MID(AP$4,4,1),T_D_VAR[[#This Row],[Nudo Móvil]]=MID(AP$4,4,1)),0,MROUND(RANDBETWEEN(MinFh,MaxFh),MulFh)*RANDBETWEEN(-1,1))*IF(AND(AA20=0,AO20=0,AN20=0),1,0)</f>
        <v>0</v>
      </c>
      <c r="AQ20" s="418">
        <f ca="1">IF(OR(T_D_VAR[[#This Row],[Nudo Fijo]]=MID(AQ$4,4,1),T_D_VAR[[#This Row],[Nudo Móvil]]=MID(AQ$4,4,1)),0,MROUND(RANDBETWEEN(MinFh,MaxFh),MulFh)*RANDBETWEEN(-1,1))*IF(AND(AB20=0,AP20=0,AO20=0),1,0)</f>
        <v>0</v>
      </c>
      <c r="AR20" s="418">
        <f ca="1">IF(OR(T_D_VAR[[#This Row],[Nudo Fijo]]=MID(AR$4,4,1),T_D_VAR[[#This Row],[Nudo Móvil]]=MID(AR$4,4,1)),0,MROUND(RANDBETWEEN(MinFh,MaxFh),MulFh)*RANDBETWEEN(-1,1))*IF(AND(AC20=0,AQ20=0,AP20=0),1,0)</f>
        <v>-200</v>
      </c>
      <c r="AS20" s="418">
        <f ca="1">IF(OR(T_D_VAR[[#This Row],[Nudo Fijo]]=MID(AS$4,4,1),T_D_VAR[[#This Row],[Nudo Móvil]]=MID(AS$4,4,1)),0,MROUND(RANDBETWEEN(MinFh,MaxFh),MulFh)*RANDBETWEEN(-1,1))*IF(AND(AD20=0,AR20=0,AQ20=0),1,0)</f>
        <v>0</v>
      </c>
      <c r="AT20" s="418">
        <f ca="1">IF(OR(T_D_VAR[[#This Row],[Nudo Fijo]]=MID(AT$4,4,1),T_D_VAR[[#This Row],[Nudo Móvil]]=MID(AT$4,4,1)),0,MROUND(RANDBETWEEN(MinFh,MaxFh),MulFh)*RANDBETWEEN(-1,1))*IF(AND(AE20=0,AS20=0,AR20=0),1,0)</f>
        <v>0</v>
      </c>
      <c r="AU20" s="418">
        <f ca="1">IF(OR(T_D_VAR[[#This Row],[Nudo Fijo]]=MID(AU$4,4,1),T_D_VAR[[#This Row],[Nudo Móvil]]=MID(AU$4,4,1)),0,MROUND(RANDBETWEEN(MinFh,MaxFh),MulFh)*RANDBETWEEN(-1,1))*IF(AND(AF20=0,AT20=0,AS20=0),1,0)</f>
        <v>-50</v>
      </c>
      <c r="AV20" s="418">
        <f ca="1">IF(OR(T_D_VAR[[#This Row],[Nudo Fijo]]=MID(AV$4,4,1),T_D_VAR[[#This Row],[Nudo Móvil]]=MID(AV$4,4,1)),0,MROUND(RANDBETWEEN(MinFh,MaxFh),MulFh)*RANDBETWEEN(-1,1))*IF(AND(AG20=0,AU20=0,AT20=0),1,0)</f>
        <v>0</v>
      </c>
      <c r="AW20" s="418">
        <f ca="1">IF(OR(T_D_VAR[[#This Row],[Nudo Fijo]]=MID(AW$4,4,1),T_D_VAR[[#This Row],[Nudo Móvil]]=MID(AW$4,4,1)),0,MROUND(RANDBETWEEN(MinFh,MaxFh),MulFh)*RANDBETWEEN(-1,1))*IF(AND(AH20=0,AV20=0,AU20=0),1,0)</f>
        <v>0</v>
      </c>
      <c r="AX20" s="418">
        <f ca="1">IF(OR(T_D_VAR[[#This Row],[Nudo Fijo]]=MID(AX$4,4,1),T_D_VAR[[#This Row],[Nudo Móvil]]=MID(AX$4,4,1)),0,MROUND(RANDBETWEEN(MinFh,MaxFh),MulFh)*RANDBETWEEN(-1,1))*IF(AND(AI20=0,AW20=0,AV20=0),1,0)</f>
        <v>0</v>
      </c>
      <c r="AY20" s="419">
        <f ca="1">IF(OR(T_D_VAR[[#This Row],[Nudo Fijo]]=MID(AY$4,4,1),T_D_VAR[[#This Row],[Nudo Móvil]]=MID(AY$4,4,1)),0,MROUND(RANDBETWEEN(MinFh,MaxFh),MulFh)*RANDBETWEEN(-1,1))*IF(AND(AJ20=0,AX20=0,AW20=0),1,0)</f>
        <v>-100</v>
      </c>
      <c r="AZ20" s="420">
        <f ca="1">IF(OR(T_D_VAR[[#This Row],[Nudo Fijo]]=MID(AZ$4,4,1),T_D_VAR[[#This Row],[Nudo Móvil]]=MID(AZ$4,4,1)),0,MROUND(RANDBETWEEN(MinMz,MaxMz),MulMz)*RANDBETWEEN(-1,1))*IF(AND(W20=0,AK20=0),1,0)</f>
        <v>0</v>
      </c>
      <c r="BA20" s="421">
        <f ca="1">IF(OR(T_D_VAR[[#This Row],[Nudo Fijo]]=MID(BA$4,4,1),T_D_VAR[[#This Row],[Nudo Móvil]]=MID(BA$4,4,1)),0,MROUND(RANDBETWEEN(MinMz,MaxMz),MulMz)*RANDBETWEEN(-1,1))*IF(AND(X20=0,AL20=0,AZ20=0,AY20=0),1,0)</f>
        <v>0</v>
      </c>
      <c r="BB20" s="421">
        <f ca="1">IF(OR(T_D_VAR[[#This Row],[Nudo Fijo]]=MID(BB$4,4,1),T_D_VAR[[#This Row],[Nudo Móvil]]=MID(BB$4,4,1)),0,MROUND(RANDBETWEEN(MinMz,MaxMz),MulMz)*RANDBETWEEN(-1,1))*IF(AND(Y20=0,AM20=0,BA20=0,AZ20=0),1,0)</f>
        <v>0</v>
      </c>
      <c r="BC20" s="421">
        <f ca="1">IF(OR(T_D_VAR[[#This Row],[Nudo Fijo]]=MID(BC$4,4,1),T_D_VAR[[#This Row],[Nudo Móvil]]=MID(BC$4,4,1)),0,MROUND(RANDBETWEEN(MinMz,MaxMz),MulMz)*RANDBETWEEN(-1,1))*IF(AND(Z20=0,AN20=0,BB20=0,BA20=0),1,0)</f>
        <v>0</v>
      </c>
      <c r="BD20" s="421">
        <f ca="1">IF(OR(T_D_VAR[[#This Row],[Nudo Fijo]]=MID(BD$4,4,1),T_D_VAR[[#This Row],[Nudo Móvil]]=MID(BD$4,4,1)),0,MROUND(RANDBETWEEN(MinMz,MaxMz),MulMz)*RANDBETWEEN(-1,1))*IF(AND(AA20=0,AO20=0,BC20=0,BB20=0),1,0)</f>
        <v>0</v>
      </c>
      <c r="BE20" s="421">
        <f ca="1">IF(OR(T_D_VAR[[#This Row],[Nudo Fijo]]=MID(BE$4,4,1),T_D_VAR[[#This Row],[Nudo Móvil]]=MID(BE$4,4,1)),0,MROUND(RANDBETWEEN(MinMz,MaxMz),MulMz)*RANDBETWEEN(-1,1))*IF(AND(AB20=0,AP20=0,BD20=0,BC20=0),1,0)</f>
        <v>0</v>
      </c>
      <c r="BF20" s="421">
        <f ca="1">IF(OR(T_D_VAR[[#This Row],[Nudo Fijo]]=MID(BF$4,4,1),T_D_VAR[[#This Row],[Nudo Móvil]]=MID(BF$4,4,1)),0,MROUND(RANDBETWEEN(MinMz,MaxMz),MulMz)*RANDBETWEEN(-1,1))*IF(AND(AC20=0,AQ20=0,BE20=0,BD20=0),1,0)</f>
        <v>-40</v>
      </c>
      <c r="BG20" s="421">
        <f ca="1">IF(OR(T_D_VAR[[#This Row],[Nudo Fijo]]=MID(BG$4,4,1),T_D_VAR[[#This Row],[Nudo Móvil]]=MID(BG$4,4,1)),0,MROUND(RANDBETWEEN(MinMz,MaxMz),MulMz)*RANDBETWEEN(-1,1))*IF(AND(AD20=0,AR20=0,BF20=0,BE20=0),1,0)</f>
        <v>0</v>
      </c>
      <c r="BH20" s="421">
        <f ca="1">IF(OR(T_D_VAR[[#This Row],[Nudo Fijo]]=MID(BH$4,4,1),T_D_VAR[[#This Row],[Nudo Móvil]]=MID(BH$4,4,1)),0,MROUND(RANDBETWEEN(MinMz,MaxMz),MulMz)*RANDBETWEEN(-1,1))*IF(AND(AE20=0,AS20=0,BG20=0,BF20=0),1,0)</f>
        <v>0</v>
      </c>
      <c r="BI20" s="421">
        <f ca="1">IF(OR(T_D_VAR[[#This Row],[Nudo Fijo]]=MID(BI$4,4,1),T_D_VAR[[#This Row],[Nudo Móvil]]=MID(BI$4,4,1)),0,MROUND(RANDBETWEEN(MinMz,MaxMz),MulMz)*RANDBETWEEN(-1,1))*IF(AND(AF20=0,AT20=0,BH20=0,BG20=0),1,0)</f>
        <v>25</v>
      </c>
      <c r="BJ20" s="421">
        <f ca="1">IF(OR(T_D_VAR[[#This Row],[Nudo Fijo]]=MID(BJ$4,4,1),T_D_VAR[[#This Row],[Nudo Móvil]]=MID(BJ$4,4,1)),0,MROUND(RANDBETWEEN(MinMz,MaxMz),MulMz)*RANDBETWEEN(-1,1))*IF(AND(AG20=0,AU20=0,BI20=0,BH20=0),1,0)</f>
        <v>0</v>
      </c>
      <c r="BK20" s="421">
        <f ca="1">IF(OR(T_D_VAR[[#This Row],[Nudo Fijo]]=MID(BK$4,4,1),T_D_VAR[[#This Row],[Nudo Móvil]]=MID(BK$4,4,1)),0,MROUND(RANDBETWEEN(MinMz,MaxMz),MulMz)*RANDBETWEEN(-1,1))*IF(AND(AH20=0,AV20=0,BJ20=0,BI20=0),1,0)</f>
        <v>0</v>
      </c>
      <c r="BL20" s="421">
        <f ca="1">IF(OR(T_D_VAR[[#This Row],[Nudo Fijo]]=MID(BL$4,4,1),T_D_VAR[[#This Row],[Nudo Móvil]]=MID(BL$4,4,1)),0,MROUND(RANDBETWEEN(MinMz,MaxMz),MulMz)*RANDBETWEEN(-1,1))*IF(AND(AI20=0,AW20=0,BK20=0,BJ20=0),1,0)</f>
        <v>10</v>
      </c>
      <c r="BM20" s="421">
        <f ca="1">IF(OR(T_D_VAR[[#This Row],[Nudo Fijo]]=MID(BM$4,4,1),T_D_VAR[[#This Row],[Nudo Móvil]]=MID(BM$4,4,1)),0,MROUND(RANDBETWEEN(MinMz,MaxMz),MulMz)*RANDBETWEEN(-1,1))*IF(AND(AJ20=0,AX20=0,BL20=0,BK20=0),1,0)</f>
        <v>0</v>
      </c>
      <c r="BN20" s="422">
        <f ca="1">IF(OR(T_D_VAR[[#This Row],[Nudo Fijo]]=MID(BN$4,4,1),T_D_VAR[[#This Row],[Nudo Móvil]]=MID(BN$4,4,1)),0,MROUND(RANDBETWEEN(MinMz,MaxMz),MulMz)*RANDBETWEEN(-1,1))*IF(AND(AK20=0,AY20=0,BM20=0,BL20=0),1,0)</f>
        <v>0</v>
      </c>
      <c r="BO20" s="423">
        <f ca="1">MROUND(RANDBETWEEN(MinQ,MaxQ),MulQ)*IF(AND(AL20=0,BA20=0),1,0)*
  IF(SUM(T_D_VAR[[#This Row],[Fv_A]:[Mz_O]])=0,1,RANDBETWEEN(-1,1))</f>
        <v>0</v>
      </c>
      <c r="BP20" s="424">
        <f ca="1">IF(q_1Iguales=_OK,BO20,
  MROUND(RANDBETWEEN(MinQ,MaxQ),MulQ)*RANDBETWEEN(-1,1)*IF(AND(W20=0,X20=0,AL20=0,AM20=0,BA20=0,BO20=0,BB20=0),1,0))</f>
        <v>0</v>
      </c>
      <c r="BQ20" s="424">
        <f ca="1">IF(q_1Iguales=_OK,BP20,
  MROUND(RANDBETWEEN(MinQ,MaxQ),MulQ)*RANDBETWEEN(-1,1)*IF(AND(X20=0,Y20=0,AM20=0,AN20=0,BB20=0,BP20=0,BC20=0),1,0))</f>
        <v>0</v>
      </c>
      <c r="BR20" s="424">
        <f t="shared" ref="BR20:BR25" ca="1" si="16">MROUND(RANDBETWEEN(MinQ,MaxQ),MulQ)*RANDBETWEEN(-1,1)*IF(AND(Z20=0,AO20=0,BD20=0),1,0)</f>
        <v>0</v>
      </c>
      <c r="BS20" s="424"/>
      <c r="BT20" s="424">
        <f t="shared" ref="BT20:BT25" ca="1" si="17">IF(q_1Iguales=_OK,BR20,
MROUND(RANDBETWEEN(MinQ,MaxQ),MulQ)*RANDBETWEEN(-1,1)*IF(AND(AA20=0,AB20=0,AP20=0,AQ20=0,BE20=0,BR20=0,BF20=0),1,0))</f>
        <v>0</v>
      </c>
      <c r="BU20" s="424">
        <f t="shared" ref="BU20:BU25" ca="1" si="18">IF(q_1Iguales=_OK,BT20,
MROUND(RANDBETWEEN(MinQ,MaxQ),MulQ)*RANDBETWEEN(-1,1)*IF(AND(AB20=0,AC20=0,AQ20=0,AR20=0,BF20=0,BT20=0,BG20=0),1,0))</f>
        <v>0</v>
      </c>
      <c r="BV20" s="424">
        <f ca="1">IF(AND(q_1Iguales=_OK,BT20&lt;&gt;0),BU20*RANDBETWEEN(-1,1),
    MROUND(RANDBETWEEN(MinQ,MaxQ),MulQ)*RANDBETWEEN(-1,1)*IF(AR20=0,1,0))</f>
        <v>0</v>
      </c>
      <c r="BW20" s="424">
        <f ca="1">IF(q_1Iguales=_OK,BV20,
MROUND(RANDBETWEEN(MinQ,MaxQ),MulQ)*RANDBETWEEN(-1,1)*IF(AND(AD20=0,AE20=0,AS20=0,AT20=0,BH20=0,BV20=0,BI20=0),1,0))</f>
        <v>0</v>
      </c>
      <c r="BX20" s="424">
        <f ca="1">MROUND(RANDBETWEEN(MinQ,MaxQ),MulQ)*RANDBETWEEN(-1,1)*IF(AND(AU20=0,BJ20=0),1,0)</f>
        <v>0</v>
      </c>
      <c r="BY20" s="424">
        <f ca="1">IF(q_1Iguales=_OK,BX20,
  MROUND(RANDBETWEEN(MinQ,MaxQ),MulQ)*RANDBETWEEN(-1,1)*IF(AND(AF20=0,AG20=0,AU20=0,AV20=0,BJ20=0,BX20=0,BK20=0),1,0))</f>
        <v>0</v>
      </c>
      <c r="BZ20" s="424">
        <f ca="1">MROUND(RANDBETWEEN(MinQ,MaxQ),MulQ)*RANDBETWEEN(-1,1)*IF(AND(AW20=0,BL20=0),1,0)</f>
        <v>0</v>
      </c>
      <c r="CA20" s="424">
        <f ca="1">IF(q_1Iguales=_OK,BZ20,
  MROUND(RANDBETWEEN(MinQ,MaxQ),MulQ)*RANDBETWEEN(-1,1)*IF(AND(AH20=0,AI20=0,AW20=0,AX20=0,BL20=0,BZ20=0,BM20=0),1,0))</f>
        <v>0</v>
      </c>
      <c r="CB20" s="424">
        <f ca="1">IF(q_1Iguales=_OK,CA20,
  MROUND(RANDBETWEEN(MinQ,MaxQ),MulQ)*RANDBETWEEN(-1,1)*IF(AND(AI20=0,AJ20=0,AX20=0,AY20=0,BM20=0,CA20=0,BN20=0),1,0))</f>
        <v>0</v>
      </c>
      <c r="CC20" s="425">
        <f ca="1">MROUND(RANDBETWEEN(MinQ,MaxQ),MulQ)*RANDBETWEEN(-1,1)*IF(AND(AZ20=0,BO20=0),1,0)</f>
        <v>90</v>
      </c>
      <c r="CD20" s="426" t="str">
        <f>IF(OR(T_D_VAR[[#This Row],[a C]]=0,T_D_VAR[[#This Row],[a C]]=90),"Portico-TODO-Recto","Portico-TODO-Inclinado")</f>
        <v>Portico-TODO-Recto</v>
      </c>
      <c r="CE20" s="427"/>
      <c r="CF20" s="386">
        <f>1</f>
        <v>1</v>
      </c>
      <c r="CG20" s="487">
        <f>ROW()-ROW(T_D_VAR[[#Headers],[Nº]])</f>
        <v>16</v>
      </c>
    </row>
    <row r="21" spans="1:85" ht="28.7" outlineLevel="1">
      <c r="A21" s="463" t="s">
        <v>640</v>
      </c>
      <c r="B21"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Portico-TODO-Inclinado: 16 m; 4 Pv; 4 Ph; 3 M; 7 q (770)</v>
      </c>
      <c r="C21" s="411">
        <f ca="1">MROUND(RANDBETWEEN(MinL,MaxL),MulL)/10</f>
        <v>2</v>
      </c>
      <c r="D21" s="412">
        <f ca="1">IF(L_1Iguales=_OK,T_D_VAR[[#This Row],[L_AB]],MROUND(RANDBETWEEN(MinL,MaxL),MulL)/10)</f>
        <v>2</v>
      </c>
      <c r="E21" s="412">
        <f ca="1">IF(L_1Iguales=_OK,T_D_VAR[[#This Row],[L_AB]],MROUND(RANDBETWEEN(MinL,MaxL),MulL)/10)</f>
        <v>2</v>
      </c>
      <c r="F21" s="412"/>
      <c r="G21" s="412">
        <f ca="1">MROUND(RANDBETWEEN(MinL,MaxL),MulL)/10</f>
        <v>1</v>
      </c>
      <c r="H21" s="412">
        <f ca="1">IF(L_1Iguales=_OK,T_D_VAR[[#This Row],[L_EF]],MROUND(RANDBETWEEN(MinL,MaxL),MulL)/10)</f>
        <v>1</v>
      </c>
      <c r="I21" s="412">
        <f ca="1">MROUND(RANDBETWEEN(MinL,MaxL),MulL)/10</f>
        <v>0.5</v>
      </c>
      <c r="J21" s="412">
        <f ca="1">IF(L_1Iguales=_OK,T_D_VAR[[#This Row],[L_GH]],MROUND(RANDBETWEEN(MinL,MaxL),MulL)/10)</f>
        <v>0.5</v>
      </c>
      <c r="K21" s="412">
        <f ca="1">MROUND(RANDBETWEEN(MinL,MaxL),MulL)/10</f>
        <v>1.5</v>
      </c>
      <c r="L21" s="412">
        <f ca="1">IF(L_1Iguales=_OK,T_D_VAR[[#This Row],[L_GJ]],MROUND(RANDBETWEEN(MinL,MaxL),MulL)/10)</f>
        <v>1.5</v>
      </c>
      <c r="M21" s="412">
        <f ca="1">MROUND(RANDBETWEEN(MinL,MaxL),MulL)/10</f>
        <v>1.5</v>
      </c>
      <c r="N21" s="412">
        <f ca="1">IF(L_1Iguales=_OK,T_D_VAR[[#This Row],[L_KL]],MROUND(RANDBETWEEN(MinL,MaxL),MulL)/10)</f>
        <v>1.5</v>
      </c>
      <c r="O21" s="412">
        <f ca="1">MROUND(RANDBETWEEN(MinL,MaxL),MulL)/10</f>
        <v>0.5</v>
      </c>
      <c r="P21" s="412">
        <f ca="1">MROUND(RANDBETWEEN(MinL,MaxL),MulL)/10</f>
        <v>0.5</v>
      </c>
      <c r="Q21" s="413" cm="1">
        <f t="array" aca="1" ref="Q21" ca="1">INDIRECT("Alfa_"&amp;RANDBETWEEN(1,6))</f>
        <v>36.86989764584402</v>
      </c>
      <c r="R21" s="462" t="str" cm="1">
        <f t="array" aca="1" ref="R21" ca="1">INDIRECT("OCULTOS!N"&amp;RANDBETWEEN(2,3))</f>
        <v>A Fijo</v>
      </c>
      <c r="S21" s="2" t="str">
        <f ca="1">IF(T_D_VAR[[#This Row],[Tipo]]=T_Emp,OCULTOS!C$33,OCULTOS!C$42)</f>
        <v>F</v>
      </c>
      <c r="T21" s="2" t="str">
        <f ca="1">IF(T_D_VAR[[#This Row],[Tipo]]=OCULTOS!$N$2,"",OCULTOS!C$43)</f>
        <v>E</v>
      </c>
      <c r="U21" s="2"/>
      <c r="V21" s="414">
        <f ca="1">IF(OR(T_D_VAR[[#This Row],[Nudo Fijo]]=MID(V$4,4,1),T_D_VAR[[#This Row],[Nudo Móvil]]=MID(V$4,4,1)),0,MROUND(RANDBETWEEN(MinFv,MaxFv),MulFv)*RANDBETWEEN(-1,1))</f>
        <v>-150</v>
      </c>
      <c r="W21" s="415"/>
      <c r="X21" s="415"/>
      <c r="Y21" s="415">
        <f ca="1">IF(OR(T_D_VAR[[#This Row],[Nudo Fijo]]=MID(Y$4,4,1),T_D_VAR[[#This Row],[Nudo Móvil]]=MID(Y$4,4,1)),0,MROUND(RANDBETWEEN(MinFv,MaxFv),MulFv)*RANDBETWEEN(-1,1))</f>
        <v>150</v>
      </c>
      <c r="Z21" s="415">
        <f ca="1">IF(OR(T_D_VAR[[#This Row],[Nudo Fijo]]=MID(Z$4,4,1),T_D_VAR[[#This Row],[Nudo Móvil]]=MID(Z$4,4,1)),0,MROUND(RANDBETWEEN(MinFv,MaxFv),MulFv)*RANDBETWEEN(-1,1))*IF(AND(Y21=0,X21=0),1,0)</f>
        <v>0</v>
      </c>
      <c r="AA21" s="415">
        <f ca="1">IF(OR(T_D_VAR[[#This Row],[Nudo Fijo]]=MID(AA$4,4,1),T_D_VAR[[#This Row],[Nudo Móvil]]=MID(AA$4,4,1)),0,MROUND(RANDBETWEEN(MinFv,MaxFv),MulFv)*RANDBETWEEN(-1,1))*IF(AND(Z21=0,Y21=0),1,0)</f>
        <v>0</v>
      </c>
      <c r="AB21" s="415">
        <f ca="1">IF(OR(T_D_VAR[[#This Row],[Nudo Fijo]]=MID(AB$4,4,1),T_D_VAR[[#This Row],[Nudo Móvil]]=MID(AB$4,4,1)),0,MROUND(RANDBETWEEN(MinFv,MaxFv),MulFv)*RANDBETWEEN(-1,1))*IF(AND(AA21=0,Z21=0),1,0)</f>
        <v>0</v>
      </c>
      <c r="AC21" s="415">
        <f ca="1">IF(OR(T_D_VAR[[#This Row],[Nudo Fijo]]=MID(AC$4,4,1),T_D_VAR[[#This Row],[Nudo Móvil]]=MID(AC$4,4,1)),0,MROUND(RANDBETWEEN(MinFv,MaxFv),MulFv)*RANDBETWEEN(-1,1))*IF(AND(AB21=0,AA21=0),1,0)</f>
        <v>0</v>
      </c>
      <c r="AD21" s="415">
        <f ca="1">IF(OR(T_D_VAR[[#This Row],[Nudo Fijo]]=MID(AD$4,4,1),T_D_VAR[[#This Row],[Nudo Móvil]]=MID(AD$4,4,1)),0,MROUND(RANDBETWEEN(MinFv,MaxFv),MulFv)*RANDBETWEEN(-1,1))*IF(AND(AC21=0,AB21=0),1,0)</f>
        <v>-350</v>
      </c>
      <c r="AE21" s="415">
        <f ca="1">IF(OR(T_D_VAR[[#This Row],[Nudo Fijo]]=MID(AE$4,4,1),T_D_VAR[[#This Row],[Nudo Móvil]]=MID(AE$4,4,1)),0,MROUND(RANDBETWEEN(MinFv,MaxFv),MulFv)*RANDBETWEEN(-1,1))*IF(AND(AD21=0,AC21=0),1,0)</f>
        <v>0</v>
      </c>
      <c r="AF21" s="415">
        <f ca="1">IF(OR(T_D_VAR[[#This Row],[Nudo Fijo]]=MID(AF$4,4,1),T_D_VAR[[#This Row],[Nudo Móvil]]=MID(AF$4,4,1)),0,MROUND(RANDBETWEEN(MinFv,MaxFv),MulFv)*RANDBETWEEN(-1,1))*IF(AND(AE21=0,AD21=0),1,0)</f>
        <v>0</v>
      </c>
      <c r="AG21" s="415">
        <f ca="1">IF(OR(T_D_VAR[[#This Row],[Nudo Fijo]]=MID(AG$4,4,1),T_D_VAR[[#This Row],[Nudo Móvil]]=MID(AG$4,4,1)),0,MROUND(RANDBETWEEN(MinFv,MaxFv),MulFv)*RANDBETWEEN(-1,1))*IF(AND(AF21=0,AE21=0),1,0)</f>
        <v>0</v>
      </c>
      <c r="AH21" s="415">
        <f ca="1">IF(OR(T_D_VAR[[#This Row],[Nudo Fijo]]=MID(AH$4,4,1),T_D_VAR[[#This Row],[Nudo Móvil]]=MID(AH$4,4,1)),0,MROUND(RANDBETWEEN(MinFv,MaxFv),MulFv)*RANDBETWEEN(-1,1))*IF(AND(AG21=0,AF21=0),1,0)</f>
        <v>450</v>
      </c>
      <c r="AI21" s="415">
        <f ca="1">IF(OR(T_D_VAR[[#This Row],[Nudo Fijo]]=MID(AI$4,4,1),T_D_VAR[[#This Row],[Nudo Móvil]]=MID(AI$4,4,1)),0,MROUND(RANDBETWEEN(MinFv,MaxFv),MulFv)*RANDBETWEEN(-1,1))*IF(AND(AH21=0,AG21=0),1,0)</f>
        <v>0</v>
      </c>
      <c r="AJ21" s="416">
        <f ca="1">IF(OR(T_D_VAR[[#This Row],[Nudo Fijo]]=MID(AJ$4,4,1),T_D_VAR[[#This Row],[Nudo Móvil]]=MID(AJ$4,4,1)),0,MROUND(RANDBETWEEN(MinFv,MaxFv),MulFv)*RANDBETWEEN(-1,1))*IF(AND(AI21=0,AH21=0),1,0)</f>
        <v>0</v>
      </c>
      <c r="AK21" s="417">
        <f ca="1">IF(OR(T_D_VAR[[#This Row],[Nudo Fijo]]=MID(AK$4,4,1),T_D_VAR[[#This Row],[Nudo Móvil]]=MID(AK$4,4,1)),0,MROUND(RANDBETWEEN(MinFh,MaxFh),MulFh)*RANDBETWEEN(-1,1))*IF(V21=0,1,0)</f>
        <v>0</v>
      </c>
      <c r="AL21" s="418">
        <f ca="1">IF(OR(T_D_VAR[[#This Row],[Nudo Fijo]]=MID(AL$4,4,1),T_D_VAR[[#This Row],[Nudo Móvil]]=MID(AL$4,4,1)),0,MROUND(RANDBETWEEN(MinFh,MaxFh),MulFh)*RANDBETWEEN(-1,1))*IF(AND(W21=0,AK21=0,AJ21=0),1,0)</f>
        <v>-150</v>
      </c>
      <c r="AM21" s="418">
        <f ca="1">IF(OR(T_D_VAR[[#This Row],[Nudo Fijo]]=MID(AM$4,4,1),T_D_VAR[[#This Row],[Nudo Móvil]]=MID(AM$4,4,1)),0,MROUND(RANDBETWEEN(MinFh,MaxFh),MulFh)*RANDBETWEEN(-1,1))*IF(AND(AL21=0,AK21=0),1,0)</f>
        <v>0</v>
      </c>
      <c r="AN21" s="418">
        <f ca="1">IF(OR(T_D_VAR[[#This Row],[Nudo Fijo]]=MID(AN$4,4,1),T_D_VAR[[#This Row],[Nudo Móvil]]=MID(AN$4,4,1)),0,MROUND(RANDBETWEEN(MinFh,MaxFh),MulFh)*RANDBETWEEN(-1,1))*IF(Y21=0,1,0)</f>
        <v>0</v>
      </c>
      <c r="AO21" s="418">
        <f ca="1">IF(OR(T_D_VAR[[#This Row],[Nudo Fijo]]=MID(AO$4,4,1),T_D_VAR[[#This Row],[Nudo Móvil]]=MID(AO$4,4,1)),0,MROUND(RANDBETWEEN(MinFh,MaxFh),MulFh)*RANDBETWEEN(-1,1))*IF(AND(Z21=0,AN21=0,AM21=0),1,0)</f>
        <v>0</v>
      </c>
      <c r="AP21" s="418">
        <f ca="1">IF(OR(T_D_VAR[[#This Row],[Nudo Fijo]]=MID(AP$4,4,1),T_D_VAR[[#This Row],[Nudo Móvil]]=MID(AP$4,4,1)),0,MROUND(RANDBETWEEN(MinFh,MaxFh),MulFh)*RANDBETWEEN(-1,1))*IF(AND(AA21=0,AO21=0,AN21=0),1,0)</f>
        <v>0</v>
      </c>
      <c r="AQ21" s="418">
        <f ca="1">IF(OR(T_D_VAR[[#This Row],[Nudo Fijo]]=MID(AQ$4,4,1),T_D_VAR[[#This Row],[Nudo Móvil]]=MID(AQ$4,4,1)),0,MROUND(RANDBETWEEN(MinFh,MaxFh),MulFh)*RANDBETWEEN(-1,1))*IF(AND(AB21=0,AP21=0,AO21=0),1,0)</f>
        <v>-100</v>
      </c>
      <c r="AR21" s="418">
        <f ca="1">IF(OR(T_D_VAR[[#This Row],[Nudo Fijo]]=MID(AR$4,4,1),T_D_VAR[[#This Row],[Nudo Móvil]]=MID(AR$4,4,1)),0,MROUND(RANDBETWEEN(MinFh,MaxFh),MulFh)*RANDBETWEEN(-1,1))*IF(AND(AC21=0,AQ21=0,AP21=0),1,0)</f>
        <v>0</v>
      </c>
      <c r="AS21" s="418">
        <f ca="1">IF(OR(T_D_VAR[[#This Row],[Nudo Fijo]]=MID(AS$4,4,1),T_D_VAR[[#This Row],[Nudo Móvil]]=MID(AS$4,4,1)),0,MROUND(RANDBETWEEN(MinFh,MaxFh),MulFh)*RANDBETWEEN(-1,1))*IF(AND(AD21=0,AR21=0,AQ21=0),1,0)</f>
        <v>0</v>
      </c>
      <c r="AT21" s="418">
        <f ca="1">IF(OR(T_D_VAR[[#This Row],[Nudo Fijo]]=MID(AT$4,4,1),T_D_VAR[[#This Row],[Nudo Móvil]]=MID(AT$4,4,1)),0,MROUND(RANDBETWEEN(MinFh,MaxFh),MulFh)*RANDBETWEEN(-1,1))*IF(AND(AE21=0,AS21=0,AR21=0),1,0)</f>
        <v>0</v>
      </c>
      <c r="AU21" s="418">
        <f ca="1">IF(OR(T_D_VAR[[#This Row],[Nudo Fijo]]=MID(AU$4,4,1),T_D_VAR[[#This Row],[Nudo Móvil]]=MID(AU$4,4,1)),0,MROUND(RANDBETWEEN(MinFh,MaxFh),MulFh)*RANDBETWEEN(-1,1))*IF(AND(AF21=0,AT21=0,AS21=0),1,0)</f>
        <v>-100</v>
      </c>
      <c r="AV21" s="418">
        <f ca="1">IF(OR(T_D_VAR[[#This Row],[Nudo Fijo]]=MID(AV$4,4,1),T_D_VAR[[#This Row],[Nudo Móvil]]=MID(AV$4,4,1)),0,MROUND(RANDBETWEEN(MinFh,MaxFh),MulFh)*RANDBETWEEN(-1,1))*IF(AND(AG21=0,AU21=0,AT21=0),1,0)</f>
        <v>0</v>
      </c>
      <c r="AW21" s="418">
        <f ca="1">IF(OR(T_D_VAR[[#This Row],[Nudo Fijo]]=MID(AW$4,4,1),T_D_VAR[[#This Row],[Nudo Móvil]]=MID(AW$4,4,1)),0,MROUND(RANDBETWEEN(MinFh,MaxFh),MulFh)*RANDBETWEEN(-1,1))*IF(AND(AH21=0,AV21=0,AU21=0),1,0)</f>
        <v>0</v>
      </c>
      <c r="AX21" s="418">
        <f ca="1">IF(OR(T_D_VAR[[#This Row],[Nudo Fijo]]=MID(AX$4,4,1),T_D_VAR[[#This Row],[Nudo Móvil]]=MID(AX$4,4,1)),0,MROUND(RANDBETWEEN(MinFh,MaxFh),MulFh)*RANDBETWEEN(-1,1))*IF(AND(AI21=0,AW21=0,AV21=0),1,0)</f>
        <v>150</v>
      </c>
      <c r="AY21" s="419">
        <f ca="1">IF(OR(T_D_VAR[[#This Row],[Nudo Fijo]]=MID(AY$4,4,1),T_D_VAR[[#This Row],[Nudo Móvil]]=MID(AY$4,4,1)),0,MROUND(RANDBETWEEN(MinFh,MaxFh),MulFh)*RANDBETWEEN(-1,1))*IF(AND(AJ21=0,AX21=0,AW21=0),1,0)</f>
        <v>0</v>
      </c>
      <c r="AZ21" s="420">
        <f ca="1">IF(OR(T_D_VAR[[#This Row],[Nudo Fijo]]=MID(AZ$4,4,1),T_D_VAR[[#This Row],[Nudo Móvil]]=MID(AZ$4,4,1)),0,MROUND(RANDBETWEEN(MinMz,MaxMz),MulMz)*RANDBETWEEN(-1,1))*IF(AND(W21=0,AK21=0),1,0)</f>
        <v>0</v>
      </c>
      <c r="BA21" s="421">
        <f ca="1">IF(OR(T_D_VAR[[#This Row],[Nudo Fijo]]=MID(BA$4,4,1),T_D_VAR[[#This Row],[Nudo Móvil]]=MID(BA$4,4,1)),0,MROUND(RANDBETWEEN(MinMz,MaxMz),MulMz)*RANDBETWEEN(-1,1))*IF(AND(X21=0,AL21=0,AZ21=0,AY21=0),1,0)</f>
        <v>0</v>
      </c>
      <c r="BB21" s="421">
        <f ca="1">IF(OR(T_D_VAR[[#This Row],[Nudo Fijo]]=MID(BB$4,4,1),T_D_VAR[[#This Row],[Nudo Móvil]]=MID(BB$4,4,1)),0,MROUND(RANDBETWEEN(MinMz,MaxMz),MulMz)*RANDBETWEEN(-1,1))*IF(AND(Y21=0,AM21=0,BA21=0,AZ21=0),1,0)</f>
        <v>0</v>
      </c>
      <c r="BC21" s="421">
        <f ca="1">IF(OR(T_D_VAR[[#This Row],[Nudo Fijo]]=MID(BC$4,4,1),T_D_VAR[[#This Row],[Nudo Móvil]]=MID(BC$4,4,1)),0,MROUND(RANDBETWEEN(MinMz,MaxMz),MulMz)*RANDBETWEEN(-1,1))*IF(AND(Z21=0,AN21=0,BB21=0,BA21=0),1,0)</f>
        <v>35</v>
      </c>
      <c r="BD21" s="421">
        <f ca="1">IF(OR(T_D_VAR[[#This Row],[Nudo Fijo]]=MID(BD$4,4,1),T_D_VAR[[#This Row],[Nudo Móvil]]=MID(BD$4,4,1)),0,MROUND(RANDBETWEEN(MinMz,MaxMz),MulMz)*RANDBETWEEN(-1,1))*IF(AND(AA21=0,AO21=0,BC21=0,BB21=0),1,0)</f>
        <v>0</v>
      </c>
      <c r="BE21" s="421">
        <f ca="1">IF(OR(T_D_VAR[[#This Row],[Nudo Fijo]]=MID(BE$4,4,1),T_D_VAR[[#This Row],[Nudo Móvil]]=MID(BE$4,4,1)),0,MROUND(RANDBETWEEN(MinMz,MaxMz),MulMz)*RANDBETWEEN(-1,1))*IF(AND(AB21=0,AP21=0,BD21=0,BC21=0),1,0)</f>
        <v>0</v>
      </c>
      <c r="BF21" s="421">
        <f ca="1">IF(OR(T_D_VAR[[#This Row],[Nudo Fijo]]=MID(BF$4,4,1),T_D_VAR[[#This Row],[Nudo Móvil]]=MID(BF$4,4,1)),0,MROUND(RANDBETWEEN(MinMz,MaxMz),MulMz)*RANDBETWEEN(-1,1))*IF(AND(AC21=0,AQ21=0,BE21=0,BD21=0),1,0)</f>
        <v>0</v>
      </c>
      <c r="BG21" s="421">
        <f ca="1">IF(OR(T_D_VAR[[#This Row],[Nudo Fijo]]=MID(BG$4,4,1),T_D_VAR[[#This Row],[Nudo Móvil]]=MID(BG$4,4,1)),0,MROUND(RANDBETWEEN(MinMz,MaxMz),MulMz)*RANDBETWEEN(-1,1))*IF(AND(AD21=0,AR21=0,BF21=0,BE21=0),1,0)</f>
        <v>0</v>
      </c>
      <c r="BH21" s="421">
        <f ca="1">IF(OR(T_D_VAR[[#This Row],[Nudo Fijo]]=MID(BH$4,4,1),T_D_VAR[[#This Row],[Nudo Móvil]]=MID(BH$4,4,1)),0,MROUND(RANDBETWEEN(MinMz,MaxMz),MulMz)*RANDBETWEEN(-1,1))*IF(AND(AE21=0,AS21=0,BG21=0,BF21=0),1,0)</f>
        <v>15</v>
      </c>
      <c r="BI21" s="421">
        <f ca="1">IF(OR(T_D_VAR[[#This Row],[Nudo Fijo]]=MID(BI$4,4,1),T_D_VAR[[#This Row],[Nudo Móvil]]=MID(BI$4,4,1)),0,MROUND(RANDBETWEEN(MinMz,MaxMz),MulMz)*RANDBETWEEN(-1,1))*IF(AND(AF21=0,AT21=0,BH21=0,BG21=0),1,0)</f>
        <v>0</v>
      </c>
      <c r="BJ21" s="421">
        <f ca="1">IF(OR(T_D_VAR[[#This Row],[Nudo Fijo]]=MID(BJ$4,4,1),T_D_VAR[[#This Row],[Nudo Móvil]]=MID(BJ$4,4,1)),0,MROUND(RANDBETWEEN(MinMz,MaxMz),MulMz)*RANDBETWEEN(-1,1))*IF(AND(AG21=0,AU21=0,BI21=0,BH21=0),1,0)</f>
        <v>0</v>
      </c>
      <c r="BK21" s="421">
        <f ca="1">IF(OR(T_D_VAR[[#This Row],[Nudo Fijo]]=MID(BK$4,4,1),T_D_VAR[[#This Row],[Nudo Móvil]]=MID(BK$4,4,1)),0,MROUND(RANDBETWEEN(MinMz,MaxMz),MulMz)*RANDBETWEEN(-1,1))*IF(AND(AH21=0,AV21=0,BJ21=0,BI21=0),1,0)</f>
        <v>0</v>
      </c>
      <c r="BL21" s="421">
        <f ca="1">IF(OR(T_D_VAR[[#This Row],[Nudo Fijo]]=MID(BL$4,4,1),T_D_VAR[[#This Row],[Nudo Móvil]]=MID(BL$4,4,1)),0,MROUND(RANDBETWEEN(MinMz,MaxMz),MulMz)*RANDBETWEEN(-1,1))*IF(AND(AI21=0,AW21=0,BK21=0,BJ21=0),1,0)</f>
        <v>10</v>
      </c>
      <c r="BM21" s="421">
        <f ca="1">IF(OR(T_D_VAR[[#This Row],[Nudo Fijo]]=MID(BM$4,4,1),T_D_VAR[[#This Row],[Nudo Móvil]]=MID(BM$4,4,1)),0,MROUND(RANDBETWEEN(MinMz,MaxMz),MulMz)*RANDBETWEEN(-1,1))*IF(AND(AJ21=0,AX21=0,BL21=0,BK21=0),1,0)</f>
        <v>0</v>
      </c>
      <c r="BN21" s="422">
        <f ca="1">IF(OR(T_D_VAR[[#This Row],[Nudo Fijo]]=MID(BN$4,4,1),T_D_VAR[[#This Row],[Nudo Móvil]]=MID(BN$4,4,1)),0,MROUND(RANDBETWEEN(MinMz,MaxMz),MulMz)*RANDBETWEEN(-1,1))*IF(AND(AK21=0,AY21=0,BM21=0,BL21=0),1,0)</f>
        <v>0</v>
      </c>
      <c r="BO21" s="423">
        <f ca="1">MROUND(RANDBETWEEN(MinQ,MaxQ),MulQ)*IF(AND(AL21=0,BA21=0),1,0)*
  IF(SUM(T_D_VAR[[#This Row],[Fv_A]:[Mz_O]])=0,1,RANDBETWEEN(-1,1))</f>
        <v>0</v>
      </c>
      <c r="BP21" s="424">
        <f ca="1">IF(q_1Iguales=_OK,BO21,
  MROUND(RANDBETWEEN(MinQ,MaxQ),MulQ)*RANDBETWEEN(-1,1)*IF(AND(W21=0,X21=0,AL21=0,AM21=0,BA21=0,BO21=0,BB21=0),1,0))</f>
        <v>0</v>
      </c>
      <c r="BQ21" s="424">
        <f ca="1">IF(T_D_VAR[[#This Row],[q_CE_v]]=0,T_D_VAR[[#This Row],[q_BC]]*RANDBETWEEN(0,1),T_D_VAR[[#This Row],[q_CE_v]]*RANDBETWEEN(-1,1))</f>
        <v>0</v>
      </c>
      <c r="BR21" s="424">
        <f ca="1">MROUND(RANDBETWEEN(MinQ,MaxQ),MulQ)*RANDBETWEEN(-1,1)*IF(BO21=0,1,0)</f>
        <v>95</v>
      </c>
      <c r="BS21" s="424">
        <f ca="1">MAX(ABS(T_D_VAR[[#This Row],[q_CE_h]]),ABS(T_D_VAR[[#This Row],[q_CE_v]]))*IF(T_D_VAR[[#This Row],[q_CE_v]]&lt;0,-1,1)</f>
        <v>95</v>
      </c>
      <c r="BT21" s="424">
        <f t="shared" ca="1" si="17"/>
        <v>95</v>
      </c>
      <c r="BU21" s="424">
        <f t="shared" ca="1" si="18"/>
        <v>95</v>
      </c>
      <c r="BV21" s="424">
        <f ca="1">IF(AND(q_1Iguales=_OK,BT21&lt;&gt;0),BU21*RANDBETWEEN(-1,1),
    MROUND(RANDBETWEEN(MinQ,MaxQ),MulQ)*RANDBETWEEN(-1,1)*IF(AR21=0,1,0))</f>
        <v>95</v>
      </c>
      <c r="BW21" s="424">
        <f ca="1">IF(q_1Iguales=_OK,BV21,
MROUND(RANDBETWEEN(MinQ,MaxQ),MulQ)*RANDBETWEEN(-1,1)*IF(AND(AD21=0,AE21=0,AS21=0,AT21=0,BH21=0,BV21=0,BI21=0),1,0))</f>
        <v>95</v>
      </c>
      <c r="BX21" s="424">
        <f ca="1">MROUND(RANDBETWEEN(MinQ,MaxQ),MulQ)*RANDBETWEEN(-1,1)*IF(AND(AU21=0,BJ21=0),1,0)</f>
        <v>0</v>
      </c>
      <c r="BY21" s="424">
        <f ca="1">IF(q_1Iguales=_OK,BX21,
  MROUND(RANDBETWEEN(MinQ,MaxQ),MulQ)*RANDBETWEEN(-1,1)*IF(AND(AF21=0,AG21=0,AU21=0,AV21=0,BJ21=0,BX21=0,BK21=0),1,0))</f>
        <v>0</v>
      </c>
      <c r="BZ21" s="424">
        <f ca="1">MROUND(RANDBETWEEN(MinQ,MaxQ),MulQ)*RANDBETWEEN(-1,1)*IF(AND(AW21=0,BL21=0),1,0)</f>
        <v>0</v>
      </c>
      <c r="CA21" s="424">
        <f ca="1">IF(q_1Iguales=_OK,BZ21,
  MROUND(RANDBETWEEN(MinQ,MaxQ),MulQ)*RANDBETWEEN(-1,1)*IF(AND(AH21=0,AI21=0,AW21=0,AX21=0,BL21=0,BZ21=0,BM21=0),1,0))</f>
        <v>0</v>
      </c>
      <c r="CB21" s="424">
        <f ca="1">IF(q_1Iguales=_OK,CA21,
  MROUND(RANDBETWEEN(MinQ,MaxQ),MulQ)*RANDBETWEEN(-1,1)*IF(AND(AI21=0,AJ21=0,AX21=0,AY21=0,BM21=0,CA21=0,BN21=0),1,0))</f>
        <v>0</v>
      </c>
      <c r="CC21" s="425">
        <f ca="1">MROUND(RANDBETWEEN(MinQ,MaxQ),MulQ)*RANDBETWEEN(-1,1)*IF(AND(AZ21=0,BO21=0),1,0)</f>
        <v>90</v>
      </c>
      <c r="CD21" s="426" t="str">
        <f ca="1">IF(OR(T_D_VAR[[#This Row],[a C]]=0,T_D_VAR[[#This Row],[a C]]=90),"Portico-TODO-Recto","Portico-TODO-Inclinado")</f>
        <v>Portico-TODO-Inclinado</v>
      </c>
      <c r="CE21" s="427"/>
      <c r="CF21" s="386">
        <f>1</f>
        <v>1</v>
      </c>
      <c r="CG21" s="466">
        <f>ROW()-ROW(T_D_VAR[[#Headers],[Nº]])</f>
        <v>17</v>
      </c>
    </row>
    <row r="22" spans="1:85" ht="28.7" outlineLevel="1">
      <c r="A22" s="463" t="s">
        <v>644</v>
      </c>
      <c r="B22"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Portico-BCD-DEFG-GJK: 11 m; 2 Pv; 2 Ph; 1 M; 5 q (1305)</v>
      </c>
      <c r="C22" s="411"/>
      <c r="D22" s="412">
        <f ca="1">MROUND(RANDBETWEEN(MinL,MaxL),MulL)/10</f>
        <v>0.5</v>
      </c>
      <c r="E22" s="412">
        <f ca="1">IF(L_1Iguales=_OK,T_D_VAR[[#This Row],[L_BC]],MROUND(RANDBETWEEN(MinL,MaxL),MulL)/10)</f>
        <v>0.5</v>
      </c>
      <c r="F22" s="412">
        <f ca="1">MROUND(RANDBETWEEN(MinL,MaxL),MulL)/10</f>
        <v>2</v>
      </c>
      <c r="G22" s="412">
        <f ca="1">IF(L_1Iguales=_OK,T_D_VAR[[#This Row],[L_DE]],MROUND(RANDBETWEEN(MinL,MaxL),MulL)/10)</f>
        <v>2</v>
      </c>
      <c r="H22" s="412">
        <f ca="1">IF(L_1Iguales=_OK,T_D_VAR[[#This Row],[L_DE]],MROUND(RANDBETWEEN(MinL,MaxL),MulL)/10)</f>
        <v>2</v>
      </c>
      <c r="I22" s="412"/>
      <c r="J22" s="412"/>
      <c r="K22" s="412">
        <f ca="1">MROUND(RANDBETWEEN(MinL,MaxL),MulL)/10</f>
        <v>2</v>
      </c>
      <c r="L22" s="412">
        <f ca="1">IF(L_1Iguales=_OK,T_D_VAR[[#This Row],[L_GJ]],MROUND(RANDBETWEEN(MinL,MaxL),MulL)/10)</f>
        <v>2</v>
      </c>
      <c r="M22" s="412"/>
      <c r="N22" s="412"/>
      <c r="O22" s="412"/>
      <c r="P22" s="412"/>
      <c r="Q22" s="413">
        <v>90</v>
      </c>
      <c r="R22" s="462" t="str" cm="1">
        <f t="array" aca="1" ref="R22" ca="1">INDIRECT("OCULTOS!N"&amp;RANDBETWEEN(2,3))</f>
        <v>A Fijo</v>
      </c>
      <c r="S22" s="2" t="str">
        <f ca="1">IF(T_D_VAR[[#This Row],[Tipo]]=T_Emp,OCULTOS!D$33,OCULTOS!D$42)</f>
        <v>K</v>
      </c>
      <c r="T22" s="2" t="str">
        <f ca="1">IF(T_D_VAR[[#This Row],[Tipo]]=OCULTOS!$N$2,"",OCULTOS!D$43)</f>
        <v>B</v>
      </c>
      <c r="U22" s="2"/>
      <c r="V22" s="414"/>
      <c r="W22" s="415">
        <f ca="1">IF(OR(T_D_VAR[[#This Row],[Nudo Fijo]]=MID(W$4,4,1),T_D_VAR[[#This Row],[Nudo Móvil]]=MID(W$4,4,1)),0,MROUND(RANDBETWEEN(MinFv,MaxFv),MulFv)*RANDBETWEEN(-1,1))</f>
        <v>0</v>
      </c>
      <c r="X22" s="415"/>
      <c r="Y22" s="415">
        <f ca="1">IF(OR(T_D_VAR[[#This Row],[Nudo Fijo]]=MID(Y$4,4,1),T_D_VAR[[#This Row],[Nudo Móvil]]=MID(Y$4,4,1)),0,MROUND(RANDBETWEEN(MinFv,MaxFv),MulFv)*RANDBETWEEN(-1,1))</f>
        <v>400</v>
      </c>
      <c r="Z22" s="415">
        <f ca="1">IF(OR(T_D_VAR[[#This Row],[Nudo Fijo]]=MID(Z$4,4,1),T_D_VAR[[#This Row],[Nudo Móvil]]=MID(Z$4,4,1)),0,MROUND(RANDBETWEEN(MinFv,MaxFv),MulFv)*RANDBETWEEN(-1,1))*IF(AND(Y22=0,X22=0),1,0)</f>
        <v>0</v>
      </c>
      <c r="AA22" s="415">
        <f ca="1">IF(OR(T_D_VAR[[#This Row],[Nudo Fijo]]=MID(AA$4,4,1),T_D_VAR[[#This Row],[Nudo Móvil]]=MID(AA$4,4,1)),0,MROUND(RANDBETWEEN(MinFv,MaxFv),MulFv)*RANDBETWEEN(-1,1))*IF(AND(Z22=0,Y22=0),1,0)</f>
        <v>0</v>
      </c>
      <c r="AB22" s="415">
        <f ca="1">IF(OR(T_D_VAR[[#This Row],[Nudo Fijo]]=MID(AB$4,4,1),T_D_VAR[[#This Row],[Nudo Móvil]]=MID(AB$4,4,1)),0,MROUND(RANDBETWEEN(MinFv,MaxFv),MulFv)*RANDBETWEEN(-1,1))*IF(AND(AA22=0,Z22=0),1,0)</f>
        <v>250</v>
      </c>
      <c r="AC22" s="415"/>
      <c r="AD22" s="415"/>
      <c r="AE22" s="415"/>
      <c r="AF22" s="415">
        <f ca="1">IF(OR(T_D_VAR[[#This Row],[Nudo Fijo]]=MID(AF$4,4,1),T_D_VAR[[#This Row],[Nudo Móvil]]=MID(AF$4,4,1)),0,MROUND(RANDBETWEEN(MinFv,MaxFv),MulFv)*RANDBETWEEN(-1,1))*IF(AND(AE22=0,AD22=0),1,0)</f>
        <v>0</v>
      </c>
      <c r="AG22" s="415"/>
      <c r="AH22" s="415"/>
      <c r="AI22" s="415"/>
      <c r="AJ22" s="416"/>
      <c r="AK22" s="417"/>
      <c r="AL22" s="418">
        <f ca="1">IF(OR(T_D_VAR[[#This Row],[Nudo Fijo]]=MID(AL$4,4,1),T_D_VAR[[#This Row],[Nudo Móvil]]=MID(AL$4,4,1)),0,MROUND(RANDBETWEEN(MinFh,MaxFh),MulFh)*RANDBETWEEN(-1,1))*IF(AND(W22=0,AK22=0,AJ22=0),1,0)</f>
        <v>0</v>
      </c>
      <c r="AM22" s="418">
        <f ca="1">IF(OR(T_D_VAR[[#This Row],[Nudo Fijo]]=MID(AM$4,4,1),T_D_VAR[[#This Row],[Nudo Móvil]]=MID(AM$4,4,1)),0,MROUND(RANDBETWEEN(MinFh,MaxFh),MulFh)*RANDBETWEEN(-1,1))*IF(AND(AL22=0,AK22=0),1,0)</f>
        <v>0</v>
      </c>
      <c r="AN22" s="418">
        <f ca="1">IF(OR(T_D_VAR[[#This Row],[Nudo Fijo]]=MID(AN$4,4,1),T_D_VAR[[#This Row],[Nudo Móvil]]=MID(AN$4,4,1)),0,MROUND(RANDBETWEEN(MinFh,MaxFh),MulFh)*RANDBETWEEN(-1,1))*IF(Y22=0,1,0)</f>
        <v>0</v>
      </c>
      <c r="AO22" s="418">
        <f ca="1">IF(OR(T_D_VAR[[#This Row],[Nudo Fijo]]=MID(AO$4,4,1),T_D_VAR[[#This Row],[Nudo Móvil]]=MID(AO$4,4,1)),0,MROUND(RANDBETWEEN(MinFh,MaxFh),MulFh)*RANDBETWEEN(-1,1))*IF(AND(Z22=0,AN22=0,AM22=0),1,0)</f>
        <v>0</v>
      </c>
      <c r="AP22" s="418">
        <f ca="1">IF(OR(T_D_VAR[[#This Row],[Nudo Fijo]]=MID(AP$4,4,1),T_D_VAR[[#This Row],[Nudo Móvil]]=MID(AP$4,4,1)),0,MROUND(RANDBETWEEN(MinFh,MaxFh),MulFh)*RANDBETWEEN(-1,1))*IF(AND(AA22=0,AO22=0,AN22=0),1,0)</f>
        <v>200</v>
      </c>
      <c r="AQ22" s="418">
        <f ca="1">IF(OR(T_D_VAR[[#This Row],[Nudo Fijo]]=MID(AQ$4,4,1),T_D_VAR[[#This Row],[Nudo Móvil]]=MID(AQ$4,4,1)),0,MROUND(RANDBETWEEN(MinFh,MaxFh),MulFh)*RANDBETWEEN(-1,1))*IF(AND(AB22=0,AP22=0,AO22=0),1,0)</f>
        <v>0</v>
      </c>
      <c r="AR22" s="418"/>
      <c r="AS22" s="418"/>
      <c r="AT22" s="418">
        <f ca="1">IF(OR(T_D_VAR[[#This Row],[Nudo Fijo]]=MID(AT$4,4,1),T_D_VAR[[#This Row],[Nudo Móvil]]=MID(AT$4,4,1)),0,MROUND(RANDBETWEEN(MinFh,MaxFh),MulFh)*RANDBETWEEN(-1,1))*IF(AND(AE22=0,AS22=0,AR22=0),1,0)</f>
        <v>50</v>
      </c>
      <c r="AU22" s="418">
        <f ca="1">IF(OR(T_D_VAR[[#This Row],[Nudo Fijo]]=MID(AU$4,4,1),T_D_VAR[[#This Row],[Nudo Móvil]]=MID(AU$4,4,1)),0,MROUND(RANDBETWEEN(MinFh,MaxFh),MulFh)*RANDBETWEEN(-1,1))*IF(AND(AF22=0,AT22=0,AS22=0),1,0)</f>
        <v>0</v>
      </c>
      <c r="AV22" s="418"/>
      <c r="AW22" s="418"/>
      <c r="AX22" s="418"/>
      <c r="AY22" s="419"/>
      <c r="AZ22" s="420"/>
      <c r="BA22" s="421">
        <f ca="1">IF(OR(T_D_VAR[[#This Row],[Nudo Fijo]]=MID(BA$4,4,1),T_D_VAR[[#This Row],[Nudo Móvil]]=MID(BA$4,4,1)),0,MROUND(RANDBETWEEN(MinMz,MaxMz),MulMz)*RANDBETWEEN(-1,1))*IF(AND(X22=0,AL22=0,AZ22=0,AY22=0),1,0)</f>
        <v>0</v>
      </c>
      <c r="BB22" s="421">
        <f ca="1">IF(OR(T_D_VAR[[#This Row],[Nudo Fijo]]=MID(BB$4,4,1),T_D_VAR[[#This Row],[Nudo Móvil]]=MID(BB$4,4,1)),0,MROUND(RANDBETWEEN(MinMz,MaxMz),MulMz)*RANDBETWEEN(-1,1))*IF(AND(Y22=0,AM22=0,BA22=0,AZ22=0),1,0)</f>
        <v>0</v>
      </c>
      <c r="BC22" s="421">
        <f ca="1">IF(OR(T_D_VAR[[#This Row],[Nudo Fijo]]=MID(BC$4,4,1),T_D_VAR[[#This Row],[Nudo Móvil]]=MID(BC$4,4,1)),0,MROUND(RANDBETWEEN(MinMz,MaxMz),MulMz)*RANDBETWEEN(-1,1))*IF(AND(Z22=0,AN22=0,BB22=0,BA22=0),1,0)</f>
        <v>-35</v>
      </c>
      <c r="BD22" s="421">
        <f ca="1">IF(OR(T_D_VAR[[#This Row],[Nudo Fijo]]=MID(BD$4,4,1),T_D_VAR[[#This Row],[Nudo Móvil]]=MID(BD$4,4,1)),0,MROUND(RANDBETWEEN(MinMz,MaxMz),MulMz)*RANDBETWEEN(-1,1))*IF(AND(AA22=0,AO22=0,BC22=0,BB22=0),1,0)</f>
        <v>0</v>
      </c>
      <c r="BE22" s="421">
        <f ca="1">IF(OR(T_D_VAR[[#This Row],[Nudo Fijo]]=MID(BE$4,4,1),T_D_VAR[[#This Row],[Nudo Móvil]]=MID(BE$4,4,1)),0,MROUND(RANDBETWEEN(MinMz,MaxMz),MulMz)*RANDBETWEEN(-1,1))*IF(AND(AB22=0,AP22=0,BD22=0,BC22=0),1,0)</f>
        <v>0</v>
      </c>
      <c r="BF22" s="421">
        <f ca="1">IF(OR(T_D_VAR[[#This Row],[Nudo Fijo]]=MID(BF$4,4,1),T_D_VAR[[#This Row],[Nudo Móvil]]=MID(BF$4,4,1)),0,MROUND(RANDBETWEEN(MinMz,MaxMz),MulMz)*RANDBETWEEN(-1,1))*IF(AND(AC22=0,AQ22=0,BE22=0,BD22=0),1,0)</f>
        <v>0</v>
      </c>
      <c r="BG22" s="421"/>
      <c r="BH22" s="421"/>
      <c r="BI22" s="421">
        <f ca="1">IF(OR(T_D_VAR[[#This Row],[Nudo Fijo]]=MID(BI$4,4,1),T_D_VAR[[#This Row],[Nudo Móvil]]=MID(BI$4,4,1)),0,MROUND(RANDBETWEEN(MinMz,MaxMz),MulMz)*RANDBETWEEN(-1,1))*IF(AND(AF22=0,AT22=0,BH22=0,BG22=0),1,0)</f>
        <v>0</v>
      </c>
      <c r="BJ22" s="421">
        <f ca="1">IF(OR(T_D_VAR[[#This Row],[Nudo Fijo]]=MID(BJ$4,4,1),T_D_VAR[[#This Row],[Nudo Móvil]]=MID(BJ$4,4,1)),0,MROUND(RANDBETWEEN(MinMz,MaxMz),MulMz)*RANDBETWEEN(-1,1))*IF(AND(AG22=0,AU22=0,BI22=0,BH22=0),1,0)</f>
        <v>0</v>
      </c>
      <c r="BK22" s="421"/>
      <c r="BL22" s="421"/>
      <c r="BM22" s="421"/>
      <c r="BN22" s="422"/>
      <c r="BO22" s="423"/>
      <c r="BP22" s="424">
        <f ca="1">MROUND(RANDBETWEEN(MinQ,MaxQ),MulQ)*RANDBETWEEN(-1,1)*IF(AND(AM22=0,BB22=0),1,0)</f>
        <v>115</v>
      </c>
      <c r="BQ22" s="424">
        <f ca="1">IF(q_1Iguales=_OK,BP22,
  MROUND(RANDBETWEEN(MinQ,MaxQ),MulQ)*RANDBETWEEN(-1,1)*IF(AND(X22=0,Y22=0,AM22=0,AN22=0,BB22=0,BP22=0,BC22=0),1,0))</f>
        <v>115</v>
      </c>
      <c r="BR22" s="424">
        <f ca="1">MROUND(RANDBETWEEN(MinQ,MaxQ),MulQ)*IF(AND(AO22=0,BD22=0),1,0)*
  IF(SUM(T_D_VAR[[#This Row],[Fv_A]:[Mz_O]])=0,1,RANDBETWEEN(-1,1))</f>
        <v>70</v>
      </c>
      <c r="BS22" s="424"/>
      <c r="BT22" s="424">
        <f t="shared" ca="1" si="17"/>
        <v>70</v>
      </c>
      <c r="BU22" s="424">
        <f t="shared" ca="1" si="18"/>
        <v>70</v>
      </c>
      <c r="BV22" s="424"/>
      <c r="BW22" s="424"/>
      <c r="BX22" s="424">
        <f ca="1">MROUND(RANDBETWEEN(MinQ,MaxQ),MulQ)*RANDBETWEEN(-1,1)*IF(AND(AU22=0,BJ22=0),1,0)</f>
        <v>0</v>
      </c>
      <c r="BY22" s="424">
        <f ca="1">IF(q_1Iguales=_OK,BX22,
  MROUND(RANDBETWEEN(MinQ,MaxQ),MulQ)*RANDBETWEEN(-1,1)*IF(AND(AF22=0,AG22=0,AU22=0,AV22=0,BJ22=0,BX22=0,BK22=0),1,0))</f>
        <v>0</v>
      </c>
      <c r="BZ22" s="424"/>
      <c r="CA22" s="424"/>
      <c r="CB22" s="424"/>
      <c r="CC22" s="425"/>
      <c r="CD22" s="426" t="s">
        <v>644</v>
      </c>
      <c r="CE22" s="427"/>
      <c r="CF22" s="386">
        <f>1</f>
        <v>1</v>
      </c>
      <c r="CG22" s="466">
        <f>ROW()-ROW(T_D_VAR[[#Headers],[Nº]])</f>
        <v>18</v>
      </c>
    </row>
    <row r="23" spans="1:85" ht="28.7" outlineLevel="1">
      <c r="A23" s="463" t="s">
        <v>642</v>
      </c>
      <c r="B23"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Portico-ABC-CDE-EFGHI-GJK: 9,5 m; 3 Pv; 2 Ph; 2 M; 6 q (755)</v>
      </c>
      <c r="C23" s="411">
        <f ca="1">MROUND(RANDBETWEEN(MinL,MaxL),MulL)/10</f>
        <v>1.5</v>
      </c>
      <c r="D23" s="412">
        <f ca="1">IF(L_1Iguales=_OK,T_D_VAR[[#This Row],[L_AB]],MROUND(RANDBETWEEN(MinL,MaxL),MulL)/10)</f>
        <v>1.5</v>
      </c>
      <c r="E23" s="412">
        <f ca="1">IF(L_1Iguales=_OK,T_D_VAR[[#This Row],[L_AB]],MROUND(RANDBETWEEN(MinL,MaxL),MulL)/10)</f>
        <v>1.5</v>
      </c>
      <c r="F23" s="412"/>
      <c r="G23" s="412">
        <f ca="1">MROUND(RANDBETWEEN(MinL,MaxL),MulL)/10</f>
        <v>1.5</v>
      </c>
      <c r="H23" s="412">
        <f ca="1">IF(L_1Iguales=_OK,T_D_VAR[[#This Row],[L_EF]],MROUND(RANDBETWEEN(MinL,MaxL),MulL)/10)</f>
        <v>1.5</v>
      </c>
      <c r="I23" s="412">
        <f ca="1">MROUND(RANDBETWEEN(MinL,MaxL),MulL)/10</f>
        <v>0.5</v>
      </c>
      <c r="J23" s="412">
        <f ca="1">IF(L_1Iguales=_OK,T_D_VAR[[#This Row],[L_GH]],MROUND(RANDBETWEEN(MinL,MaxL),MulL)/10)</f>
        <v>0.5</v>
      </c>
      <c r="K23" s="412">
        <f ca="1">MROUND(RANDBETWEEN(MinL,MaxL),MulL)/10</f>
        <v>0.5</v>
      </c>
      <c r="L23" s="412">
        <f ca="1">IF(L_1Iguales=_OK,T_D_VAR[[#This Row],[L_GJ]],MROUND(RANDBETWEEN(MinL,MaxL),MulL)/10)</f>
        <v>0.5</v>
      </c>
      <c r="M23" s="412"/>
      <c r="N23" s="412"/>
      <c r="O23" s="412"/>
      <c r="P23" s="412"/>
      <c r="Q23" s="413" cm="1">
        <f t="array" aca="1" ref="Q23" ca="1">INDIRECT("Alfa_"&amp;RANDBETWEEN(1,6))</f>
        <v>36.86989764584402</v>
      </c>
      <c r="R23" s="462" t="str" cm="1">
        <f t="array" aca="1" ref="R23" ca="1">INDIRECT("OCULTOS!N"&amp;RANDBETWEEN(2,3))</f>
        <v>A Fijo</v>
      </c>
      <c r="S23" s="2" t="str">
        <f ca="1">IF(T_D_VAR[[#This Row],[Tipo]]=T_Emp,OCULTOS!E$33,OCULTOS!E$42)</f>
        <v>A</v>
      </c>
      <c r="T23" s="2" t="str">
        <f ca="1">IF(T_D_VAR[[#This Row],[Tipo]]=OCULTOS!$N$2,"",OCULTOS!E$43)</f>
        <v>F</v>
      </c>
      <c r="U23" s="2"/>
      <c r="V23" s="414">
        <f ca="1">IF(OR(T_D_VAR[[#This Row],[Nudo Fijo]]=MID(V$4,4,1),T_D_VAR[[#This Row],[Nudo Móvil]]=MID(V$4,4,1)),0,MROUND(RANDBETWEEN(MinFv,MaxFv),MulFv)*RANDBETWEEN(-1,1))</f>
        <v>0</v>
      </c>
      <c r="W23" s="415"/>
      <c r="X23" s="415">
        <f ca="1">IF(OR(T_D_VAR[[#This Row],[Nudo Fijo]]=MID(X$4,4,1),T_D_VAR[[#This Row],[Nudo Móvil]]=MID(X$4,4,1)),0,MROUND(RANDBETWEEN(MinFv,MaxFv),MulFv)*RANDBETWEEN(-1,1))</f>
        <v>400</v>
      </c>
      <c r="Y23" s="415">
        <f ca="1">IF(OR(T_D_VAR[[#This Row],[Nudo Fijo]]=MID(Y$4,4,1),T_D_VAR[[#This Row],[Nudo Móvil]]=MID(Y$4,4,1)),0,MROUND(RANDBETWEEN(MinFv,MaxFv),MulFv)*RANDBETWEEN(-1,1))</f>
        <v>450</v>
      </c>
      <c r="Z23" s="415">
        <f ca="1">IF(OR(T_D_VAR[[#This Row],[Nudo Fijo]]=MID(Z$4,4,1),T_D_VAR[[#This Row],[Nudo Móvil]]=MID(Z$4,4,1)),0,MROUND(RANDBETWEEN(MinFv,MaxFv),MulFv)*RANDBETWEEN(-1,1))*IF(AND(Y23=0,X23=0),1,0)</f>
        <v>0</v>
      </c>
      <c r="AA23" s="415">
        <f ca="1">IF(OR(T_D_VAR[[#This Row],[Nudo Fijo]]=MID(AA$4,4,1),T_D_VAR[[#This Row],[Nudo Móvil]]=MID(AA$4,4,1)),0,MROUND(RANDBETWEEN(MinFv,MaxFv),MulFv)*RANDBETWEEN(-1,1))*IF(AND(Z23=0,Y23=0),1,0)</f>
        <v>0</v>
      </c>
      <c r="AB23" s="415">
        <f ca="1">IF(OR(T_D_VAR[[#This Row],[Nudo Fijo]]=MID(AB$4,4,1),T_D_VAR[[#This Row],[Nudo Móvil]]=MID(AB$4,4,1)),0,MROUND(RANDBETWEEN(MinFv,MaxFv),MulFv)*RANDBETWEEN(-1,1))*IF(AND(AA23=0,Z23=0),1,0)</f>
        <v>-450</v>
      </c>
      <c r="AC23" s="415">
        <f ca="1">IF(OR(T_D_VAR[[#This Row],[Nudo Fijo]]=MID(AC$4,4,1),T_D_VAR[[#This Row],[Nudo Móvil]]=MID(AC$4,4,1)),0,MROUND(RANDBETWEEN(MinFv,MaxFv),MulFv)*RANDBETWEEN(-1,1))*IF(AND(AB23=0,AA23=0),1,0)</f>
        <v>0</v>
      </c>
      <c r="AD23" s="415">
        <f ca="1">IF(OR(T_D_VAR[[#This Row],[Nudo Fijo]]=MID(AD$4,4,1),T_D_VAR[[#This Row],[Nudo Móvil]]=MID(AD$4,4,1)),0,MROUND(RANDBETWEEN(MinFv,MaxFv),MulFv)*RANDBETWEEN(-1,1))*IF(AND(AC23=0,AB23=0),1,0)</f>
        <v>0</v>
      </c>
      <c r="AE23" s="415">
        <f ca="1">IF(OR(T_D_VAR[[#This Row],[Nudo Fijo]]=MID(AE$4,4,1),T_D_VAR[[#This Row],[Nudo Móvil]]=MID(AE$4,4,1)),0,MROUND(RANDBETWEEN(MinFv,MaxFv),MulFv)*RANDBETWEEN(-1,1))*IF(AND(AD23=0,AC23=0),1,0)</f>
        <v>0</v>
      </c>
      <c r="AF23" s="415">
        <f ca="1">IF(OR(T_D_VAR[[#This Row],[Nudo Fijo]]=MID(AF$4,4,1),T_D_VAR[[#This Row],[Nudo Móvil]]=MID(AF$4,4,1)),0,MROUND(RANDBETWEEN(MinFv,MaxFv),MulFv)*RANDBETWEEN(-1,1))*IF(AND(AE23=0,AD23=0),1,0)</f>
        <v>0</v>
      </c>
      <c r="AG23" s="415"/>
      <c r="AH23" s="415"/>
      <c r="AI23" s="415"/>
      <c r="AJ23" s="416"/>
      <c r="AK23" s="417">
        <f ca="1">IF(OR(T_D_VAR[[#This Row],[Nudo Fijo]]=MID(AK$4,4,1),T_D_VAR[[#This Row],[Nudo Móvil]]=MID(AK$4,4,1)),0,MROUND(RANDBETWEEN(MinFh,MaxFh),MulFh)*RANDBETWEEN(-1,1))*IF(V23=0,1,0)</f>
        <v>0</v>
      </c>
      <c r="AL23" s="418">
        <f ca="1">IF(OR(T_D_VAR[[#This Row],[Nudo Fijo]]=MID(AL$4,4,1),T_D_VAR[[#This Row],[Nudo Móvil]]=MID(AL$4,4,1)),0,MROUND(RANDBETWEEN(MinFh,MaxFh),MulFh)*RANDBETWEEN(-1,1))*IF(AND(W23=0,AK23=0,AJ23=0),1,0)</f>
        <v>0</v>
      </c>
      <c r="AM23" s="418">
        <f ca="1">IF(OR(T_D_VAR[[#This Row],[Nudo Fijo]]=MID(AM$4,4,1),T_D_VAR[[#This Row],[Nudo Móvil]]=MID(AM$4,4,1)),0,MROUND(RANDBETWEEN(MinFh,MaxFh),MulFh)*RANDBETWEEN(-1,1))*IF(AND(AL23=0,AK23=0),1,0)</f>
        <v>0</v>
      </c>
      <c r="AN23" s="418">
        <f ca="1">IF(OR(T_D_VAR[[#This Row],[Nudo Fijo]]=MID(AN$4,4,1),T_D_VAR[[#This Row],[Nudo Móvil]]=MID(AN$4,4,1)),0,MROUND(RANDBETWEEN(MinFh,MaxFh),MulFh)*RANDBETWEEN(-1,1))*IF(Y23=0,1,0)</f>
        <v>0</v>
      </c>
      <c r="AO23" s="418">
        <f ca="1">IF(OR(T_D_VAR[[#This Row],[Nudo Fijo]]=MID(AO$4,4,1),T_D_VAR[[#This Row],[Nudo Móvil]]=MID(AO$4,4,1)),0,MROUND(RANDBETWEEN(MinFh,MaxFh),MulFh)*RANDBETWEEN(-1,1))*IF(AND(Z23=0,AN23=0,AM23=0),1,0)</f>
        <v>100</v>
      </c>
      <c r="AP23" s="418">
        <f ca="1">IF(OR(T_D_VAR[[#This Row],[Nudo Fijo]]=MID(AP$4,4,1),T_D_VAR[[#This Row],[Nudo Móvil]]=MID(AP$4,4,1)),0,MROUND(RANDBETWEEN(MinFh,MaxFh),MulFh)*RANDBETWEEN(-1,1))*IF(AND(AA23=0,AO23=0,AN23=0),1,0)</f>
        <v>0</v>
      </c>
      <c r="AQ23" s="418">
        <f ca="1">IF(OR(T_D_VAR[[#This Row],[Nudo Fijo]]=MID(AQ$4,4,1),T_D_VAR[[#This Row],[Nudo Móvil]]=MID(AQ$4,4,1)),0,MROUND(RANDBETWEEN(MinFh,MaxFh),MulFh)*RANDBETWEEN(-1,1))*IF(AND(AB23=0,AP23=0,AO23=0),1,0)</f>
        <v>0</v>
      </c>
      <c r="AR23" s="418">
        <f ca="1">IF(OR(T_D_VAR[[#This Row],[Nudo Fijo]]=MID(AR$4,4,1),T_D_VAR[[#This Row],[Nudo Móvil]]=MID(AR$4,4,1)),0,MROUND(RANDBETWEEN(MinFh,MaxFh),MulFh)*RANDBETWEEN(-1,1))*IF(AND(AC23=0,AQ23=0,AP23=0),1,0)</f>
        <v>150</v>
      </c>
      <c r="AS23" s="418">
        <f ca="1">IF(OR(T_D_VAR[[#This Row],[Nudo Fijo]]=MID(AS$4,4,1),T_D_VAR[[#This Row],[Nudo Móvil]]=MID(AS$4,4,1)),0,MROUND(RANDBETWEEN(MinFh,MaxFh),MulFh)*RANDBETWEEN(-1,1))*IF(AND(AD23=0,AR23=0,AQ23=0),1,0)</f>
        <v>0</v>
      </c>
      <c r="AT23" s="418">
        <f ca="1">IF(OR(T_D_VAR[[#This Row],[Nudo Fijo]]=MID(AT$4,4,1),T_D_VAR[[#This Row],[Nudo Móvil]]=MID(AT$4,4,1)),0,MROUND(RANDBETWEEN(MinFh,MaxFh),MulFh)*RANDBETWEEN(-1,1))*IF(AND(AE23=0,AS23=0,AR23=0),1,0)</f>
        <v>0</v>
      </c>
      <c r="AU23" s="418">
        <f ca="1">IF(OR(T_D_VAR[[#This Row],[Nudo Fijo]]=MID(AU$4,4,1),T_D_VAR[[#This Row],[Nudo Móvil]]=MID(AU$4,4,1)),0,MROUND(RANDBETWEEN(MinFh,MaxFh),MulFh)*RANDBETWEEN(-1,1))*IF(AND(AF23=0,AT23=0,AS23=0),1,0)</f>
        <v>0</v>
      </c>
      <c r="AV23" s="418"/>
      <c r="AW23" s="418"/>
      <c r="AX23" s="418"/>
      <c r="AY23" s="419"/>
      <c r="AZ23" s="420">
        <f ca="1">IF(OR(T_D_VAR[[#This Row],[Nudo Fijo]]=MID(AZ$4,4,1),T_D_VAR[[#This Row],[Nudo Móvil]]=MID(AZ$4,4,1)),0,MROUND(RANDBETWEEN(MinMz,MaxMz),MulMz)*RANDBETWEEN(-1,1))*IF(AND(W23=0,AK23=0),1,0)</f>
        <v>0</v>
      </c>
      <c r="BA23" s="421">
        <f ca="1">IF(OR(T_D_VAR[[#This Row],[Nudo Fijo]]=MID(BA$4,4,1),T_D_VAR[[#This Row],[Nudo Móvil]]=MID(BA$4,4,1)),0,MROUND(RANDBETWEEN(MinMz,MaxMz),MulMz)*RANDBETWEEN(-1,1))*IF(AND(X23=0,AL23=0,AZ23=0,AY23=0),1,0)</f>
        <v>0</v>
      </c>
      <c r="BB23" s="421">
        <f ca="1">IF(OR(T_D_VAR[[#This Row],[Nudo Fijo]]=MID(BB$4,4,1),T_D_VAR[[#This Row],[Nudo Móvil]]=MID(BB$4,4,1)),0,MROUND(RANDBETWEEN(MinMz,MaxMz),MulMz)*RANDBETWEEN(-1,1))*IF(AND(Y23=0,AM23=0,BA23=0,AZ23=0),1,0)</f>
        <v>0</v>
      </c>
      <c r="BC23" s="421">
        <f ca="1">IF(OR(T_D_VAR[[#This Row],[Nudo Fijo]]=MID(BC$4,4,1),T_D_VAR[[#This Row],[Nudo Móvil]]=MID(BC$4,4,1)),0,MROUND(RANDBETWEEN(MinMz,MaxMz),MulMz)*RANDBETWEEN(-1,1))*IF(AND(Z23=0,AN23=0,BB23=0,BA23=0),1,0)</f>
        <v>45</v>
      </c>
      <c r="BD23" s="421">
        <f ca="1">IF(OR(T_D_VAR[[#This Row],[Nudo Fijo]]=MID(BD$4,4,1),T_D_VAR[[#This Row],[Nudo Móvil]]=MID(BD$4,4,1)),0,MROUND(RANDBETWEEN(MinMz,MaxMz),MulMz)*RANDBETWEEN(-1,1))*IF(AND(AA23=0,AO23=0,BC23=0,BB23=0),1,0)</f>
        <v>0</v>
      </c>
      <c r="BE23" s="421">
        <f ca="1">IF(OR(T_D_VAR[[#This Row],[Nudo Fijo]]=MID(BE$4,4,1),T_D_VAR[[#This Row],[Nudo Móvil]]=MID(BE$4,4,1)),0,MROUND(RANDBETWEEN(MinMz,MaxMz),MulMz)*RANDBETWEEN(-1,1))*IF(AND(AB23=0,AP23=0,BD23=0,BC23=0),1,0)</f>
        <v>0</v>
      </c>
      <c r="BF23" s="421">
        <f ca="1">IF(OR(T_D_VAR[[#This Row],[Nudo Fijo]]=MID(BF$4,4,1),T_D_VAR[[#This Row],[Nudo Móvil]]=MID(BF$4,4,1)),0,MROUND(RANDBETWEEN(MinMz,MaxMz),MulMz)*RANDBETWEEN(-1,1))*IF(AND(AC23=0,AQ23=0,BE23=0,BD23=0),1,0)</f>
        <v>0</v>
      </c>
      <c r="BG23" s="421">
        <f ca="1">IF(OR(T_D_VAR[[#This Row],[Nudo Fijo]]=MID(BG$4,4,1),T_D_VAR[[#This Row],[Nudo Móvil]]=MID(BG$4,4,1)),0,MROUND(RANDBETWEEN(MinMz,MaxMz),MulMz)*RANDBETWEEN(-1,1))*IF(AND(AD23=0,AR23=0,BF23=0,BE23=0),1,0)</f>
        <v>0</v>
      </c>
      <c r="BH23" s="421">
        <f ca="1">IF(OR(T_D_VAR[[#This Row],[Nudo Fijo]]=MID(BH$4,4,1),T_D_VAR[[#This Row],[Nudo Móvil]]=MID(BH$4,4,1)),0,MROUND(RANDBETWEEN(MinMz,MaxMz),MulMz)*RANDBETWEEN(-1,1))*IF(AND(AE23=0,AS23=0,BG23=0,BF23=0),1,0)</f>
        <v>20</v>
      </c>
      <c r="BI23" s="421">
        <f ca="1">IF(OR(T_D_VAR[[#This Row],[Nudo Fijo]]=MID(BI$4,4,1),T_D_VAR[[#This Row],[Nudo Móvil]]=MID(BI$4,4,1)),0,MROUND(RANDBETWEEN(MinMz,MaxMz),MulMz)*RANDBETWEEN(-1,1))*IF(AND(AF23=0,AT23=0,BH23=0,BG23=0),1,0)</f>
        <v>0</v>
      </c>
      <c r="BJ23" s="421">
        <f ca="1">IF(OR(T_D_VAR[[#This Row],[Nudo Fijo]]=MID(BJ$4,4,1),T_D_VAR[[#This Row],[Nudo Móvil]]=MID(BJ$4,4,1)),0,MROUND(RANDBETWEEN(MinMz,MaxMz),MulMz)*RANDBETWEEN(-1,1))*IF(AND(AG23=0,AU23=0,BI23=0,BH23=0),1,0)</f>
        <v>0</v>
      </c>
      <c r="BK23" s="421"/>
      <c r="BL23" s="421"/>
      <c r="BM23" s="421"/>
      <c r="BN23" s="422"/>
      <c r="BO23" s="423">
        <f ca="1">MROUND(RANDBETWEEN(MinQ,MaxQ),MulQ)*IF(AND(AL23=0,BA23=0),1,0)*
  IF(SUM(T_D_VAR[[#This Row],[Fv_A]:[Mz_O]])=0,1,RANDBETWEEN(-1,1))</f>
        <v>-60</v>
      </c>
      <c r="BP23" s="424">
        <f ca="1">IF(q_1Iguales=_OK,BO23,
  MROUND(RANDBETWEEN(MinQ,MaxQ),MulQ)*RANDBETWEEN(-1,1)*IF(AND(W23=0,X23=0,AL23=0,AM23=0,BA23=0,BO23=0,BB23=0),1,0))</f>
        <v>-60</v>
      </c>
      <c r="BQ23" s="424">
        <f ca="1">IF(T_D_VAR[[#This Row],[q_CE_v]]=0,T_D_VAR[[#This Row],[q_BC]]*RANDBETWEEN(0,1),T_D_VAR[[#This Row],[q_CE_v]]*RANDBETWEEN(-1,1))</f>
        <v>-60</v>
      </c>
      <c r="BR23" s="424">
        <f ca="1">MROUND(RANDBETWEEN(MinQ,MaxQ),MulQ)*RANDBETWEEN(-1,1)*IF(BO23=0,1,0)</f>
        <v>0</v>
      </c>
      <c r="BS23" s="424">
        <f ca="1">MAX(ABS(T_D_VAR[[#This Row],[q_CE_h]]),ABS(T_D_VAR[[#This Row],[q_CE_v]]))*IF(T_D_VAR[[#This Row],[q_CE_v]]&lt;0,-1,1)</f>
        <v>60</v>
      </c>
      <c r="BT23" s="424">
        <f t="shared" ca="1" si="17"/>
        <v>0</v>
      </c>
      <c r="BU23" s="424">
        <f t="shared" ca="1" si="18"/>
        <v>0</v>
      </c>
      <c r="BV23" s="424">
        <f ca="1">IF(AND(q_1Iguales=_OK,BT23&lt;&gt;0),BU23*RANDBETWEEN(-1,1),
    MROUND(RANDBETWEEN(MinQ,MaxQ),MulQ)*RANDBETWEEN(-1,1)*IF(AR23=0,1,0))</f>
        <v>0</v>
      </c>
      <c r="BW23" s="424">
        <f ca="1">IF(q_1Iguales=_OK,BV23,
MROUND(RANDBETWEEN(MinQ,MaxQ),MulQ)*RANDBETWEEN(-1,1)*IF(AND(AD23=0,AE23=0,AS23=0,AT23=0,BH23=0,BV23=0,BI23=0),1,0))</f>
        <v>0</v>
      </c>
      <c r="BX23" s="424">
        <f ca="1">MROUND(RANDBETWEEN(MinQ,MaxQ),MulQ)*RANDBETWEEN(-1,1)*IF(AND(AU23=0,BJ23=0),1,0)</f>
        <v>80</v>
      </c>
      <c r="BY23" s="424">
        <f ca="1">IF(q_1Iguales=_OK,BX23,
  MROUND(RANDBETWEEN(MinQ,MaxQ),MulQ)*RANDBETWEEN(-1,1)*IF(AND(AF23=0,AG23=0,AU23=0,AV23=0,BJ23=0,BX23=0,BK23=0),1,0))</f>
        <v>80</v>
      </c>
      <c r="BZ23" s="424"/>
      <c r="CA23" s="424"/>
      <c r="CB23" s="424"/>
      <c r="CC23" s="425"/>
      <c r="CD23" s="426" t="s">
        <v>642</v>
      </c>
      <c r="CE23" s="427"/>
      <c r="CF23" s="386">
        <f>1</f>
        <v>1</v>
      </c>
      <c r="CG23" s="466">
        <f>ROW()-ROW(T_D_VAR[[#Headers],[Nº]])</f>
        <v>19</v>
      </c>
    </row>
    <row r="24" spans="1:85" ht="28.7" outlineLevel="1">
      <c r="A24" s="463" t="s">
        <v>643</v>
      </c>
      <c r="B24"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Portico-ABCD-DEFGHI: 8,5 m; 2 Pv; 2 Ph; 3 M; (-45)</v>
      </c>
      <c r="C24" s="411">
        <f ca="1">MROUND(RANDBETWEEN(MinL,MaxL),MulL)/10</f>
        <v>0.5</v>
      </c>
      <c r="D24" s="412">
        <f ca="1">IF(L_1Iguales=_OK,T_D_VAR[[#This Row],[L_AB]],MROUND(RANDBETWEEN(MinL,MaxL),MulL)/10)</f>
        <v>0.5</v>
      </c>
      <c r="E24" s="412">
        <f ca="1">IF(L_1Iguales=_OK,T_D_VAR[[#This Row],[L_AB]],MROUND(RANDBETWEEN(MinL,MaxL),MulL)/10)</f>
        <v>0.5</v>
      </c>
      <c r="F24" s="412">
        <f ca="1">MROUND(RANDBETWEEN(MinL,MaxL),MulL)/10</f>
        <v>2</v>
      </c>
      <c r="G24" s="412">
        <f ca="1">IF(L_1Iguales=_OK,T_D_VAR[[#This Row],[L_DE]],MROUND(RANDBETWEEN(MinL,MaxL),MulL)/10)</f>
        <v>2</v>
      </c>
      <c r="H24" s="412">
        <f ca="1">IF(L_1Iguales=_OK,T_D_VAR[[#This Row],[L_DE]],MROUND(RANDBETWEEN(MinL,MaxL),MulL)/10)</f>
        <v>2</v>
      </c>
      <c r="I24" s="412">
        <f ca="1">MROUND(RANDBETWEEN(MinL,MaxL),MulL)/10</f>
        <v>0.5</v>
      </c>
      <c r="J24" s="412">
        <f ca="1">IF(L_1Iguales=_OK,T_D_VAR[[#This Row],[L_GH]],MROUND(RANDBETWEEN(MinL,MaxL),MulL)/10)</f>
        <v>0.5</v>
      </c>
      <c r="K24" s="412"/>
      <c r="L24" s="412"/>
      <c r="M24" s="412"/>
      <c r="N24" s="412"/>
      <c r="O24" s="412"/>
      <c r="P24" s="412"/>
      <c r="Q24" s="413">
        <v>90</v>
      </c>
      <c r="R24" s="462" t="str" cm="1">
        <f t="array" aca="1" ref="R24" ca="1">INDIRECT("OCULTOS!N"&amp;RANDBETWEEN(2,3))</f>
        <v>Emp.</v>
      </c>
      <c r="S24" s="2" t="str">
        <f ca="1">IF(T_D_VAR[[#This Row],[Tipo]]=T_Emp,OCULTOS!F$33,OCULTOS!F$42)</f>
        <v>A</v>
      </c>
      <c r="T24" s="2" t="str">
        <f ca="1">IF(T_D_VAR[[#This Row],[Tipo]]=OCULTOS!$N$2,"",OCULTOS!F$43)</f>
        <v/>
      </c>
      <c r="U24" s="2"/>
      <c r="V24" s="414">
        <f ca="1">IF(OR(T_D_VAR[[#This Row],[Nudo Fijo]]=MID(V$4,4,1),T_D_VAR[[#This Row],[Nudo Móvil]]=MID(V$4,4,1)),0,MROUND(RANDBETWEEN(MinFv,MaxFv),MulFv)*RANDBETWEEN(-1,1))</f>
        <v>0</v>
      </c>
      <c r="W24" s="415"/>
      <c r="X24" s="415"/>
      <c r="Y24" s="415">
        <f ca="1">IF(OR(T_D_VAR[[#This Row],[Nudo Fijo]]=MID(Y$4,4,1),T_D_VAR[[#This Row],[Nudo Móvil]]=MID(Y$4,4,1)),0,MROUND(RANDBETWEEN(MinFv,MaxFv),MulFv)*RANDBETWEEN(-1,1))</f>
        <v>-400</v>
      </c>
      <c r="Z24" s="415">
        <f ca="1">IF(OR(T_D_VAR[[#This Row],[Nudo Fijo]]=MID(Z$4,4,1),T_D_VAR[[#This Row],[Nudo Móvil]]=MID(Z$4,4,1)),0,MROUND(RANDBETWEEN(MinFv,MaxFv),MulFv)*RANDBETWEEN(-1,1))*IF(AND(Y24=0,X24=0),1,0)</f>
        <v>0</v>
      </c>
      <c r="AA24" s="415">
        <f ca="1">IF(OR(T_D_VAR[[#This Row],[Nudo Fijo]]=MID(AA$4,4,1),T_D_VAR[[#This Row],[Nudo Móvil]]=MID(AA$4,4,1)),0,MROUND(RANDBETWEEN(MinFv,MaxFv),MulFv)*RANDBETWEEN(-1,1))*IF(AND(Z24=0,Y24=0),1,0)</f>
        <v>0</v>
      </c>
      <c r="AB24" s="415">
        <f ca="1">IF(OR(T_D_VAR[[#This Row],[Nudo Fijo]]=MID(AB$4,4,1),T_D_VAR[[#This Row],[Nudo Móvil]]=MID(AB$4,4,1)),0,MROUND(RANDBETWEEN(MinFv,MaxFv),MulFv)*RANDBETWEEN(-1,1))*IF(AND(AA24=0,Z24=0),1,0)</f>
        <v>0</v>
      </c>
      <c r="AC24" s="415">
        <f ca="1">IF(OR(T_D_VAR[[#This Row],[Nudo Fijo]]=MID(AC$4,4,1),T_D_VAR[[#This Row],[Nudo Móvil]]=MID(AC$4,4,1)),0,MROUND(RANDBETWEEN(MinFv,MaxFv),MulFv)*RANDBETWEEN(-1,1))*IF(AND(AB24=0,AA24=0),1,0)</f>
        <v>50</v>
      </c>
      <c r="AD24" s="415">
        <f ca="1">IF(OR(T_D_VAR[[#This Row],[Nudo Fijo]]=MID(AD$4,4,1),T_D_VAR[[#This Row],[Nudo Móvil]]=MID(AD$4,4,1)),0,MROUND(RANDBETWEEN(MinFv,MaxFv),MulFv)*RANDBETWEEN(-1,1))*IF(AND(AC24=0,AB24=0),1,0)</f>
        <v>0</v>
      </c>
      <c r="AE24" s="415"/>
      <c r="AF24" s="415"/>
      <c r="AG24" s="415"/>
      <c r="AH24" s="415"/>
      <c r="AI24" s="415"/>
      <c r="AJ24" s="416"/>
      <c r="AK24" s="417">
        <f ca="1">IF(OR(T_D_VAR[[#This Row],[Nudo Fijo]]=MID(AK$4,4,1),T_D_VAR[[#This Row],[Nudo Móvil]]=MID(AK$4,4,1)),0,MROUND(RANDBETWEEN(MinFh,MaxFh),MulFh)*RANDBETWEEN(-1,1))*IF(V24=0,1,0)</f>
        <v>0</v>
      </c>
      <c r="AL24" s="418">
        <f ca="1">IF(OR(T_D_VAR[[#This Row],[Nudo Fijo]]=MID(AL$4,4,1),T_D_VAR[[#This Row],[Nudo Móvil]]=MID(AL$4,4,1)),0,MROUND(RANDBETWEEN(MinFh,MaxFh),MulFh)*RANDBETWEEN(-1,1))*IF(AND(W24=0,AK24=0,AJ24=0),1,0)</f>
        <v>0</v>
      </c>
      <c r="AM24" s="418">
        <f ca="1">IF(OR(T_D_VAR[[#This Row],[Nudo Fijo]]=MID(AM$4,4,1),T_D_VAR[[#This Row],[Nudo Móvil]]=MID(AM$4,4,1)),0,MROUND(RANDBETWEEN(MinFh,MaxFh),MulFh)*RANDBETWEEN(-1,1))*IF(AND(AL24=0,AK24=0),1,0)</f>
        <v>100</v>
      </c>
      <c r="AN24" s="418">
        <f ca="1">IF(OR(T_D_VAR[[#This Row],[Nudo Fijo]]=MID(AN$4,4,1),T_D_VAR[[#This Row],[Nudo Móvil]]=MID(AN$4,4,1)),0,MROUND(RANDBETWEEN(MinFh,MaxFh),MulFh)*RANDBETWEEN(-1,1))*IF(Y24=0,1,0)</f>
        <v>0</v>
      </c>
      <c r="AO24" s="418">
        <f ca="1">IF(OR(T_D_VAR[[#This Row],[Nudo Fijo]]=MID(AO$4,4,1),T_D_VAR[[#This Row],[Nudo Móvil]]=MID(AO$4,4,1)),0,MROUND(RANDBETWEEN(MinFh,MaxFh),MulFh)*RANDBETWEEN(-1,1))*IF(AND(Z24=0,AN24=0,AM24=0),1,0)</f>
        <v>0</v>
      </c>
      <c r="AP24" s="418">
        <f ca="1">IF(OR(T_D_VAR[[#This Row],[Nudo Fijo]]=MID(AP$4,4,1),T_D_VAR[[#This Row],[Nudo Móvil]]=MID(AP$4,4,1)),0,MROUND(RANDBETWEEN(MinFh,MaxFh),MulFh)*RANDBETWEEN(-1,1))*IF(AND(AA24=0,AO24=0,AN24=0),1,0)</f>
        <v>0</v>
      </c>
      <c r="AQ24" s="418">
        <f ca="1">IF(OR(T_D_VAR[[#This Row],[Nudo Fijo]]=MID(AQ$4,4,1),T_D_VAR[[#This Row],[Nudo Móvil]]=MID(AQ$4,4,1)),0,MROUND(RANDBETWEEN(MinFh,MaxFh),MulFh)*RANDBETWEEN(-1,1))*IF(AND(AB24=0,AP24=0,AO24=0),1,0)</f>
        <v>150</v>
      </c>
      <c r="AR24" s="418">
        <f ca="1">IF(OR(T_D_VAR[[#This Row],[Nudo Fijo]]=MID(AR$4,4,1),T_D_VAR[[#This Row],[Nudo Móvil]]=MID(AR$4,4,1)),0,MROUND(RANDBETWEEN(MinFh,MaxFh),MulFh)*RANDBETWEEN(-1,1))*IF(AND(AC24=0,AQ24=0,AP24=0),1,0)</f>
        <v>0</v>
      </c>
      <c r="AS24" s="418">
        <f ca="1">IF(OR(T_D_VAR[[#This Row],[Nudo Fijo]]=MID(AS$4,4,1),T_D_VAR[[#This Row],[Nudo Móvil]]=MID(AS$4,4,1)),0,MROUND(RANDBETWEEN(MinFh,MaxFh),MulFh)*RANDBETWEEN(-1,1))*IF(AND(AD24=0,AR24=0,AQ24=0),1,0)</f>
        <v>0</v>
      </c>
      <c r="AT24" s="418"/>
      <c r="AU24" s="418"/>
      <c r="AV24" s="418"/>
      <c r="AW24" s="418"/>
      <c r="AX24" s="418"/>
      <c r="AY24" s="419"/>
      <c r="AZ24" s="420">
        <f ca="1">IF(OR(T_D_VAR[[#This Row],[Nudo Fijo]]=MID(AZ$4,4,1),T_D_VAR[[#This Row],[Nudo Móvil]]=MID(AZ$4,4,1)),0,MROUND(RANDBETWEEN(MinMz,MaxMz),MulMz)*RANDBETWEEN(-1,1))*IF(AND(W24=0,AK24=0),1,0)</f>
        <v>0</v>
      </c>
      <c r="BA24" s="421">
        <f ca="1">IF(OR(T_D_VAR[[#This Row],[Nudo Fijo]]=MID(BA$4,4,1),T_D_VAR[[#This Row],[Nudo Móvil]]=MID(BA$4,4,1)),0,MROUND(RANDBETWEEN(MinMz,MaxMz),MulMz)*RANDBETWEEN(-1,1))*IF(AND(X24=0,AL24=0,AZ24=0,AY24=0),1,0)</f>
        <v>40</v>
      </c>
      <c r="BB24" s="421">
        <f ca="1">IF(OR(T_D_VAR[[#This Row],[Nudo Fijo]]=MID(BB$4,4,1),T_D_VAR[[#This Row],[Nudo Móvil]]=MID(BB$4,4,1)),0,MROUND(RANDBETWEEN(MinMz,MaxMz),MulMz)*RANDBETWEEN(-1,1))*IF(AND(Y24=0,AM24=0,BA24=0,AZ24=0),1,0)</f>
        <v>0</v>
      </c>
      <c r="BC24" s="421">
        <f ca="1">IF(OR(T_D_VAR[[#This Row],[Nudo Fijo]]=MID(BC$4,4,1),T_D_VAR[[#This Row],[Nudo Móvil]]=MID(BC$4,4,1)),0,MROUND(RANDBETWEEN(MinMz,MaxMz),MulMz)*RANDBETWEEN(-1,1))*IF(AND(Z24=0,AN24=0,BB24=0,BA24=0),1,0)</f>
        <v>0</v>
      </c>
      <c r="BD24" s="421">
        <f ca="1">IF(OR(T_D_VAR[[#This Row],[Nudo Fijo]]=MID(BD$4,4,1),T_D_VAR[[#This Row],[Nudo Móvil]]=MID(BD$4,4,1)),0,MROUND(RANDBETWEEN(MinMz,MaxMz),MulMz)*RANDBETWEEN(-1,1))*IF(AND(AA24=0,AO24=0,BC24=0,BB24=0),1,0)</f>
        <v>5</v>
      </c>
      <c r="BE24" s="421">
        <f ca="1">IF(OR(T_D_VAR[[#This Row],[Nudo Fijo]]=MID(BE$4,4,1),T_D_VAR[[#This Row],[Nudo Móvil]]=MID(BE$4,4,1)),0,MROUND(RANDBETWEEN(MinMz,MaxMz),MulMz)*RANDBETWEEN(-1,1))*IF(AND(AB24=0,AP24=0,BD24=0,BC24=0),1,0)</f>
        <v>0</v>
      </c>
      <c r="BF24" s="421">
        <f ca="1">IF(OR(T_D_VAR[[#This Row],[Nudo Fijo]]=MID(BF$4,4,1),T_D_VAR[[#This Row],[Nudo Móvil]]=MID(BF$4,4,1)),0,MROUND(RANDBETWEEN(MinMz,MaxMz),MulMz)*RANDBETWEEN(-1,1))*IF(AND(AC24=0,AQ24=0,BE24=0,BD24=0),1,0)</f>
        <v>0</v>
      </c>
      <c r="BG24" s="421">
        <f ca="1">IF(OR(T_D_VAR[[#This Row],[Nudo Fijo]]=MID(BG$4,4,1),T_D_VAR[[#This Row],[Nudo Móvil]]=MID(BG$4,4,1)),0,MROUND(RANDBETWEEN(MinMz,MaxMz),MulMz)*RANDBETWEEN(-1,1))*IF(AND(AD24=0,AR24=0,BF24=0,BE24=0),1,0)</f>
        <v>10</v>
      </c>
      <c r="BH24" s="421">
        <f ca="1">IF(OR(T_D_VAR[[#This Row],[Nudo Fijo]]=MID(BH$4,4,1),T_D_VAR[[#This Row],[Nudo Móvil]]=MID(BH$4,4,1)),0,MROUND(RANDBETWEEN(MinMz,MaxMz),MulMz)*RANDBETWEEN(-1,1))*IF(AND(AE24=0,AS24=0,BG24=0,BF24=0),1,0)</f>
        <v>0</v>
      </c>
      <c r="BI24" s="421"/>
      <c r="BJ24" s="421"/>
      <c r="BK24" s="421"/>
      <c r="BL24" s="421"/>
      <c r="BM24" s="421"/>
      <c r="BN24" s="422"/>
      <c r="BO24" s="423">
        <f ca="1">MROUND(RANDBETWEEN(MinQ,MaxQ),MulQ)*IF(AND(AL24=0,BA24=0),1,0)*
  IF(SUM(T_D_VAR[[#This Row],[Fv_A]:[Mz_O]])=0,1,RANDBETWEEN(-1,1))</f>
        <v>0</v>
      </c>
      <c r="BP24" s="424">
        <f ca="1">IF(q_1Iguales=_OK,BO24,
  MROUND(RANDBETWEEN(MinQ,MaxQ),MulQ)*RANDBETWEEN(-1,1)*IF(AND(W24=0,X24=0,AL24=0,AM24=0,BA24=0,BO24=0,BB24=0),1,0))</f>
        <v>0</v>
      </c>
      <c r="BQ24" s="424">
        <f ca="1">IF(q_1Iguales=_OK,BP24,
  MROUND(RANDBETWEEN(MinQ,MaxQ),MulQ)*RANDBETWEEN(-1,1)*IF(AND(X24=0,Y24=0,AM24=0,AN24=0,BB24=0,BP24=0,BC24=0),1,0))</f>
        <v>0</v>
      </c>
      <c r="BR24" s="424">
        <f t="shared" ca="1" si="16"/>
        <v>0</v>
      </c>
      <c r="BS24" s="424"/>
      <c r="BT24" s="424">
        <f t="shared" ca="1" si="17"/>
        <v>0</v>
      </c>
      <c r="BU24" s="424">
        <f t="shared" ca="1" si="18"/>
        <v>0</v>
      </c>
      <c r="BV24" s="424">
        <f ca="1">IF(AND(q_1Iguales=_OK,BT24&lt;&gt;0),BU24*RANDBETWEEN(-1,1),
    MROUND(RANDBETWEEN(MinQ,MaxQ),MulQ)*RANDBETWEEN(-1,1)*IF(AR24=0,1,0))</f>
        <v>0</v>
      </c>
      <c r="BW24" s="424">
        <f ca="1">IF(q_1Iguales=_OK,BV24,
MROUND(RANDBETWEEN(MinQ,MaxQ),MulQ)*RANDBETWEEN(-1,1)*IF(AND(AD24=0,AE24=0,AS24=0,AT24=0,BH24=0,BV24=0,BI24=0),1,0))</f>
        <v>0</v>
      </c>
      <c r="BX24" s="424"/>
      <c r="BY24" s="424"/>
      <c r="BZ24" s="424"/>
      <c r="CA24" s="424"/>
      <c r="CB24" s="424"/>
      <c r="CC24" s="425"/>
      <c r="CD24" s="426" t="s">
        <v>643</v>
      </c>
      <c r="CE24" s="427"/>
      <c r="CF24" s="386">
        <f>1</f>
        <v>1</v>
      </c>
      <c r="CG24" s="466">
        <f>ROW()-ROW(T_D_VAR[[#Headers],[Nº]])</f>
        <v>20</v>
      </c>
    </row>
    <row r="25" spans="1:85" ht="28.7" outlineLevel="1">
      <c r="A25" s="463" t="s">
        <v>645</v>
      </c>
      <c r="B25"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Portico-BCD-DEFG-GJK-KLMN: 14,5 m; 3 Pv; 3 Ph; 3 M; 5 q (-170)</v>
      </c>
      <c r="C25" s="411"/>
      <c r="D25" s="412">
        <f ca="1">MROUND(RANDBETWEEN(MinL,MaxL),MulL)/10</f>
        <v>1</v>
      </c>
      <c r="E25" s="412">
        <f ca="1">IF(L_1Iguales=_OK,T_D_VAR[[#This Row],[L_BC]],MROUND(RANDBETWEEN(MinL,MaxL),MulL)/10)</f>
        <v>1</v>
      </c>
      <c r="F25" s="412">
        <f ca="1">MROUND(RANDBETWEEN(MinL,MaxL),MulL)/10</f>
        <v>2.5</v>
      </c>
      <c r="G25" s="412">
        <f ca="1">IF(L_1Iguales=_OK,T_D_VAR[[#This Row],[L_DE]],MROUND(RANDBETWEEN(MinL,MaxL),MulL)/10)</f>
        <v>2.5</v>
      </c>
      <c r="H25" s="412">
        <f ca="1">IF(L_1Iguales=_OK,T_D_VAR[[#This Row],[L_DE]],MROUND(RANDBETWEEN(MinL,MaxL),MulL)/10)</f>
        <v>2.5</v>
      </c>
      <c r="I25" s="412"/>
      <c r="J25" s="412"/>
      <c r="K25" s="412">
        <f ca="1">MROUND(RANDBETWEEN(MinL,MaxL),MulL)/10</f>
        <v>0.5</v>
      </c>
      <c r="L25" s="412">
        <f ca="1">IF(L_1Iguales=_OK,T_D_VAR[[#This Row],[L_GJ]],MROUND(RANDBETWEEN(MinL,MaxL),MulL)/10)</f>
        <v>0.5</v>
      </c>
      <c r="M25" s="412">
        <f ca="1">MROUND(RANDBETWEEN(MinL,MaxL),MulL)/10</f>
        <v>1</v>
      </c>
      <c r="N25" s="412">
        <f ca="1">IF(L_1Iguales=_OK,T_D_VAR[[#This Row],[L_KL]],MROUND(RANDBETWEEN(MinL,MaxL),MulL)/10)</f>
        <v>1</v>
      </c>
      <c r="O25" s="412">
        <f ca="1">MROUND(RANDBETWEEN(MinL,MaxL),MulL)/10</f>
        <v>2</v>
      </c>
      <c r="P25" s="412"/>
      <c r="Q25" s="413">
        <v>90</v>
      </c>
      <c r="R25" s="462" t="str" cm="1">
        <f t="array" aca="1" ref="R25" ca="1">INDIRECT("OCULTOS!N"&amp;RANDBETWEEN(2,3))</f>
        <v>A Fijo</v>
      </c>
      <c r="S25" s="2" t="str">
        <f ca="1">IF(T_D_VAR[[#This Row],[Tipo]]=T_Emp,OCULTOS!G$33,OCULTOS!G$42)</f>
        <v>E</v>
      </c>
      <c r="T25" s="2" t="str">
        <f ca="1">IF(T_D_VAR[[#This Row],[Tipo]]=OCULTOS!$N$2,"",OCULTOS!G$43)</f>
        <v>L</v>
      </c>
      <c r="U25" s="2"/>
      <c r="V25" s="414"/>
      <c r="W25" s="415">
        <f ca="1">IF(OR(T_D_VAR[[#This Row],[Nudo Fijo]]=MID(W$4,4,1),T_D_VAR[[#This Row],[Nudo Móvil]]=MID(W$4,4,1)),0,MROUND(RANDBETWEEN(MinFv,MaxFv),MulFv)*RANDBETWEEN(-1,1))</f>
        <v>250</v>
      </c>
      <c r="X25" s="415"/>
      <c r="Y25" s="415">
        <f ca="1">IF(OR(T_D_VAR[[#This Row],[Nudo Fijo]]=MID(Y$4,4,1),T_D_VAR[[#This Row],[Nudo Móvil]]=MID(Y$4,4,1)),0,MROUND(RANDBETWEEN(MinFv,MaxFv),MulFv)*RANDBETWEEN(-1,1))</f>
        <v>-200</v>
      </c>
      <c r="Z25" s="415">
        <f ca="1">IF(OR(T_D_VAR[[#This Row],[Nudo Fijo]]=MID(Z$4,4,1),T_D_VAR[[#This Row],[Nudo Móvil]]=MID(Z$4,4,1)),0,MROUND(RANDBETWEEN(MinFv,MaxFv),MulFv)*RANDBETWEEN(-1,1))*IF(AND(Y25=0,X25=0),1,0)</f>
        <v>0</v>
      </c>
      <c r="AA25" s="415">
        <f ca="1">IF(OR(T_D_VAR[[#This Row],[Nudo Fijo]]=MID(AA$4,4,1),T_D_VAR[[#This Row],[Nudo Móvil]]=MID(AA$4,4,1)),0,MROUND(RANDBETWEEN(MinFv,MaxFv),MulFv)*RANDBETWEEN(-1,1))*IF(AND(Z25=0,Y25=0),1,0)</f>
        <v>0</v>
      </c>
      <c r="AB25" s="415">
        <f ca="1">IF(OR(T_D_VAR[[#This Row],[Nudo Fijo]]=MID(AB$4,4,1),T_D_VAR[[#This Row],[Nudo Móvil]]=MID(AB$4,4,1)),0,MROUND(RANDBETWEEN(MinFv,MaxFv),MulFv)*RANDBETWEEN(-1,1))*IF(AND(AA25=0,Z25=0),1,0)</f>
        <v>0</v>
      </c>
      <c r="AC25" s="415"/>
      <c r="AD25" s="415"/>
      <c r="AE25" s="415"/>
      <c r="AF25" s="415">
        <f ca="1">IF(OR(T_D_VAR[[#This Row],[Nudo Fijo]]=MID(AF$4,4,1),T_D_VAR[[#This Row],[Nudo Móvil]]=MID(AF$4,4,1)),0,MROUND(RANDBETWEEN(MinFv,MaxFv),MulFv)*RANDBETWEEN(-1,1))*IF(AND(AE25=0,AD25=0),1,0)</f>
        <v>0</v>
      </c>
      <c r="AG25" s="415">
        <f ca="1">IF(OR(T_D_VAR[[#This Row],[Nudo Fijo]]=MID(AG$4,4,1),T_D_VAR[[#This Row],[Nudo Móvil]]=MID(AG$4,4,1)),0,MROUND(RANDBETWEEN(MinFv,MaxFv),MulFv)*RANDBETWEEN(-1,1))*IF(AND(AF25=0,AE25=0),1,0)</f>
        <v>0</v>
      </c>
      <c r="AH25" s="415">
        <f ca="1">IF(OR(T_D_VAR[[#This Row],[Nudo Fijo]]=MID(AH$4,4,1),T_D_VAR[[#This Row],[Nudo Móvil]]=MID(AH$4,4,1)),0,MROUND(RANDBETWEEN(MinFv,MaxFv),MulFv)*RANDBETWEEN(-1,1))*IF(AND(AG25=0,AF25=0),1,0)</f>
        <v>-300</v>
      </c>
      <c r="AI25" s="415">
        <f ca="1">IF(OR(T_D_VAR[[#This Row],[Nudo Fijo]]=MID(AI$4,4,1),T_D_VAR[[#This Row],[Nudo Móvil]]=MID(AI$4,4,1)),0,MROUND(RANDBETWEEN(MinFv,MaxFv),MulFv)*RANDBETWEEN(-1,1))*IF(AND(AH25=0,AG25=0),1,0)</f>
        <v>0</v>
      </c>
      <c r="AJ25" s="416"/>
      <c r="AK25" s="417"/>
      <c r="AL25" s="418">
        <f ca="1">IF(OR(T_D_VAR[[#This Row],[Nudo Fijo]]=MID(AL$4,4,1),T_D_VAR[[#This Row],[Nudo Móvil]]=MID(AL$4,4,1)),0,MROUND(RANDBETWEEN(MinFh,MaxFh),MulFh)*RANDBETWEEN(-1,1))*IF(AND(W25=0,AK25=0,AJ25=0),1,0)</f>
        <v>0</v>
      </c>
      <c r="AM25" s="418">
        <f ca="1">IF(OR(T_D_VAR[[#This Row],[Nudo Fijo]]=MID(AM$4,4,1),T_D_VAR[[#This Row],[Nudo Móvil]]=MID(AM$4,4,1)),0,MROUND(RANDBETWEEN(MinFh,MaxFh),MulFh)*RANDBETWEEN(-1,1))*IF(AND(AL25=0,AK25=0),1,0)</f>
        <v>0</v>
      </c>
      <c r="AN25" s="418">
        <f ca="1">IF(OR(T_D_VAR[[#This Row],[Nudo Fijo]]=MID(AN$4,4,1),T_D_VAR[[#This Row],[Nudo Móvil]]=MID(AN$4,4,1)),0,MROUND(RANDBETWEEN(MinFh,MaxFh),MulFh)*RANDBETWEEN(-1,1))*IF(Y25=0,1,0)</f>
        <v>0</v>
      </c>
      <c r="AO25" s="418">
        <f ca="1">IF(OR(T_D_VAR[[#This Row],[Nudo Fijo]]=MID(AO$4,4,1),T_D_VAR[[#This Row],[Nudo Móvil]]=MID(AO$4,4,1)),0,MROUND(RANDBETWEEN(MinFh,MaxFh),MulFh)*RANDBETWEEN(-1,1))*IF(AND(Z25=0,AN25=0,AM25=0),1,0)</f>
        <v>0</v>
      </c>
      <c r="AP25" s="418">
        <f ca="1">IF(OR(T_D_VAR[[#This Row],[Nudo Fijo]]=MID(AP$4,4,1),T_D_VAR[[#This Row],[Nudo Móvil]]=MID(AP$4,4,1)),0,MROUND(RANDBETWEEN(MinFh,MaxFh),MulFh)*RANDBETWEEN(-1,1))*IF(AND(AA25=0,AO25=0,AN25=0),1,0)</f>
        <v>100</v>
      </c>
      <c r="AQ25" s="418">
        <f ca="1">IF(OR(T_D_VAR[[#This Row],[Nudo Fijo]]=MID(AQ$4,4,1),T_D_VAR[[#This Row],[Nudo Móvil]]=MID(AQ$4,4,1)),0,MROUND(RANDBETWEEN(MinFh,MaxFh),MulFh)*RANDBETWEEN(-1,1))*IF(AND(AB25=0,AP25=0,AO25=0),1,0)</f>
        <v>0</v>
      </c>
      <c r="AR25" s="418"/>
      <c r="AS25" s="418"/>
      <c r="AT25" s="418">
        <f ca="1">IF(OR(T_D_VAR[[#This Row],[Nudo Fijo]]=MID(AT$4,4,1),T_D_VAR[[#This Row],[Nudo Móvil]]=MID(AT$4,4,1)),0,MROUND(RANDBETWEEN(MinFh,MaxFh),MulFh)*RANDBETWEEN(-1,1))*IF(AND(AE25=0,AS25=0,AR25=0),1,0)</f>
        <v>100</v>
      </c>
      <c r="AU25" s="418">
        <f ca="1">IF(OR(T_D_VAR[[#This Row],[Nudo Fijo]]=MID(AU$4,4,1),T_D_VAR[[#This Row],[Nudo Móvil]]=MID(AU$4,4,1)),0,MROUND(RANDBETWEEN(MinFh,MaxFh),MulFh)*RANDBETWEEN(-1,1))*IF(AND(AF25=0,AT25=0,AS25=0),1,0)</f>
        <v>0</v>
      </c>
      <c r="AV25" s="418">
        <f ca="1">IF(OR(T_D_VAR[[#This Row],[Nudo Fijo]]=MID(AV$4,4,1),T_D_VAR[[#This Row],[Nudo Móvil]]=MID(AV$4,4,1)),0,MROUND(RANDBETWEEN(MinFh,MaxFh),MulFh)*RANDBETWEEN(-1,1))*IF(AND(AG25=0,AU25=0,AT25=0),1,0)</f>
        <v>0</v>
      </c>
      <c r="AW25" s="418">
        <f ca="1">IF(OR(T_D_VAR[[#This Row],[Nudo Fijo]]=MID(AW$4,4,1),T_D_VAR[[#This Row],[Nudo Móvil]]=MID(AW$4,4,1)),0,MROUND(RANDBETWEEN(MinFh,MaxFh),MulFh)*RANDBETWEEN(-1,1))*IF(AND(AH25=0,AV25=0,AU25=0),1,0)</f>
        <v>0</v>
      </c>
      <c r="AX25" s="418">
        <f ca="1">IF(OR(T_D_VAR[[#This Row],[Nudo Fijo]]=MID(AX$4,4,1),T_D_VAR[[#This Row],[Nudo Móvil]]=MID(AX$4,4,1)),0,MROUND(RANDBETWEEN(MinFh,MaxFh),MulFh)*RANDBETWEEN(-1,1))*IF(AND(AI25=0,AW25=0,AV25=0),1,0)</f>
        <v>-150</v>
      </c>
      <c r="AY25" s="419"/>
      <c r="AZ25" s="420"/>
      <c r="BA25" s="421">
        <f ca="1">IF(OR(T_D_VAR[[#This Row],[Nudo Fijo]]=MID(BA$4,4,1),T_D_VAR[[#This Row],[Nudo Móvil]]=MID(BA$4,4,1)),0,MROUND(RANDBETWEEN(MinMz,MaxMz),MulMz)*RANDBETWEEN(-1,1))*IF(AND(X25=0,AL25=0,AZ25=0,AY25=0),1,0)</f>
        <v>-40</v>
      </c>
      <c r="BB25" s="421">
        <f ca="1">IF(OR(T_D_VAR[[#This Row],[Nudo Fijo]]=MID(BB$4,4,1),T_D_VAR[[#This Row],[Nudo Móvil]]=MID(BB$4,4,1)),0,MROUND(RANDBETWEEN(MinMz,MaxMz),MulMz)*RANDBETWEEN(-1,1))*IF(AND(Y25=0,AM25=0,BA25=0,AZ25=0),1,0)</f>
        <v>0</v>
      </c>
      <c r="BC25" s="421">
        <f ca="1">IF(OR(T_D_VAR[[#This Row],[Nudo Fijo]]=MID(BC$4,4,1),T_D_VAR[[#This Row],[Nudo Móvil]]=MID(BC$4,4,1)),0,MROUND(RANDBETWEEN(MinMz,MaxMz),MulMz)*RANDBETWEEN(-1,1))*IF(AND(Z25=0,AN25=0,BB25=0,BA25=0),1,0)</f>
        <v>0</v>
      </c>
      <c r="BD25" s="421">
        <f ca="1">IF(OR(T_D_VAR[[#This Row],[Nudo Fijo]]=MID(BD$4,4,1),T_D_VAR[[#This Row],[Nudo Móvil]]=MID(BD$4,4,1)),0,MROUND(RANDBETWEEN(MinMz,MaxMz),MulMz)*RANDBETWEEN(-1,1))*IF(AND(AA25=0,AO25=0,BC25=0,BB25=0),1,0)</f>
        <v>0</v>
      </c>
      <c r="BE25" s="421">
        <f ca="1">IF(OR(T_D_VAR[[#This Row],[Nudo Fijo]]=MID(BE$4,4,1),T_D_VAR[[#This Row],[Nudo Móvil]]=MID(BE$4,4,1)),0,MROUND(RANDBETWEEN(MinMz,MaxMz),MulMz)*RANDBETWEEN(-1,1))*IF(AND(AB25=0,AP25=0,BD25=0,BC25=0),1,0)</f>
        <v>0</v>
      </c>
      <c r="BF25" s="421">
        <f ca="1">IF(OR(T_D_VAR[[#This Row],[Nudo Fijo]]=MID(BF$4,4,1),T_D_VAR[[#This Row],[Nudo Móvil]]=MID(BF$4,4,1)),0,MROUND(RANDBETWEEN(MinMz,MaxMz),MulMz)*RANDBETWEEN(-1,1))*IF(AND(AC25=0,AQ25=0,BE25=0,BD25=0),1,0)</f>
        <v>40</v>
      </c>
      <c r="BG25" s="421"/>
      <c r="BH25" s="421"/>
      <c r="BI25" s="421">
        <f ca="1">IF(OR(T_D_VAR[[#This Row],[Nudo Fijo]]=MID(BI$4,4,1),T_D_VAR[[#This Row],[Nudo Móvil]]=MID(BI$4,4,1)),0,MROUND(RANDBETWEEN(MinMz,MaxMz),MulMz)*RANDBETWEEN(-1,1))*IF(AND(AF25=0,AT25=0,BH25=0,BG25=0),1,0)</f>
        <v>0</v>
      </c>
      <c r="BJ25" s="421">
        <f ca="1">IF(OR(T_D_VAR[[#This Row],[Nudo Fijo]]=MID(BJ$4,4,1),T_D_VAR[[#This Row],[Nudo Móvil]]=MID(BJ$4,4,1)),0,MROUND(RANDBETWEEN(MinMz,MaxMz),MulMz)*RANDBETWEEN(-1,1))*IF(AND(AG25=0,AU25=0,BI25=0,BH25=0),1,0)</f>
        <v>0</v>
      </c>
      <c r="BK25" s="421">
        <f ca="1">IF(OR(T_D_VAR[[#This Row],[Nudo Fijo]]=MID(BK$4,4,1),T_D_VAR[[#This Row],[Nudo Móvil]]=MID(BK$4,4,1)),0,MROUND(RANDBETWEEN(MinMz,MaxMz),MulMz)*RANDBETWEEN(-1,1))*IF(AND(AH25=0,AV25=0,BJ25=0,BI25=0),1,0)</f>
        <v>0</v>
      </c>
      <c r="BL25" s="421">
        <f ca="1">IF(OR(T_D_VAR[[#This Row],[Nudo Fijo]]=MID(BL$4,4,1),T_D_VAR[[#This Row],[Nudo Móvil]]=MID(BL$4,4,1)),0,MROUND(RANDBETWEEN(MinMz,MaxMz),MulMz)*RANDBETWEEN(-1,1))*IF(AND(AI25=0,AW25=0,BK25=0,BJ25=0),1,0)</f>
        <v>25</v>
      </c>
      <c r="BM25" s="421">
        <f ca="1">IF(OR(T_D_VAR[[#This Row],[Nudo Fijo]]=MID(BM$4,4,1),T_D_VAR[[#This Row],[Nudo Móvil]]=MID(BM$4,4,1)),0,MROUND(RANDBETWEEN(MinMz,MaxMz),MulMz)*RANDBETWEEN(-1,1))*IF(AND(AJ25=0,AX25=0,BL25=0,BK25=0),1,0)</f>
        <v>0</v>
      </c>
      <c r="BN25" s="422"/>
      <c r="BO25" s="423"/>
      <c r="BP25" s="424">
        <f ca="1">MROUND(RANDBETWEEN(MinQ,MaxQ),MulQ)*IF(AND(AM25=0,BB25=0),1,0)*
  IF(SUM(T_D_VAR[[#This Row],[Fv_A]:[Mz_O]])=0,1,RANDBETWEEN(-1,1))</f>
        <v>70</v>
      </c>
      <c r="BQ25" s="424">
        <f ca="1">IF(q_1Iguales=_OK,BP25,
  MROUND(RANDBETWEEN(MinQ,MaxQ),MulQ)*RANDBETWEEN(-1,1)*IF(AND(X25=0,Y25=0,AM25=0,AN25=0,BB25=0,BP25=0,BC25=0),1,0))</f>
        <v>70</v>
      </c>
      <c r="BR25" s="424">
        <f t="shared" ca="1" si="16"/>
        <v>-45</v>
      </c>
      <c r="BS25" s="424"/>
      <c r="BT25" s="424">
        <f t="shared" ca="1" si="17"/>
        <v>-45</v>
      </c>
      <c r="BU25" s="424">
        <f t="shared" ca="1" si="18"/>
        <v>-45</v>
      </c>
      <c r="BV25" s="424"/>
      <c r="BW25" s="424"/>
      <c r="BX25" s="424">
        <f ca="1">MROUND(RANDBETWEEN(MinQ,MaxQ),MulQ)*RANDBETWEEN(-1,1)*IF(AND(AU25=0,BJ25=0),1,0)</f>
        <v>0</v>
      </c>
      <c r="BY25" s="424">
        <f ca="1">IF(q_1Iguales=_OK,BX25,
  MROUND(RANDBETWEEN(MinQ,MaxQ),MulQ)*RANDBETWEEN(-1,1)*IF(AND(AF25=0,AG25=0,AU25=0,AV25=0,BJ25=0,BX25=0,BK25=0),1,0))</f>
        <v>0</v>
      </c>
      <c r="BZ25" s="424">
        <f ca="1">MROUND(RANDBETWEEN(MinQ,MaxQ),MulQ)*RANDBETWEEN(-1,1)*IF(AND(AW25=0,BL25=0),1,0)</f>
        <v>0</v>
      </c>
      <c r="CA25" s="424">
        <f ca="1">IF(q_1Iguales=_OK,BZ25,
  MROUND(RANDBETWEEN(MinQ,MaxQ),MulQ)*RANDBETWEEN(-1,1)*IF(AND(AH25=0,AI25=0,AW25=0,AX25=0,BL25=0,BZ25=0,BM25=0),1,0))</f>
        <v>0</v>
      </c>
      <c r="CB25" s="424">
        <f ca="1">IF(q_1Iguales=_OK,CA25,
  MROUND(RANDBETWEEN(MinQ,MaxQ),MulQ)*RANDBETWEEN(-1,1)*IF(AND(AI25=0,AJ25=0,AX25=0,AY25=0,BM25=0,CA25=0,BN25=0),1,0))</f>
        <v>0</v>
      </c>
      <c r="CC25" s="425"/>
      <c r="CD25" s="426" t="s">
        <v>645</v>
      </c>
      <c r="CE25" s="427"/>
      <c r="CF25" s="386">
        <f>1</f>
        <v>1</v>
      </c>
      <c r="CG25" s="466">
        <f>ROW()-ROW(T_D_VAR[[#Headers],[Nº]])</f>
        <v>21</v>
      </c>
    </row>
    <row r="26" spans="1:85" outlineLevel="1">
      <c r="A26" s="463" t="s">
        <v>647</v>
      </c>
      <c r="B26"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Portico-CD-DE: 5 m; 1 Pv; 1 M; (-145)</v>
      </c>
      <c r="C26" s="411"/>
      <c r="D26" s="412"/>
      <c r="E26" s="412">
        <f ca="1">IF(L_1Iguales=_OK,T_D_VAR[[#This Row],[L_DE]],MROUND(RANDBETWEEN(MinL,MaxL),MulL)/10)</f>
        <v>2.5</v>
      </c>
      <c r="F26" s="412">
        <f ca="1">MROUND(RANDBETWEEN(MinL,MaxL),MulL)/10</f>
        <v>2.5</v>
      </c>
      <c r="G26" s="412"/>
      <c r="H26" s="412"/>
      <c r="I26" s="412"/>
      <c r="J26" s="412"/>
      <c r="K26" s="412"/>
      <c r="L26" s="412"/>
      <c r="M26" s="412"/>
      <c r="N26" s="412"/>
      <c r="O26" s="412"/>
      <c r="P26" s="412"/>
      <c r="Q26" s="413">
        <v>90</v>
      </c>
      <c r="R26" s="462" t="str" cm="1">
        <f t="array" aca="1" ref="R26" ca="1">INDIRECT("OCULTOS!N"&amp;RANDBETWEEN(2,3))</f>
        <v>A Fijo</v>
      </c>
      <c r="S26" s="2" t="str">
        <f ca="1">IF(T_D_VAR[[#This Row],[Tipo]]=T_Emp,OCULTOS!H$33,OCULTOS!H$42)</f>
        <v>C</v>
      </c>
      <c r="T26" s="2" t="str">
        <f ca="1">IF(T_D_VAR[[#This Row],[Tipo]]=OCULTOS!$N$2,"",OCULTOS!H$43)</f>
        <v>E</v>
      </c>
      <c r="U26" s="2"/>
      <c r="V26" s="414"/>
      <c r="W26" s="415"/>
      <c r="X26" s="415">
        <f ca="1">IF(OR(T_D_VAR[[#This Row],[Nudo Fijo]]=MID(X$4,4,1),T_D_VAR[[#This Row],[Nudo Móvil]]=MID(X$4,4,1)),0,MROUND(RANDBETWEEN(MinFv,MaxFv),MulFv)*RANDBETWEEN(-1,1))</f>
        <v>0</v>
      </c>
      <c r="Y26" s="415">
        <f ca="1">IF(OR(T_D_VAR[[#This Row],[Nudo Fijo]]=MID(Y$4,4,1),T_D_VAR[[#This Row],[Nudo Móvil]]=MID(Y$4,4,1)),0,MROUND(RANDBETWEEN(MinFv,MaxFv),MulFv)*RANDBETWEEN(-1,1))</f>
        <v>-150</v>
      </c>
      <c r="Z26" s="415">
        <f ca="1">IF(OR(T_D_VAR[[#This Row],[Nudo Fijo]]=MID(Z$4,4,1),T_D_VAR[[#This Row],[Nudo Móvil]]=MID(Z$4,4,1)),0,MROUND(RANDBETWEEN(MinFv,MaxFv),MulFv)*RANDBETWEEN(-1,1))*IF(AND(Y26=0,X26=0),1,0)</f>
        <v>0</v>
      </c>
      <c r="AA26" s="415"/>
      <c r="AB26" s="415"/>
      <c r="AC26" s="415"/>
      <c r="AD26" s="415"/>
      <c r="AE26" s="415"/>
      <c r="AF26" s="415"/>
      <c r="AG26" s="415"/>
      <c r="AH26" s="415"/>
      <c r="AI26" s="415"/>
      <c r="AJ26" s="416"/>
      <c r="AK26" s="417"/>
      <c r="AL26" s="418"/>
      <c r="AM26" s="418">
        <f ca="1">IF(OR(T_D_VAR[[#This Row],[Nudo Fijo]]=MID(AM$4,4,1),T_D_VAR[[#This Row],[Nudo Móvil]]=MID(AM$4,4,1)),0,MROUND(RANDBETWEEN(MinFh,MaxFh),MulFh)*RANDBETWEEN(-1,1))*IF(AND(AL26=0,AK26=0),1,0)</f>
        <v>0</v>
      </c>
      <c r="AN26" s="418">
        <f ca="1">IF(OR(T_D_VAR[[#This Row],[Nudo Fijo]]=MID(AN$4,4,1),T_D_VAR[[#This Row],[Nudo Móvil]]=MID(AN$4,4,1)),0,MROUND(RANDBETWEEN(MinFh,MaxFh),MulFh)*RANDBETWEEN(-1,1))*IF(Y26=0,1,0)</f>
        <v>0</v>
      </c>
      <c r="AO26" s="418">
        <f ca="1">IF(OR(T_D_VAR[[#This Row],[Nudo Fijo]]=MID(AO$4,4,1),T_D_VAR[[#This Row],[Nudo Móvil]]=MID(AO$4,4,1)),0,MROUND(RANDBETWEEN(MinFh,MaxFh),MulFh)*RANDBETWEEN(-1,1))*IF(AND(Z26=0,AN26=0,AM26=0),1,0)</f>
        <v>0</v>
      </c>
      <c r="AP26" s="418"/>
      <c r="AQ26" s="418"/>
      <c r="AR26" s="418"/>
      <c r="AS26" s="418"/>
      <c r="AT26" s="418"/>
      <c r="AU26" s="418"/>
      <c r="AV26" s="418"/>
      <c r="AW26" s="418"/>
      <c r="AX26" s="418"/>
      <c r="AY26" s="419"/>
      <c r="AZ26" s="420"/>
      <c r="BA26" s="421"/>
      <c r="BB26" s="421">
        <f ca="1">IF(OR(T_D_VAR[[#This Row],[Nudo Fijo]]=MID(BB$4,4,1),T_D_VAR[[#This Row],[Nudo Móvil]]=MID(BB$4,4,1)),0,MROUND(RANDBETWEEN(MinMz,MaxMz),MulMz)*RANDBETWEEN(-1,1))*IF(AND(Y26=0,AM26=0,BA26=0,AZ26=0),1,0)</f>
        <v>0</v>
      </c>
      <c r="BC26" s="421">
        <f ca="1">IF(OR(T_D_VAR[[#This Row],[Nudo Fijo]]=MID(BC$4,4,1),T_D_VAR[[#This Row],[Nudo Móvil]]=MID(BC$4,4,1)),0,MROUND(RANDBETWEEN(MinMz,MaxMz),MulMz)*RANDBETWEEN(-1,1))*IF(AND(Z26=0,AN26=0,BB26=0,BA26=0),1,0)</f>
        <v>5</v>
      </c>
      <c r="BD26" s="421">
        <f ca="1">IF(OR(T_D_VAR[[#This Row],[Nudo Fijo]]=MID(BD$4,4,1),T_D_VAR[[#This Row],[Nudo Móvil]]=MID(BD$4,4,1)),0,MROUND(RANDBETWEEN(MinMz,MaxMz),MulMz)*RANDBETWEEN(-1,1))*IF(AND(AA26=0,AO26=0,BC26=0,BB26=0),1,0)</f>
        <v>0</v>
      </c>
      <c r="BE26" s="421"/>
      <c r="BF26" s="421"/>
      <c r="BG26" s="421"/>
      <c r="BH26" s="421"/>
      <c r="BI26" s="421"/>
      <c r="BJ26" s="421"/>
      <c r="BK26" s="421"/>
      <c r="BL26" s="421"/>
      <c r="BM26" s="421"/>
      <c r="BN26" s="422"/>
      <c r="BO26" s="423"/>
      <c r="BP26" s="424"/>
      <c r="BQ26" s="424">
        <f ca="1">MROUND(RANDBETWEEN(MinQ,MaxQ),MulQ)*IF(AND(AN26=0,BC26=0),1,0)*
  IF(SUM(T_D_VAR[[#This Row],[Fv_A]:[Mz_O]])=0,1,RANDBETWEEN(-1,1))</f>
        <v>0</v>
      </c>
      <c r="BR26" s="424">
        <f ca="1">IF(q_1Iguales=_OK,BQ26,MROUND(RANDBETWEEN(MinQ,MaxQ),MulQ)*RANDBETWEEN(-1,1)*IF(AND(AN26=0,BC26=0),1,0))</f>
        <v>0</v>
      </c>
      <c r="BS26" s="424"/>
      <c r="BT26" s="424"/>
      <c r="BU26" s="424"/>
      <c r="BV26" s="424"/>
      <c r="BW26" s="424"/>
      <c r="BX26" s="424"/>
      <c r="BY26" s="424"/>
      <c r="BZ26" s="424"/>
      <c r="CA26" s="424"/>
      <c r="CB26" s="424"/>
      <c r="CC26" s="425"/>
      <c r="CD26" s="426" t="s">
        <v>647</v>
      </c>
      <c r="CE26" s="427"/>
      <c r="CF26" s="386">
        <f>1</f>
        <v>1</v>
      </c>
      <c r="CG26" s="466">
        <f>ROW()-ROW(T_D_VAR[[#Headers],[Nº]])</f>
        <v>22</v>
      </c>
    </row>
    <row r="27" spans="1:85" ht="28.7" outlineLevel="1">
      <c r="A27" s="463" t="s">
        <v>636</v>
      </c>
      <c r="B27"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Portico-CDE-EFG-GJK: 11 m; 3 Pv; 1 Ph; 3 M; 4 q (430)</v>
      </c>
      <c r="C27" s="411"/>
      <c r="D27" s="412"/>
      <c r="E27" s="412">
        <f ca="1">MROUND(RANDBETWEEN(MinL,MaxL),MulL)/10</f>
        <v>2</v>
      </c>
      <c r="F27" s="412"/>
      <c r="G27" s="412">
        <f ca="1">MROUND(RANDBETWEEN(MinL,MaxL),MulL)/10</f>
        <v>2</v>
      </c>
      <c r="H27" s="412">
        <f ca="1">IF(L_1Iguales=_OK,T_D_VAR[[#This Row],[L_EF]],MROUND(RANDBETWEEN(MinL,MaxL),MulL)/10)</f>
        <v>2</v>
      </c>
      <c r="I27" s="412"/>
      <c r="J27" s="412"/>
      <c r="K27" s="412">
        <f ca="1">MROUND(RANDBETWEEN(MinL,MaxL),MulL)/10</f>
        <v>2.5</v>
      </c>
      <c r="L27" s="412">
        <f ca="1">IF(L_1Iguales=_OK,T_D_VAR[[#This Row],[L_GJ]],MROUND(RANDBETWEEN(MinL,MaxL),MulL)/10)</f>
        <v>2.5</v>
      </c>
      <c r="M27" s="412"/>
      <c r="N27" s="412"/>
      <c r="O27" s="412"/>
      <c r="P27" s="412"/>
      <c r="Q27" s="413" cm="1">
        <f t="array" aca="1" ref="Q27" ca="1">INDIRECT("Alfa_"&amp;RANDBETWEEN(1,6))</f>
        <v>30</v>
      </c>
      <c r="R27" s="462" t="str" cm="1">
        <f t="array" aca="1" ref="R27" ca="1">INDIRECT("OCULTOS!N"&amp;RANDBETWEEN(2,3))</f>
        <v>Emp.</v>
      </c>
      <c r="S27" s="2" t="str">
        <f ca="1">IF(T_D_VAR[[#This Row],[Tipo]]=T_Emp,OCULTOS!I$33,OCULTOS!I$42)</f>
        <v>K</v>
      </c>
      <c r="T27" s="2" t="str">
        <f ca="1">IF(T_D_VAR[[#This Row],[Tipo]]=OCULTOS!$N$2,"",OCULTOS!I$43)</f>
        <v/>
      </c>
      <c r="U27" s="2"/>
      <c r="V27" s="414"/>
      <c r="W27" s="415"/>
      <c r="X27" s="415">
        <f ca="1">IF(OR(T_D_VAR[[#This Row],[Nudo Fijo]]=MID(X$4,4,1),T_D_VAR[[#This Row],[Nudo Móvil]]=MID(X$4,4,1)),0,MROUND(RANDBETWEEN(MinFv,MaxFv),MulFv)*RANDBETWEEN(-1,1))</f>
        <v>250</v>
      </c>
      <c r="Y27" s="415">
        <f ca="1">IF(OR(T_D_VAR[[#This Row],[Nudo Fijo]]=MID(Y$4,4,1),T_D_VAR[[#This Row],[Nudo Móvil]]=MID(Y$4,4,1)),0,MROUND(RANDBETWEEN(MinFv,MaxFv),MulFv)*RANDBETWEEN(-1,1))</f>
        <v>-50</v>
      </c>
      <c r="Z27" s="415">
        <f ca="1">IF(OR(T_D_VAR[[#This Row],[Nudo Fijo]]=MID(Z$4,4,1),T_D_VAR[[#This Row],[Nudo Móvil]]=MID(Z$4,4,1)),0,MROUND(RANDBETWEEN(MinFv,MaxFv),MulFv)*RANDBETWEEN(-1,1))*IF(AND(Y27=0,X27=0),1,0)</f>
        <v>0</v>
      </c>
      <c r="AA27" s="415">
        <f ca="1">IF(OR(T_D_VAR[[#This Row],[Nudo Fijo]]=MID(AA$4,4,1),T_D_VAR[[#This Row],[Nudo Móvil]]=MID(AA$4,4,1)),0,MROUND(RANDBETWEEN(MinFv,MaxFv),MulFv)*RANDBETWEEN(-1,1))*IF(AND(Z27=0,Y27=0),1,0)</f>
        <v>0</v>
      </c>
      <c r="AB27" s="415">
        <f ca="1">IF(OR(T_D_VAR[[#This Row],[Nudo Fijo]]=MID(AB$4,4,1),T_D_VAR[[#This Row],[Nudo Móvil]]=MID(AB$4,4,1)),0,MROUND(RANDBETWEEN(MinFv,MaxFv),MulFv)*RANDBETWEEN(-1,1))*IF(AND(AA27=0,Z27=0),1,0)</f>
        <v>150</v>
      </c>
      <c r="AC27" s="415"/>
      <c r="AD27" s="415"/>
      <c r="AE27" s="415"/>
      <c r="AF27" s="415">
        <f ca="1">IF(OR(T_D_VAR[[#This Row],[Nudo Fijo]]=MID(AF$4,4,1),T_D_VAR[[#This Row],[Nudo Móvil]]=MID(AF$4,4,1)),0,MROUND(RANDBETWEEN(MinFv,MaxFv),MulFv)*RANDBETWEEN(-1,1))*IF(AND(AE27=0,AD27=0),1,0)</f>
        <v>0</v>
      </c>
      <c r="AG27" s="415"/>
      <c r="AH27" s="415"/>
      <c r="AI27" s="415"/>
      <c r="AJ27" s="416"/>
      <c r="AK27" s="417"/>
      <c r="AL27" s="418"/>
      <c r="AM27" s="418">
        <f ca="1">IF(OR(T_D_VAR[[#This Row],[Nudo Fijo]]=MID(AM$4,4,1),T_D_VAR[[#This Row],[Nudo Móvil]]=MID(AM$4,4,1)),0,MROUND(RANDBETWEEN(MinFh,MaxFh),MulFh)*RANDBETWEEN(-1,1))*IF(AND(AL27=0,AK27=0),1,0)</f>
        <v>-50</v>
      </c>
      <c r="AN27" s="418">
        <f ca="1">IF(OR(T_D_VAR[[#This Row],[Nudo Fijo]]=MID(AN$4,4,1),T_D_VAR[[#This Row],[Nudo Móvil]]=MID(AN$4,4,1)),0,MROUND(RANDBETWEEN(MinFh,MaxFh),MulFh)*RANDBETWEEN(-1,1))*IF(Y27=0,1,0)</f>
        <v>0</v>
      </c>
      <c r="AO27" s="418">
        <f ca="1">IF(OR(T_D_VAR[[#This Row],[Nudo Fijo]]=MID(AO$4,4,1),T_D_VAR[[#This Row],[Nudo Móvil]]=MID(AO$4,4,1)),0,MROUND(RANDBETWEEN(MinFh,MaxFh),MulFh)*RANDBETWEEN(-1,1))*IF(AND(Z27=0,AN27=0,AM27=0),1,0)</f>
        <v>0</v>
      </c>
      <c r="AP27" s="418"/>
      <c r="AQ27" s="418">
        <f ca="1">IF(OR(T_D_VAR[[#This Row],[Nudo Fijo]]=MID(AQ$4,4,1),T_D_VAR[[#This Row],[Nudo Móvil]]=MID(AQ$4,4,1)),0,MROUND(RANDBETWEEN(MinFh,MaxFh),MulFh)*RANDBETWEEN(-1,1))*IF(AND(AB27=0,AP27=0,AO27=0),1,0)</f>
        <v>0</v>
      </c>
      <c r="AR27" s="418"/>
      <c r="AS27" s="418"/>
      <c r="AT27" s="418">
        <f ca="1">IF(OR(T_D_VAR[[#This Row],[Nudo Fijo]]=MID(AT$4,4,1),T_D_VAR[[#This Row],[Nudo Móvil]]=MID(AT$4,4,1)),0,MROUND(RANDBETWEEN(MinFh,MaxFh),MulFh)*RANDBETWEEN(-1,1))*IF(AND(AE27=0,AS27=0,AR27=0),1,0)</f>
        <v>0</v>
      </c>
      <c r="AU27" s="418">
        <f ca="1">IF(OR(T_D_VAR[[#This Row],[Nudo Fijo]]=MID(AU$4,4,1),T_D_VAR[[#This Row],[Nudo Móvil]]=MID(AU$4,4,1)),0,MROUND(RANDBETWEEN(MinFh,MaxFh),MulFh)*RANDBETWEEN(-1,1))*IF(AND(AF27=0,AT27=0,AS27=0),1,0)</f>
        <v>0</v>
      </c>
      <c r="AV27" s="418"/>
      <c r="AW27" s="418"/>
      <c r="AX27" s="418"/>
      <c r="AY27" s="419"/>
      <c r="AZ27" s="420"/>
      <c r="BA27" s="421"/>
      <c r="BB27" s="421">
        <f ca="1">IF(OR(T_D_VAR[[#This Row],[Nudo Fijo]]=MID(BB$4,4,1),T_D_VAR[[#This Row],[Nudo Móvil]]=MID(BB$4,4,1)),0,MROUND(RANDBETWEEN(MinMz,MaxMz),MulMz)*RANDBETWEEN(-1,1))*IF(AND(Y27=0,AM27=0,BA27=0,AZ27=0),1,0)</f>
        <v>0</v>
      </c>
      <c r="BC27" s="421">
        <f ca="1">IF(OR(T_D_VAR[[#This Row],[Nudo Fijo]]=MID(BC$4,4,1),T_D_VAR[[#This Row],[Nudo Móvil]]=MID(BC$4,4,1)),0,MROUND(RANDBETWEEN(MinMz,MaxMz),MulMz)*RANDBETWEEN(-1,1))*IF(AND(Z27=0,AN27=0,BB27=0,BA27=0),1,0)</f>
        <v>45</v>
      </c>
      <c r="BD27" s="421">
        <f ca="1">IF(OR(T_D_VAR[[#This Row],[Nudo Fijo]]=MID(BD$4,4,1),T_D_VAR[[#This Row],[Nudo Móvil]]=MID(BD$4,4,1)),0,MROUND(RANDBETWEEN(MinMz,MaxMz),MulMz)*RANDBETWEEN(-1,1))*IF(AND(AA27=0,AO27=0,BC27=0,BB27=0),1,0)</f>
        <v>0</v>
      </c>
      <c r="BE27" s="421">
        <f ca="1">IF(OR(T_D_VAR[[#This Row],[Nudo Fijo]]=MID(BE$4,4,1),T_D_VAR[[#This Row],[Nudo Móvil]]=MID(BE$4,4,1)),0,MROUND(RANDBETWEEN(MinMz,MaxMz),MulMz)*RANDBETWEEN(-1,1))*IF(AND(AB27=0,AP27=0,BD27=0,BC27=0),1,0)</f>
        <v>0</v>
      </c>
      <c r="BF27" s="421">
        <f ca="1">IF(OR(T_D_VAR[[#This Row],[Nudo Fijo]]=MID(BF$4,4,1),T_D_VAR[[#This Row],[Nudo Móvil]]=MID(BF$4,4,1)),0,MROUND(RANDBETWEEN(MinMz,MaxMz),MulMz)*RANDBETWEEN(-1,1))*IF(AND(AC27=0,AQ27=0,BE27=0,BD27=0),1,0)</f>
        <v>40</v>
      </c>
      <c r="BG27" s="421"/>
      <c r="BH27" s="421"/>
      <c r="BI27" s="421">
        <f ca="1">IF(OR(T_D_VAR[[#This Row],[Nudo Fijo]]=MID(BI$4,4,1),T_D_VAR[[#This Row],[Nudo Móvil]]=MID(BI$4,4,1)),0,MROUND(RANDBETWEEN(MinMz,MaxMz),MulMz)*RANDBETWEEN(-1,1))*IF(AND(AF27=0,AT27=0,BH27=0,BG27=0),1,0)</f>
        <v>-25</v>
      </c>
      <c r="BJ27" s="421">
        <f ca="1">IF(OR(T_D_VAR[[#This Row],[Nudo Fijo]]=MID(BJ$4,4,1),T_D_VAR[[#This Row],[Nudo Móvil]]=MID(BJ$4,4,1)),0,MROUND(RANDBETWEEN(MinMz,MaxMz),MulMz)*RANDBETWEEN(-1,1))*IF(AND(AG27=0,AU27=0,BI27=0,BH27=0),1,0)</f>
        <v>0</v>
      </c>
      <c r="BK27" s="421"/>
      <c r="BL27" s="421"/>
      <c r="BM27" s="421"/>
      <c r="BN27" s="422"/>
      <c r="BO27" s="423"/>
      <c r="BP27" s="424"/>
      <c r="BQ27" s="424">
        <f ca="1">T_D_VAR[[#This Row],[q_CE_v]]*RANDBETWEEN(-1,1)</f>
        <v>0</v>
      </c>
      <c r="BR27" s="424">
        <f ca="1">MROUND(RANDBETWEEN(MinQ,MaxQ),MulQ)*IF(AND(AO27=0,BD27=0),1,0)*
  IF(SUM(T_D_VAR[[#This Row],[Fv_A]:[Mz_O]])=0,1,RANDBETWEEN(-1,1))</f>
        <v>120</v>
      </c>
      <c r="BS27" s="424">
        <f ca="1">MAX(ABS(T_D_VAR[[#This Row],[q_CE_h]]),ABS(T_D_VAR[[#This Row],[q_CE_v]]))*IF(T_D_VAR[[#This Row],[q_CE_v]]&lt;0,-1,1)</f>
        <v>120</v>
      </c>
      <c r="BT27" s="424">
        <f ca="1">MROUND(RANDBETWEEN(MinQ,MaxQ),MulQ)*RANDBETWEEN(-1,1)*IF(AND(AA27=0,AB27=0,AO27=0,AQ27=0,BE27=0,BR27=0,BF27=0),1,0)</f>
        <v>0</v>
      </c>
      <c r="BU27" s="424">
        <f ca="1">IF(q_1Iguales=_OK,BT27,
MROUND(RANDBETWEEN(MinQ,MaxQ),MulQ)*RANDBETWEEN(-1,1)*IF(AND(AB27=0,AC27=0,AQ27=0,AR27=0,BF27=0,BT27=0,BG27=0),1,0))</f>
        <v>0</v>
      </c>
      <c r="BV27" s="424"/>
      <c r="BW27" s="424"/>
      <c r="BX27" s="424">
        <f ca="1">MROUND(RANDBETWEEN(MinQ,MaxQ),MulQ)*RANDBETWEEN(-1,1)*IF(AND(AU27=0,BJ27=0),1,0)</f>
        <v>-85</v>
      </c>
      <c r="BY27" s="424">
        <f ca="1">IF(q_1Iguales=_OK,BX27,
  MROUND(RANDBETWEEN(MinQ,MaxQ),MulQ)*RANDBETWEEN(-1,1)*IF(AND(AF27=0,AG27=0,AU27=0,AV27=0,BJ27=0,BX27=0,BK27=0),1,0))</f>
        <v>-85</v>
      </c>
      <c r="BZ27" s="424"/>
      <c r="CA27" s="424"/>
      <c r="CB27" s="424"/>
      <c r="CC27" s="425"/>
      <c r="CD27" s="426" t="s">
        <v>636</v>
      </c>
      <c r="CE27" s="427"/>
      <c r="CF27" s="386">
        <f>1</f>
        <v>1</v>
      </c>
      <c r="CG27" s="466">
        <f>ROW()-ROW(T_D_VAR[[#Headers],[Nº]])</f>
        <v>23</v>
      </c>
    </row>
    <row r="28" spans="1:85" ht="28.7" outlineLevel="1">
      <c r="A28" s="463" t="s">
        <v>637</v>
      </c>
      <c r="B28"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Portico-CDE-EFGH-GJK: 11,5 m; 3 Pv; 2 Ph; 2 M; (-670)</v>
      </c>
      <c r="C28" s="411"/>
      <c r="D28" s="412"/>
      <c r="E28" s="412">
        <f ca="1">MROUND(RANDBETWEEN(MinL,MaxL),MulL)/10</f>
        <v>2</v>
      </c>
      <c r="F28" s="412"/>
      <c r="G28" s="412">
        <f ca="1">MROUND(RANDBETWEEN(MinL,MaxL),MulL)/10</f>
        <v>1.5</v>
      </c>
      <c r="H28" s="412">
        <f ca="1">IF(L_1Iguales=_OK,T_D_VAR[[#This Row],[L_EF]],MROUND(RANDBETWEEN(MinL,MaxL),MulL)/10)</f>
        <v>1.5</v>
      </c>
      <c r="I28" s="412">
        <f ca="1">IF(L_1Iguales=_OK,T_D_VAR[[#This Row],[L_EF]],MROUND(RANDBETWEEN(MinL,MaxL),MulL)/10)</f>
        <v>1.5</v>
      </c>
      <c r="J28" s="412"/>
      <c r="K28" s="412">
        <f ca="1">MROUND(RANDBETWEEN(MinL,MaxL),MulL)/10</f>
        <v>2.5</v>
      </c>
      <c r="L28" s="412">
        <f ca="1">IF(L_1Iguales=_OK,T_D_VAR[[#This Row],[L_GJ]],MROUND(RANDBETWEEN(MinL,MaxL),MulL)/10)</f>
        <v>2.5</v>
      </c>
      <c r="M28" s="412"/>
      <c r="N28" s="412"/>
      <c r="O28" s="412"/>
      <c r="P28" s="412"/>
      <c r="Q28" s="413" cm="1">
        <f t="array" aca="1" ref="Q28" ca="1">INDIRECT("Alfa_"&amp;RANDBETWEEN(1,6))</f>
        <v>63.43494882292201</v>
      </c>
      <c r="R28" s="462" t="str" cm="1">
        <f t="array" aca="1" ref="R28" ca="1">INDIRECT("OCULTOS!N"&amp;RANDBETWEEN(2,3))</f>
        <v>Emp.</v>
      </c>
      <c r="S28" s="2" t="str">
        <f ca="1">IF(T_D_VAR[[#This Row],[Tipo]]=T_Emp,OCULTOS!J$33,OCULTOS!J$42)</f>
        <v>H</v>
      </c>
      <c r="T28" s="2" t="str">
        <f ca="1">IF(T_D_VAR[[#This Row],[Tipo]]=OCULTOS!$N$2,"",OCULTOS!J$43)</f>
        <v/>
      </c>
      <c r="U28" s="2"/>
      <c r="V28" s="414"/>
      <c r="W28" s="415"/>
      <c r="X28" s="415">
        <f ca="1">IF(OR(T_D_VAR[[#This Row],[Nudo Fijo]]=MID(X$4,4,1),T_D_VAR[[#This Row],[Nudo Móvil]]=MID(X$4,4,1)),0,MROUND(RANDBETWEEN(MinFv,MaxFv),MulFv)*RANDBETWEEN(-1,1))</f>
        <v>-200</v>
      </c>
      <c r="Y28" s="415">
        <f ca="1">IF(OR(T_D_VAR[[#This Row],[Nudo Fijo]]=MID(Y$4,4,1),T_D_VAR[[#This Row],[Nudo Móvil]]=MID(Y$4,4,1)),0,MROUND(RANDBETWEEN(MinFv,MaxFv),MulFv)*RANDBETWEEN(-1,1))</f>
        <v>0</v>
      </c>
      <c r="Z28" s="415">
        <f ca="1">IF(OR(T_D_VAR[[#This Row],[Nudo Fijo]]=MID(Z$4,4,1),T_D_VAR[[#This Row],[Nudo Móvil]]=MID(Z$4,4,1)),0,MROUND(RANDBETWEEN(MinFv,MaxFv),MulFv)*RANDBETWEEN(-1,1))*IF(AND(Y28=0,X28=0),1,0)</f>
        <v>0</v>
      </c>
      <c r="AA28" s="415">
        <f ca="1">IF(OR(T_D_VAR[[#This Row],[Nudo Fijo]]=MID(AA$4,4,1),T_D_VAR[[#This Row],[Nudo Móvil]]=MID(AA$4,4,1)),0,MROUND(RANDBETWEEN(MinFv,MaxFv),MulFv)*RANDBETWEEN(-1,1))*IF(AND(Z28=0,Y28=0),1,0)</f>
        <v>-200</v>
      </c>
      <c r="AB28" s="415">
        <f ca="1">IF(OR(T_D_VAR[[#This Row],[Nudo Fijo]]=MID(AB$4,4,1),T_D_VAR[[#This Row],[Nudo Móvil]]=MID(AB$4,4,1)),0,MROUND(RANDBETWEEN(MinFv,MaxFv),MulFv)*RANDBETWEEN(-1,1))*IF(AND(AA28=0,Z28=0),1,0)</f>
        <v>0</v>
      </c>
      <c r="AC28" s="415">
        <f ca="1">IF(OR(T_D_VAR[[#This Row],[Nudo Fijo]]=MID(AC$4,4,1),T_D_VAR[[#This Row],[Nudo Móvil]]=MID(AC$4,4,1)),0,MROUND(RANDBETWEEN(MinFv,MaxFv),MulFv)*RANDBETWEEN(-1,1))*IF(AND(AB28=0,AA28=0),1,0)</f>
        <v>0</v>
      </c>
      <c r="AD28" s="415"/>
      <c r="AE28" s="415"/>
      <c r="AF28" s="415">
        <f ca="1">IF(OR(T_D_VAR[[#This Row],[Nudo Fijo]]=MID(AF$4,4,1),T_D_VAR[[#This Row],[Nudo Móvil]]=MID(AF$4,4,1)),0,MROUND(RANDBETWEEN(MinFv,MaxFv),MulFv)*RANDBETWEEN(-1,1))*IF(AND(AE28=0,AD28=0),1,0)</f>
        <v>-500</v>
      </c>
      <c r="AG28" s="415"/>
      <c r="AH28" s="415"/>
      <c r="AI28" s="415"/>
      <c r="AJ28" s="416"/>
      <c r="AK28" s="417"/>
      <c r="AL28" s="418"/>
      <c r="AM28" s="418">
        <f ca="1">IF(OR(T_D_VAR[[#This Row],[Nudo Fijo]]=MID(AM$4,4,1),T_D_VAR[[#This Row],[Nudo Móvil]]=MID(AM$4,4,1)),0,MROUND(RANDBETWEEN(MinFh,MaxFh),MulFh)*RANDBETWEEN(-1,1))*IF(AND(AL28=0,AK28=0),1,0)</f>
        <v>0</v>
      </c>
      <c r="AN28" s="418">
        <f ca="1">IF(OR(T_D_VAR[[#This Row],[Nudo Fijo]]=MID(AN$4,4,1),T_D_VAR[[#This Row],[Nudo Móvil]]=MID(AN$4,4,1)),0,MROUND(RANDBETWEEN(MinFh,MaxFh),MulFh)*RANDBETWEEN(-1,1))*IF(Y28=0,1,0)</f>
        <v>0</v>
      </c>
      <c r="AO28" s="418">
        <f ca="1">IF(OR(T_D_VAR[[#This Row],[Nudo Fijo]]=MID(AO$4,4,1),T_D_VAR[[#This Row],[Nudo Móvil]]=MID(AO$4,4,1)),0,MROUND(RANDBETWEEN(MinFh,MaxFh),MulFh)*RANDBETWEEN(-1,1))*IF(AND(Z28=0,AN28=0,AM28=0),1,0)</f>
        <v>200</v>
      </c>
      <c r="AP28" s="418"/>
      <c r="AQ28" s="418">
        <f ca="1">IF(OR(T_D_VAR[[#This Row],[Nudo Fijo]]=MID(AQ$4,4,1),T_D_VAR[[#This Row],[Nudo Móvil]]=MID(AQ$4,4,1)),0,MROUND(RANDBETWEEN(MinFh,MaxFh),MulFh)*RANDBETWEEN(-1,1))*IF(AND(AB28=0,AP28=0,AO28=0),1,0)</f>
        <v>0</v>
      </c>
      <c r="AR28" s="418">
        <f ca="1">IF(OR(T_D_VAR[[#This Row],[Nudo Fijo]]=MID(AR$4,4,1),T_D_VAR[[#This Row],[Nudo Móvil]]=MID(AR$4,4,1)),0,MROUND(RANDBETWEEN(MinFh,MaxFh),MulFh)*RANDBETWEEN(-1,1))*IF(AND(AC28=0,AQ28=0,AP28=0),1,0)</f>
        <v>0</v>
      </c>
      <c r="AS28" s="418"/>
      <c r="AT28" s="418">
        <f ca="1">IF(OR(T_D_VAR[[#This Row],[Nudo Fijo]]=MID(AT$4,4,1),T_D_VAR[[#This Row],[Nudo Móvil]]=MID(AT$4,4,1)),0,MROUND(RANDBETWEEN(MinFh,MaxFh),MulFh)*RANDBETWEEN(-1,1))*IF(AND(AE28=0,AS28=0,AR28=0),1,0)</f>
        <v>50</v>
      </c>
      <c r="AU28" s="418">
        <f ca="1">IF(OR(T_D_VAR[[#This Row],[Nudo Fijo]]=MID(AU$4,4,1),T_D_VAR[[#This Row],[Nudo Móvil]]=MID(AU$4,4,1)),0,MROUND(RANDBETWEEN(MinFh,MaxFh),MulFh)*RANDBETWEEN(-1,1))*IF(AND(AF28=0,AT28=0,AS28=0),1,0)</f>
        <v>0</v>
      </c>
      <c r="AV28" s="418"/>
      <c r="AW28" s="418"/>
      <c r="AX28" s="418"/>
      <c r="AY28" s="419"/>
      <c r="AZ28" s="420"/>
      <c r="BA28" s="421"/>
      <c r="BB28" s="421">
        <f ca="1">IF(OR(T_D_VAR[[#This Row],[Nudo Fijo]]=MID(BB$4,4,1),T_D_VAR[[#This Row],[Nudo Móvil]]=MID(BB$4,4,1)),0,MROUND(RANDBETWEEN(MinMz,MaxMz),MulMz)*RANDBETWEEN(-1,1))*IF(AND(Y28=0,AM28=0,BA28=0,AZ28=0),1,0)</f>
        <v>-45</v>
      </c>
      <c r="BC28" s="421">
        <f ca="1">IF(OR(T_D_VAR[[#This Row],[Nudo Fijo]]=MID(BC$4,4,1),T_D_VAR[[#This Row],[Nudo Móvil]]=MID(BC$4,4,1)),0,MROUND(RANDBETWEEN(MinMz,MaxMz),MulMz)*RANDBETWEEN(-1,1))*IF(AND(Z28=0,AN28=0,BB28=0,BA28=0),1,0)</f>
        <v>0</v>
      </c>
      <c r="BD28" s="421">
        <f ca="1">IF(OR(T_D_VAR[[#This Row],[Nudo Fijo]]=MID(BD$4,4,1),T_D_VAR[[#This Row],[Nudo Móvil]]=MID(BD$4,4,1)),0,MROUND(RANDBETWEEN(MinMz,MaxMz),MulMz)*RANDBETWEEN(-1,1))*IF(AND(AA28=0,AO28=0,BC28=0,BB28=0),1,0)</f>
        <v>0</v>
      </c>
      <c r="BE28" s="421">
        <f ca="1">IF(OR(T_D_VAR[[#This Row],[Nudo Fijo]]=MID(BE$4,4,1),T_D_VAR[[#This Row],[Nudo Móvil]]=MID(BE$4,4,1)),0,MROUND(RANDBETWEEN(MinMz,MaxMz),MulMz)*RANDBETWEEN(-1,1))*IF(AND(AB28=0,AP28=0,BD28=0,BC28=0),1,0)</f>
        <v>0</v>
      </c>
      <c r="BF28" s="421">
        <f ca="1">IF(OR(T_D_VAR[[#This Row],[Nudo Fijo]]=MID(BF$4,4,1),T_D_VAR[[#This Row],[Nudo Móvil]]=MID(BF$4,4,1)),0,MROUND(RANDBETWEEN(MinMz,MaxMz),MulMz)*RANDBETWEEN(-1,1))*IF(AND(AC28=0,AQ28=0,BE28=0,BD28=0),1,0)</f>
        <v>0</v>
      </c>
      <c r="BG28" s="421">
        <f ca="1">IF(OR(T_D_VAR[[#This Row],[Nudo Fijo]]=MID(BG$4,4,1),T_D_VAR[[#This Row],[Nudo Móvil]]=MID(BG$4,4,1)),0,MROUND(RANDBETWEEN(MinMz,MaxMz),MulMz)*RANDBETWEEN(-1,1))*IF(AND(AD28=0,AR28=0,BF28=0,BE28=0),1,0)</f>
        <v>0</v>
      </c>
      <c r="BH28" s="421"/>
      <c r="BI28" s="421">
        <f ca="1">IF(OR(T_D_VAR[[#This Row],[Nudo Fijo]]=MID(BI$4,4,1),T_D_VAR[[#This Row],[Nudo Móvil]]=MID(BI$4,4,1)),0,MROUND(RANDBETWEEN(MinMz,MaxMz),MulMz)*RANDBETWEEN(-1,1))*IF(AND(AF28=0,AT28=0,BH28=0,BG28=0),1,0)</f>
        <v>0</v>
      </c>
      <c r="BJ28" s="421">
        <f ca="1">IF(OR(T_D_VAR[[#This Row],[Nudo Fijo]]=MID(BJ$4,4,1),T_D_VAR[[#This Row],[Nudo Móvil]]=MID(BJ$4,4,1)),0,MROUND(RANDBETWEEN(MinMz,MaxMz),MulMz)*RANDBETWEEN(-1,1))*IF(AND(AG28=0,AU28=0,BI28=0,BH28=0),1,0)</f>
        <v>25</v>
      </c>
      <c r="BK28" s="421"/>
      <c r="BL28" s="421"/>
      <c r="BM28" s="421"/>
      <c r="BN28" s="422"/>
      <c r="BO28" s="423"/>
      <c r="BP28" s="424"/>
      <c r="BQ28" s="424">
        <f ca="1">T_D_VAR[[#This Row],[q_CE_v]]*RANDBETWEEN(-1,1)</f>
        <v>0</v>
      </c>
      <c r="BR28" s="424">
        <f ca="1">MROUND(RANDBETWEEN(MinQ,MaxQ),MulQ)*IF(AND(AO28=0,BD28=0),1,0)*
  IF(SUM(T_D_VAR[[#This Row],[Fv_A]:[Mz_O]])=0,1,RANDBETWEEN(-1,1))</f>
        <v>0</v>
      </c>
      <c r="BS28" s="424">
        <f ca="1">MAX(ABS(T_D_VAR[[#This Row],[q_CE_h]]),ABS(T_D_VAR[[#This Row],[q_CE_v]]))*IF(T_D_VAR[[#This Row],[q_CE_v]]&lt;0,-1,1)</f>
        <v>0</v>
      </c>
      <c r="BT28" s="424">
        <f ca="1">MROUND(RANDBETWEEN(MinQ,MaxQ),MulQ)*RANDBETWEEN(-1,1)*IF(AND(AA28=0,AB28=0,AO28=0,AQ28=0,BE28=0,BR28=0,BF28=0),1,0)</f>
        <v>0</v>
      </c>
      <c r="BU28" s="424">
        <f ca="1">IF(q_1Iguales=_OK,BT28,
MROUND(RANDBETWEEN(MinQ,MaxQ),MulQ)*RANDBETWEEN(-1,1)*IF(AND(AB28=0,AC28=0,AQ28=0,AR28=0,BF28=0,BT28=0,BG28=0),1,0))</f>
        <v>0</v>
      </c>
      <c r="BV28" s="424">
        <f ca="1">IF(q_1Iguales=_OK,BU28,
MROUND(RANDBETWEEN(MinQ,MaxQ),MulQ)*RANDBETWEEN(-1,1)*IF(AND(AC28=0,AR28=0,BG28=0,BU28=0),1,0))</f>
        <v>0</v>
      </c>
      <c r="BW28" s="424"/>
      <c r="BX28" s="424">
        <f ca="1">MROUND(RANDBETWEEN(MinQ,MaxQ),MulQ)*RANDBETWEEN(-1,1)*IF(AND(AU28=0,BJ28=0),1,0)</f>
        <v>0</v>
      </c>
      <c r="BY28" s="424">
        <f ca="1">IF(q_1Iguales=_OK,BX28,
  MROUND(RANDBETWEEN(MinQ,MaxQ),MulQ)*RANDBETWEEN(-1,1)*IF(AND(AF28=0,AG28=0,AV28=0,BJ28=0,BX28=0),1,0))</f>
        <v>0</v>
      </c>
      <c r="BZ28" s="424"/>
      <c r="CA28" s="424"/>
      <c r="CB28" s="424"/>
      <c r="CC28" s="425"/>
      <c r="CD28" s="426" t="s">
        <v>637</v>
      </c>
      <c r="CE28" s="427"/>
      <c r="CF28" s="386">
        <f>1</f>
        <v>1</v>
      </c>
      <c r="CG28" s="466">
        <f>ROW()-ROW(T_D_VAR[[#Headers],[Nº]])</f>
        <v>24</v>
      </c>
    </row>
    <row r="29" spans="1:85" ht="28.7" outlineLevel="1">
      <c r="A29" s="463" t="s">
        <v>677</v>
      </c>
      <c r="B29"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Portico-CDE-EFG-GJK-KLM: 9 m; 3 Pv; 2 Ph; 2 M; 2 q (-95)</v>
      </c>
      <c r="C29" s="411"/>
      <c r="D29" s="412"/>
      <c r="E29" s="412">
        <f ca="1">MROUND(RANDBETWEEN(MinL,MaxL),MulL)/10</f>
        <v>1</v>
      </c>
      <c r="F29" s="412"/>
      <c r="G29" s="412">
        <f ca="1">MROUND(RANDBETWEEN(MinL,MaxL),MulL)/10</f>
        <v>1</v>
      </c>
      <c r="H29" s="412">
        <f ca="1">IF(L_1Iguales=_OK,T_D_VAR[[#This Row],[L_EF]],MROUND(RANDBETWEEN(MinL,MaxL),MulL)/10)</f>
        <v>1</v>
      </c>
      <c r="I29" s="412"/>
      <c r="J29" s="412"/>
      <c r="K29" s="412">
        <f ca="1">MROUND(RANDBETWEEN(MinL,MaxL),MulL)/10</f>
        <v>0.5</v>
      </c>
      <c r="L29" s="412">
        <f ca="1">IF(L_1Iguales=_OK,T_D_VAR[[#This Row],[L_GJ]],MROUND(RANDBETWEEN(MinL,MaxL),MulL)/10)</f>
        <v>0.5</v>
      </c>
      <c r="M29" s="412">
        <f ca="1">MROUND(RANDBETWEEN(MinL,MaxL),MulL)/10</f>
        <v>2.5</v>
      </c>
      <c r="N29" s="412">
        <f ca="1">IF(L_1Iguales=_OK,T_D_VAR[[#This Row],[L_KL]],MROUND(RANDBETWEEN(MinL,MaxL),MulL)/10)</f>
        <v>2.5</v>
      </c>
      <c r="O29" s="412"/>
      <c r="P29" s="412"/>
      <c r="Q29" s="413" cm="1">
        <f t="array" aca="1" ref="Q29" ca="1">INDIRECT("Alfa_"&amp;RANDBETWEEN(1,6))</f>
        <v>45</v>
      </c>
      <c r="R29" s="462" t="str" cm="1">
        <f t="array" aca="1" ref="R29" ca="1">INDIRECT("OCULTOS!N"&amp;RANDBETWEEN(2,3))</f>
        <v>A Fijo</v>
      </c>
      <c r="S29" s="2" t="str">
        <f ca="1">IF(T_D_VAR[[#This Row],[Tipo]]=T_Emp,OCULTOS!K$33,OCULTOS!K$42)</f>
        <v>C</v>
      </c>
      <c r="T29" s="2" t="str">
        <f ca="1">IF(T_D_VAR[[#This Row],[Tipo]]=OCULTOS!$N$2,"",OCULTOS!K$43)</f>
        <v>M</v>
      </c>
      <c r="U29" s="2"/>
      <c r="V29" s="414"/>
      <c r="W29" s="415"/>
      <c r="X29" s="415">
        <f ca="1">IF(OR(T_D_VAR[[#This Row],[Nudo Fijo]]=MID(X$4,4,1),T_D_VAR[[#This Row],[Nudo Móvil]]=MID(X$4,4,1)),0,MROUND(RANDBETWEEN(MinFv,MaxFv),MulFv)*RANDBETWEEN(-1,1))</f>
        <v>0</v>
      </c>
      <c r="Y29" s="415">
        <f ca="1">IF(OR(T_D_VAR[[#This Row],[Nudo Fijo]]=MID(Y$4,4,1),T_D_VAR[[#This Row],[Nudo Móvil]]=MID(Y$4,4,1)),0,MROUND(RANDBETWEEN(MinFv,MaxFv),MulFv)*RANDBETWEEN(-1,1))</f>
        <v>-350</v>
      </c>
      <c r="Z29" s="415">
        <f ca="1">IF(OR(T_D_VAR[[#This Row],[Nudo Fijo]]=MID(Z$4,4,1),T_D_VAR[[#This Row],[Nudo Móvil]]=MID(Z$4,4,1)),0,MROUND(RANDBETWEEN(MinFv,MaxFv),MulFv)*RANDBETWEEN(-1,1))*IF(AND(Y29=0,X29=0),1,0)</f>
        <v>0</v>
      </c>
      <c r="AA29" s="415">
        <f ca="1">IF(OR(T_D_VAR[[#This Row],[Nudo Fijo]]=MID(AA$4,4,1),T_D_VAR[[#This Row],[Nudo Móvil]]=MID(AA$4,4,1)),0,MROUND(RANDBETWEEN(MinFv,MaxFv),MulFv)*RANDBETWEEN(-1,1))*IF(AND(Z29=0,Y29=0),1,0)</f>
        <v>0</v>
      </c>
      <c r="AB29" s="415">
        <f ca="1">IF(OR(T_D_VAR[[#This Row],[Nudo Fijo]]=MID(AB$4,4,1),T_D_VAR[[#This Row],[Nudo Móvil]]=MID(AB$4,4,1)),0,MROUND(RANDBETWEEN(MinFv,MaxFv),MulFv)*RANDBETWEEN(-1,1))*IF(AND(AA29=0,Z29=0),1,0)</f>
        <v>400</v>
      </c>
      <c r="AC29" s="415"/>
      <c r="AD29" s="415"/>
      <c r="AE29" s="415"/>
      <c r="AF29" s="415">
        <f ca="1">IF(OR(T_D_VAR[[#This Row],[Nudo Fijo]]=MID(AF$4,4,1),T_D_VAR[[#This Row],[Nudo Móvil]]=MID(AF$4,4,1)),0,MROUND(RANDBETWEEN(MinFv,MaxFv),MulFv)*RANDBETWEEN(-1,1))*IF(AND(AE29=0,AD29=0),1,0)</f>
        <v>-350</v>
      </c>
      <c r="AG29" s="415">
        <f ca="1">IF(OR(T_D_VAR[[#This Row],[Nudo Fijo]]=MID(AG$4,4,1),T_D_VAR[[#This Row],[Nudo Móvil]]=MID(AG$4,4,1)),0,MROUND(RANDBETWEEN(MinFv,MaxFv),MulFv)*RANDBETWEEN(-1,1))*IF(AND(AF29=0,AE29=0),1,0)</f>
        <v>0</v>
      </c>
      <c r="AH29" s="415">
        <f ca="1">IF(OR(T_D_VAR[[#This Row],[Nudo Fijo]]=MID(AH$4,4,1),T_D_VAR[[#This Row],[Nudo Móvil]]=MID(AH$4,4,1)),0,MROUND(RANDBETWEEN(MinFv,MaxFv),MulFv)*RANDBETWEEN(-1,1))*IF(AND(AG29=0,AF29=0),1,0)</f>
        <v>0</v>
      </c>
      <c r="AI29" s="415"/>
      <c r="AJ29" s="416"/>
      <c r="AK29" s="417"/>
      <c r="AL29" s="418"/>
      <c r="AM29" s="418">
        <f ca="1">IF(OR(T_D_VAR[[#This Row],[Nudo Fijo]]=MID(AM$4,4,1),T_D_VAR[[#This Row],[Nudo Móvil]]=MID(AM$4,4,1)),0,MROUND(RANDBETWEEN(MinFh,MaxFh),MulFh)*RANDBETWEEN(-1,1))*IF(AND(AL29=0,AK29=0),1,0)</f>
        <v>0</v>
      </c>
      <c r="AN29" s="418">
        <f ca="1">IF(OR(T_D_VAR[[#This Row],[Nudo Fijo]]=MID(AN$4,4,1),T_D_VAR[[#This Row],[Nudo Móvil]]=MID(AN$4,4,1)),0,MROUND(RANDBETWEEN(MinFh,MaxFh),MulFh)*RANDBETWEEN(-1,1))*IF(Y29=0,1,0)</f>
        <v>0</v>
      </c>
      <c r="AO29" s="418">
        <f ca="1">IF(OR(T_D_VAR[[#This Row],[Nudo Fijo]]=MID(AO$4,4,1),T_D_VAR[[#This Row],[Nudo Móvil]]=MID(AO$4,4,1)),0,MROUND(RANDBETWEEN(MinFh,MaxFh),MulFh)*RANDBETWEEN(-1,1))*IF(AND(Z29=0,AN29=0,AM29=0),1,0)</f>
        <v>150</v>
      </c>
      <c r="AP29" s="418"/>
      <c r="AQ29" s="418">
        <f ca="1">IF(OR(T_D_VAR[[#This Row],[Nudo Fijo]]=MID(AQ$4,4,1),T_D_VAR[[#This Row],[Nudo Móvil]]=MID(AQ$4,4,1)),0,MROUND(RANDBETWEEN(MinFh,MaxFh),MulFh)*RANDBETWEEN(-1,1))*IF(AND(AB29=0,AP29=0,AO29=0),1,0)</f>
        <v>0</v>
      </c>
      <c r="AR29" s="418"/>
      <c r="AS29" s="418"/>
      <c r="AT29" s="418">
        <f ca="1">IF(OR(T_D_VAR[[#This Row],[Nudo Fijo]]=MID(AT$4,4,1),T_D_VAR[[#This Row],[Nudo Móvil]]=MID(AT$4,4,1)),0,MROUND(RANDBETWEEN(MinFh,MaxFh),MulFh)*RANDBETWEEN(-1,1))*IF(AND(AE29=0,AS29=0,AR29=0),1,0)</f>
        <v>200</v>
      </c>
      <c r="AU29" s="418">
        <f ca="1">IF(OR(T_D_VAR[[#This Row],[Nudo Fijo]]=MID(AU$4,4,1),T_D_VAR[[#This Row],[Nudo Móvil]]=MID(AU$4,4,1)),0,MROUND(RANDBETWEEN(MinFh,MaxFh),MulFh)*RANDBETWEEN(-1,1))*IF(AND(AF29=0,AT29=0,AS29=0),1,0)</f>
        <v>0</v>
      </c>
      <c r="AV29" s="418"/>
      <c r="AW29" s="418">
        <f ca="1">IF(OR(T_D_VAR[[#This Row],[Nudo Fijo]]=MID(AW$4,4,1),T_D_VAR[[#This Row],[Nudo Móvil]]=MID(AW$4,4,1)),0,MROUND(RANDBETWEEN(MinFh,MaxFh),MulFh)*RANDBETWEEN(-1,1))*IF(AND(AH29=0,AV29=0,AU29=0),1,0)</f>
        <v>0</v>
      </c>
      <c r="AX29" s="418"/>
      <c r="AY29" s="419"/>
      <c r="AZ29" s="420"/>
      <c r="BA29" s="421"/>
      <c r="BB29" s="421">
        <f ca="1">IF(OR(T_D_VAR[[#This Row],[Nudo Fijo]]=MID(BB$4,4,1),T_D_VAR[[#This Row],[Nudo Móvil]]=MID(BB$4,4,1)),0,MROUND(RANDBETWEEN(MinMz,MaxMz),MulMz)*RANDBETWEEN(-1,1))*IF(AND(Y29=0,AM29=0,BA29=0,AZ29=0),1,0)</f>
        <v>0</v>
      </c>
      <c r="BC29" s="421">
        <f ca="1">IF(OR(T_D_VAR[[#This Row],[Nudo Fijo]]=MID(BC$4,4,1),T_D_VAR[[#This Row],[Nudo Móvil]]=MID(BC$4,4,1)),0,MROUND(RANDBETWEEN(MinMz,MaxMz),MulMz)*RANDBETWEEN(-1,1))*IF(AND(Z29=0,AN29=0,BB29=0,BA29=0),1,0)</f>
        <v>0</v>
      </c>
      <c r="BD29" s="421">
        <f ca="1">IF(OR(T_D_VAR[[#This Row],[Nudo Fijo]]=MID(BD$4,4,1),T_D_VAR[[#This Row],[Nudo Móvil]]=MID(BD$4,4,1)),0,MROUND(RANDBETWEEN(MinMz,MaxMz),MulMz)*RANDBETWEEN(-1,1))*IF(AND(AA29=0,AO29=0,BC29=0,BB29=0),1,0)</f>
        <v>0</v>
      </c>
      <c r="BE29" s="421">
        <f ca="1">IF(OR(T_D_VAR[[#This Row],[Nudo Fijo]]=MID(BE$4,4,1),T_D_VAR[[#This Row],[Nudo Móvil]]=MID(BE$4,4,1)),0,MROUND(RANDBETWEEN(MinMz,MaxMz),MulMz)*RANDBETWEEN(-1,1))*IF(AND(AB29=0,AP29=0,BD29=0,BC29=0),1,0)</f>
        <v>0</v>
      </c>
      <c r="BF29" s="421">
        <f ca="1">IF(OR(T_D_VAR[[#This Row],[Nudo Fijo]]=MID(BF$4,4,1),T_D_VAR[[#This Row],[Nudo Móvil]]=MID(BF$4,4,1)),0,MROUND(RANDBETWEEN(MinMz,MaxMz),MulMz)*RANDBETWEEN(-1,1))*IF(AND(AC29=0,AQ29=0,BE29=0,BD29=0),1,0)</f>
        <v>-30</v>
      </c>
      <c r="BG29" s="421"/>
      <c r="BH29" s="421"/>
      <c r="BI29" s="421">
        <f ca="1">IF(OR(T_D_VAR[[#This Row],[Nudo Fijo]]=MID(BI$4,4,1),T_D_VAR[[#This Row],[Nudo Móvil]]=MID(BI$4,4,1)),0,MROUND(RANDBETWEEN(MinMz,MaxMz),MulMz)*RANDBETWEEN(-1,1))*IF(AND(AF29=0,AT29=0,BH29=0,BG29=0),1,0)</f>
        <v>0</v>
      </c>
      <c r="BJ29" s="421">
        <f ca="1">IF(OR(T_D_VAR[[#This Row],[Nudo Fijo]]=MID(BJ$4,4,1),T_D_VAR[[#This Row],[Nudo Móvil]]=MID(BJ$4,4,1)),0,MROUND(RANDBETWEEN(MinMz,MaxMz),MulMz)*RANDBETWEEN(-1,1))*IF(AND(AG29=0,AU29=0,BI29=0,BH29=0),1,0)</f>
        <v>0</v>
      </c>
      <c r="BK29" s="421">
        <f ca="1">IF(OR(T_D_VAR[[#This Row],[Nudo Fijo]]=MID(BK$4,4,1),T_D_VAR[[#This Row],[Nudo Móvil]]=MID(BK$4,4,1)),0,MROUND(RANDBETWEEN(MinMz,MaxMz),MulMz)*RANDBETWEEN(-1,1))*IF(AND(AH29=0,AV29=0,BJ29=0,BI29=0),1,0)</f>
        <v>5</v>
      </c>
      <c r="BL29" s="421">
        <f ca="1">IF(OR(T_D_VAR[[#This Row],[Nudo Fijo]]=MID(BL$4,4,1),T_D_VAR[[#This Row],[Nudo Móvil]]=MID(BL$4,4,1)),0,MROUND(RANDBETWEEN(MinMz,MaxMz),MulMz)*RANDBETWEEN(-1,1))*IF(AND(AI29=0,AW29=0,BK29=0,BJ29=0),1,0)</f>
        <v>0</v>
      </c>
      <c r="BM29" s="421"/>
      <c r="BN29" s="422"/>
      <c r="BO29" s="423"/>
      <c r="BP29" s="424"/>
      <c r="BQ29" s="424">
        <f ca="1">T_D_VAR[[#This Row],[q_CE_v]]*RANDBETWEEN(-1,1)</f>
        <v>0</v>
      </c>
      <c r="BR29" s="424">
        <f ca="1">MROUND(RANDBETWEEN(MinQ,MaxQ),MulQ)*IF(AND(AO29=0,BD29=0),1,0)*
  IF(SUM(T_D_VAR[[#This Row],[Fv_A]:[Mz_O]])=0,1,RANDBETWEEN(-1,1))</f>
        <v>0</v>
      </c>
      <c r="BS29" s="424">
        <f ca="1">MAX(ABS(T_D_VAR[[#This Row],[q_CE_h]]),ABS(T_D_VAR[[#This Row],[q_CE_v]]))*IF(T_D_VAR[[#This Row],[q_CE_v]]&lt;0,-1,1)</f>
        <v>0</v>
      </c>
      <c r="BT29" s="424">
        <f ca="1">MROUND(RANDBETWEEN(MinQ,MaxQ),MulQ)*RANDBETWEEN(-1,1)*IF(AND(AA29=0,AB29=0,AO29=0,AQ29=0,BE29=0,BR29=0,BF29=0),1,0)</f>
        <v>0</v>
      </c>
      <c r="BU29" s="424">
        <f ca="1">IF(q_1Iguales=_OK,BT29,
MROUND(RANDBETWEEN(MinQ,MaxQ),MulQ)*RANDBETWEEN(-1,1)*IF(AND(AB29=0,AC29=0,AQ29=0,AR29=0,BF29=0,BT29=0,BG29=0),1,0))</f>
        <v>0</v>
      </c>
      <c r="BV29" s="424"/>
      <c r="BW29" s="424"/>
      <c r="BX29" s="424">
        <f ca="1">MROUND(RANDBETWEEN(MinQ,MaxQ),MulQ)*RANDBETWEEN(-1,1)*IF(AND(AU29=0,BJ29=0),1,0)</f>
        <v>-60</v>
      </c>
      <c r="BY29" s="424">
        <f ca="1">IF(q_1Iguales=_OK,BX29,
  MROUND(RANDBETWEEN(MinQ,MaxQ),MulQ)*RANDBETWEEN(-1,1)*IF(AND(AF29=0,AG29=0,AU29=0,AV29=0,BJ29=0,BX29=0,BK29=0),1,0))</f>
        <v>-60</v>
      </c>
      <c r="BZ29" s="424">
        <f ca="1">MROUND(RANDBETWEEN(MinQ,MaxQ),MulQ)*RANDBETWEEN(-1,1)*IF(AND(AW29=0,BL29=0),1,0)</f>
        <v>0</v>
      </c>
      <c r="CA29" s="424">
        <f ca="1">IF(q_1Iguales=_OK,BZ29,
  MROUND(RANDBETWEEN(MinQ,MaxQ),MulQ)*RANDBETWEEN(-1,1)*IF(AND(AH29=0,AI29=0,AW29=0,AX29=0,BL29=0),1,0))</f>
        <v>0</v>
      </c>
      <c r="CB29" s="424"/>
      <c r="CC29" s="425"/>
      <c r="CD29" s="426" t="s">
        <v>677</v>
      </c>
      <c r="CE29" s="427"/>
      <c r="CF29" s="386">
        <f>1</f>
        <v>1</v>
      </c>
      <c r="CG29" s="466">
        <f>ROW()-ROW(T_D_VAR[[#Headers],[Nº]])</f>
        <v>25</v>
      </c>
    </row>
    <row r="30" spans="1:85" ht="28.7" outlineLevel="1">
      <c r="A30" s="463" t="s">
        <v>639</v>
      </c>
      <c r="B30" s="410"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Portico-EFG-GJK-KLM-MO: 16,5 m; 2 Pv; 3 Ph; 1 M; (310)</v>
      </c>
      <c r="C30" s="411"/>
      <c r="D30" s="412"/>
      <c r="E30" s="412"/>
      <c r="F30" s="412"/>
      <c r="G30" s="412">
        <f ca="1">MROUND(RANDBETWEEN(MinL,MaxL),MulL)/10</f>
        <v>3</v>
      </c>
      <c r="H30" s="412">
        <f ca="1">IF(L_1Iguales=_OK,T_D_VAR[[#This Row],[L_EF]],MROUND(RANDBETWEEN(MinL,MaxL),MulL)/10)</f>
        <v>3</v>
      </c>
      <c r="I30" s="412"/>
      <c r="J30" s="412"/>
      <c r="K30" s="412">
        <f ca="1">MROUND(RANDBETWEEN(MinL,MaxL),MulL)/10</f>
        <v>2.5</v>
      </c>
      <c r="L30" s="412">
        <f ca="1">IF(L_1Iguales=_OK,T_D_VAR[[#This Row],[L_GJ]],MROUND(RANDBETWEEN(MinL,MaxL),MulL)/10)</f>
        <v>2.5</v>
      </c>
      <c r="M30" s="412">
        <f ca="1">MROUND(RANDBETWEEN(MinL,MaxL),MulL)/10</f>
        <v>1.5</v>
      </c>
      <c r="N30" s="412">
        <f ca="1">IF(L_1Iguales=_OK,T_D_VAR[[#This Row],[L_KL]],MROUND(RANDBETWEEN(MinL,MaxL),MulL)/10)</f>
        <v>1.5</v>
      </c>
      <c r="O30" s="412"/>
      <c r="P30" s="412">
        <f ca="1">MROUND(RANDBETWEEN(MinL,MaxL),MulL)/10</f>
        <v>2.5</v>
      </c>
      <c r="Q30" s="413"/>
      <c r="R30" s="462" t="str" cm="1">
        <f t="array" aca="1" ref="R30" ca="1">INDIRECT("OCULTOS!N"&amp;RANDBETWEEN(2,3))</f>
        <v>A Fijo</v>
      </c>
      <c r="S30" s="2" t="str">
        <f ca="1">IF(T_D_VAR[[#This Row],[Tipo]]=T_Emp,OCULTOS!L$33,OCULTOS!L$42)</f>
        <v>F</v>
      </c>
      <c r="T30" s="2" t="str">
        <f ca="1">IF(T_D_VAR[[#This Row],[Tipo]]=OCULTOS!$N$2,"",OCULTOS!L$43)</f>
        <v>O</v>
      </c>
      <c r="U30" s="2"/>
      <c r="V30" s="414"/>
      <c r="W30" s="415"/>
      <c r="X30" s="415"/>
      <c r="Y30" s="415"/>
      <c r="Z30" s="415">
        <f ca="1">IF(OR(T_D_VAR[[#This Row],[Nudo Fijo]]=MID(Z$4,4,1),T_D_VAR[[#This Row],[Nudo Móvil]]=MID(Z$4,4,1)),0,MROUND(RANDBETWEEN(MinFv,MaxFv),MulFv)*RANDBETWEEN(-1,1))*IF(AND(Y30=0,X30=0),1,0)</f>
        <v>100</v>
      </c>
      <c r="AA30" s="415">
        <f ca="1">IF(OR(T_D_VAR[[#This Row],[Nudo Fijo]]=MID(AA$4,4,1),T_D_VAR[[#This Row],[Nudo Móvil]]=MID(AA$4,4,1)),0,MROUND(RANDBETWEEN(MinFv,MaxFv),MulFv)*RANDBETWEEN(-1,1))*IF(AND(Z30=0,Y30=0),1,0)</f>
        <v>0</v>
      </c>
      <c r="AB30" s="415">
        <f ca="1">IF(OR(T_D_VAR[[#This Row],[Nudo Fijo]]=MID(AB$4,4,1),T_D_VAR[[#This Row],[Nudo Móvil]]=MID(AB$4,4,1)),0,MROUND(RANDBETWEEN(MinFv,MaxFv),MulFv)*RANDBETWEEN(-1,1))*IF(AND(AA30=0,Z30=0),1,0)</f>
        <v>0</v>
      </c>
      <c r="AC30" s="415"/>
      <c r="AD30" s="415"/>
      <c r="AE30" s="415"/>
      <c r="AF30" s="415">
        <f ca="1">IF(OR(T_D_VAR[[#This Row],[Nudo Fijo]]=MID(AF$4,4,1),T_D_VAR[[#This Row],[Nudo Móvil]]=MID(AF$4,4,1)),0,MROUND(RANDBETWEEN(MinFv,MaxFv),MulFv)*RANDBETWEEN(-1,1))*IF(AND(AE30=0,AD30=0),1,0)</f>
        <v>100</v>
      </c>
      <c r="AG30" s="415">
        <f ca="1">IF(OR(T_D_VAR[[#This Row],[Nudo Fijo]]=MID(AG$4,4,1),T_D_VAR[[#This Row],[Nudo Móvil]]=MID(AG$4,4,1)),0,MROUND(RANDBETWEEN(MinFv,MaxFv),MulFv)*RANDBETWEEN(-1,1))*IF(AND(AF30=0,AE30=0),1,0)</f>
        <v>0</v>
      </c>
      <c r="AH30" s="415">
        <f ca="1">IF(OR(T_D_VAR[[#This Row],[Nudo Fijo]]=MID(AH$4,4,1),T_D_VAR[[#This Row],[Nudo Móvil]]=MID(AH$4,4,1)),0,MROUND(RANDBETWEEN(MinFv,MaxFv),MulFv)*RANDBETWEEN(-1,1))*IF(AND(AG30=0,AF30=0),1,0)</f>
        <v>0</v>
      </c>
      <c r="AI30" s="415"/>
      <c r="AJ30" s="416">
        <f ca="1">IF(OR(T_D_VAR[[#This Row],[Nudo Fijo]]=MID(AJ$4,4,1),T_D_VAR[[#This Row],[Nudo Móvil]]=MID(AJ$4,4,1)),0,MROUND(RANDBETWEEN(MinFv,MaxFv),MulFv)*RANDBETWEEN(-1,1))*IF(AND(AI30=0,AH30=0),1,0)</f>
        <v>0</v>
      </c>
      <c r="AK30" s="417"/>
      <c r="AL30" s="418"/>
      <c r="AM30" s="418"/>
      <c r="AN30" s="418"/>
      <c r="AO30" s="418">
        <f ca="1">IF(OR(T_D_VAR[[#This Row],[Nudo Fijo]]=MID(AO$4,4,1),T_D_VAR[[#This Row],[Nudo Móvil]]=MID(AO$4,4,1)),0,MROUND(RANDBETWEEN(MinFh,MaxFh),MulFh)*RANDBETWEEN(-1,1))*IF(AND(Z30=0,AN30=0,AM30=0),1,0)</f>
        <v>0</v>
      </c>
      <c r="AP30" s="418"/>
      <c r="AQ30" s="418">
        <f ca="1">IF(OR(T_D_VAR[[#This Row],[Nudo Fijo]]=MID(AQ$4,4,1),T_D_VAR[[#This Row],[Nudo Móvil]]=MID(AQ$4,4,1)),0,MROUND(RANDBETWEEN(MinFh,MaxFh),MulFh)*RANDBETWEEN(-1,1))*IF(AND(AB30=0,AP30=0,AO30=0),1,0)</f>
        <v>-100</v>
      </c>
      <c r="AR30" s="418"/>
      <c r="AS30" s="418"/>
      <c r="AT30" s="418">
        <f ca="1">IF(OR(T_D_VAR[[#This Row],[Nudo Fijo]]=MID(AT$4,4,1),T_D_VAR[[#This Row],[Nudo Móvil]]=MID(AT$4,4,1)),0,MROUND(RANDBETWEEN(MinFh,MaxFh),MulFh)*RANDBETWEEN(-1,1))*IF(AND(AE30=0,AS30=0,AR30=0),1,0)</f>
        <v>100</v>
      </c>
      <c r="AU30" s="418">
        <f ca="1">IF(OR(T_D_VAR[[#This Row],[Nudo Fijo]]=MID(AU$4,4,1),T_D_VAR[[#This Row],[Nudo Móvil]]=MID(AU$4,4,1)),0,MROUND(RANDBETWEEN(MinFh,MaxFh),MulFh)*RANDBETWEEN(-1,1))*IF(AND(AF30=0,AT30=0,AS30=0),1,0)</f>
        <v>0</v>
      </c>
      <c r="AV30" s="418"/>
      <c r="AW30" s="418">
        <f ca="1">IF(OR(T_D_VAR[[#This Row],[Nudo Fijo]]=MID(AW$4,4,1),T_D_VAR[[#This Row],[Nudo Móvil]]=MID(AW$4,4,1)),0,MROUND(RANDBETWEEN(MinFh,MaxFh),MulFh)*RANDBETWEEN(-1,1))*IF(AND(AH30=0,AV30=0,AU30=0),1,0)</f>
        <v>150</v>
      </c>
      <c r="AX30" s="418"/>
      <c r="AY30" s="419">
        <f ca="1">IF(OR(T_D_VAR[[#This Row],[Nudo Fijo]]=MID(AY$4,4,1),T_D_VAR[[#This Row],[Nudo Móvil]]=MID(AY$4,4,1)),0,MROUND(RANDBETWEEN(MinFh,MaxFh),MulFh)*RANDBETWEEN(-1,1))*IF(AND(AJ30=0,AX30=0,AW30=0),1,0)</f>
        <v>0</v>
      </c>
      <c r="AZ30" s="420"/>
      <c r="BA30" s="421"/>
      <c r="BB30" s="421"/>
      <c r="BC30" s="421"/>
      <c r="BD30" s="421">
        <f ca="1">IF(OR(T_D_VAR[[#This Row],[Nudo Fijo]]=MID(BD$4,4,1),T_D_VAR[[#This Row],[Nudo Móvil]]=MID(BD$4,4,1)),0,MROUND(RANDBETWEEN(MinMz,MaxMz),MulMz)*RANDBETWEEN(-1,1))*IF(AND(AA30=0,AO30=0,BC30=0,BB30=0),1,0)</f>
        <v>0</v>
      </c>
      <c r="BE30" s="421">
        <f ca="1">IF(OR(T_D_VAR[[#This Row],[Nudo Fijo]]=MID(BE$4,4,1),T_D_VAR[[#This Row],[Nudo Móvil]]=MID(BE$4,4,1)),0,MROUND(RANDBETWEEN(MinMz,MaxMz),MulMz)*RANDBETWEEN(-1,1))*IF(AND(AB30=0,AP30=0,BD30=0,BC30=0),1,0)</f>
        <v>0</v>
      </c>
      <c r="BF30" s="421">
        <f ca="1">IF(OR(T_D_VAR[[#This Row],[Nudo Fijo]]=MID(BF$4,4,1),T_D_VAR[[#This Row],[Nudo Móvil]]=MID(BF$4,4,1)),0,MROUND(RANDBETWEEN(MinMz,MaxMz),MulMz)*RANDBETWEEN(-1,1))*IF(AND(AC30=0,AQ30=0,BE30=0,BD30=0),1,0)</f>
        <v>0</v>
      </c>
      <c r="BG30" s="421"/>
      <c r="BH30" s="421"/>
      <c r="BI30" s="421">
        <f ca="1">IF(OR(T_D_VAR[[#This Row],[Nudo Fijo]]=MID(BI$4,4,1),T_D_VAR[[#This Row],[Nudo Móvil]]=MID(BI$4,4,1)),0,MROUND(RANDBETWEEN(MinMz,MaxMz),MulMz)*RANDBETWEEN(-1,1))*IF(AND(AF30=0,AT30=0,BH30=0,BG30=0),1,0)</f>
        <v>0</v>
      </c>
      <c r="BJ30" s="421">
        <f ca="1">IF(OR(T_D_VAR[[#This Row],[Nudo Fijo]]=MID(BJ$4,4,1),T_D_VAR[[#This Row],[Nudo Móvil]]=MID(BJ$4,4,1)),0,MROUND(RANDBETWEEN(MinMz,MaxMz),MulMz)*RANDBETWEEN(-1,1))*IF(AND(AG30=0,AU30=0,BI30=0,BH30=0),1,0)</f>
        <v>-40</v>
      </c>
      <c r="BK30" s="421">
        <f ca="1">IF(OR(T_D_VAR[[#This Row],[Nudo Fijo]]=MID(BK$4,4,1),T_D_VAR[[#This Row],[Nudo Móvil]]=MID(BK$4,4,1)),0,MROUND(RANDBETWEEN(MinMz,MaxMz),MulMz)*RANDBETWEEN(-1,1))*IF(AND(AH30=0,AV30=0,BJ30=0,BI30=0),1,0)</f>
        <v>0</v>
      </c>
      <c r="BL30" s="421">
        <f ca="1">IF(OR(T_D_VAR[[#This Row],[Nudo Fijo]]=MID(BL$4,4,1),T_D_VAR[[#This Row],[Nudo Móvil]]=MID(BL$4,4,1)),0,MROUND(RANDBETWEEN(MinMz,MaxMz),MulMz)*RANDBETWEEN(-1,1))*IF(AND(AI30=0,AW30=0,BK30=0,BJ30=0),1,0)</f>
        <v>0</v>
      </c>
      <c r="BM30" s="421"/>
      <c r="BN30" s="422">
        <f ca="1">IF(OR(T_D_VAR[[#This Row],[Nudo Fijo]]=MID(BN$4,4,1),T_D_VAR[[#This Row],[Nudo Móvil]]=MID(BN$4,4,1)),0,MROUND(RANDBETWEEN(MinMz,MaxMz),MulMz)*RANDBETWEEN(-1,1))*IF(AND(AK30=0,AY30=0,BM30=0,BL30=0),1,0)</f>
        <v>0</v>
      </c>
      <c r="BO30" s="423"/>
      <c r="BP30" s="424"/>
      <c r="BQ30" s="424"/>
      <c r="BR30" s="424"/>
      <c r="BS30" s="424"/>
      <c r="BT30" s="424">
        <f ca="1">MROUND(RANDBETWEEN(MinQ,MaxQ),MulQ)*RANDBETWEEN(-1,1)*IF(AND(AA30=0,AB30=0,AO30=0,AQ30=0,BE30=0,BR30=0,BF30=0),1,0)</f>
        <v>0</v>
      </c>
      <c r="BU30" s="424">
        <f ca="1">IF(q_1Iguales=_OK,BT30,
MROUND(RANDBETWEEN(MinQ,MaxQ),MulQ)*RANDBETWEEN(-1,1)*IF(AND(AB30=0,AC30=0,AQ30=0,AR30=0,BF30=0,BT30=0,BG30=0),1,0))</f>
        <v>0</v>
      </c>
      <c r="BV30" s="424"/>
      <c r="BW30" s="424"/>
      <c r="BX30" s="424">
        <f ca="1">MROUND(RANDBETWEEN(MinQ,MaxQ),MulQ)*IF(AND(AU30=0,BJ30=0),1,0)*
  IF(SUM(T_D_VAR[[#This Row],[Fv_A]:[Mz_O]])=0,1,RANDBETWEEN(-1,1))</f>
        <v>0</v>
      </c>
      <c r="BY30" s="424">
        <f ca="1">IF(q_1Iguales=_OK,BX30,
  MROUND(RANDBETWEEN(MinQ,MaxQ),MulQ)*RANDBETWEEN(-1,1)*IF(AND(AF30=0,AG30=0,AU30=0,AV30=0,BJ30=0,BX30=0,BK30=0),1,0))</f>
        <v>0</v>
      </c>
      <c r="BZ30" s="424">
        <f ca="1">MROUND(RANDBETWEEN(MinQ,MaxQ),MulQ)*RANDBETWEEN(-1,1)*IF(AND(AW30=0,BL30=0),1,0)</f>
        <v>0</v>
      </c>
      <c r="CA30" s="424">
        <f ca="1">IF(q_1Iguales=_OK,BZ30,
  MROUND(RANDBETWEEN(MinQ,MaxQ),MulQ)*RANDBETWEEN(-1,1)*IF(AND(AH30=0,AI30=0,AW30=0,AX30=0,BL30=0),1,0))</f>
        <v>0</v>
      </c>
      <c r="CB30" s="424"/>
      <c r="CC30" s="425">
        <f ca="1">MROUND(RANDBETWEEN(MinQ,MaxQ),MulQ)*RANDBETWEEN(-1,1)*IF(AND(BD30=0,BT30=0),1,0)</f>
        <v>0</v>
      </c>
      <c r="CD30" s="426" t="s">
        <v>639</v>
      </c>
      <c r="CE30" s="427"/>
      <c r="CF30" s="386">
        <f>1</f>
        <v>1</v>
      </c>
      <c r="CG30" s="466">
        <f>ROW()-ROW(T_D_VAR[[#Headers],[Nº]])</f>
        <v>26</v>
      </c>
    </row>
    <row r="31" spans="1:85" ht="28.7" outlineLevel="1">
      <c r="A31" s="467" t="s">
        <v>678</v>
      </c>
      <c r="B31" s="468" t="str">
        <f ca="1">T_D_VAR[[#This Row],[Tipo Figura]]&amp;": "&amp;ROUND(SUM(T_D_VAR[[#This Row],[L_AB]:[L_MO]]),2)&amp;" m; "&amp;
   IF(COUNTIFS(T_D_VAR[[#This Row],[Fv_A]:[Fv_O]],"&lt;&gt;",T_D_VAR[[#This Row],[Fv_A]:[Fv_O]],"&lt;&gt;0")=0,"",
      COUNTIFS(T_D_VAR[[#This Row],[Fv_A]:[Fv_O]],"&lt;&gt;",T_D_VAR[[#This Row],[Fv_A]:[Fv_O]],"&lt;&gt;0")&amp;" Pv; ")&amp;
   IF(COUNTIFS(T_D_VAR[[#This Row],[Fh_A]:[Fh_O]],"&lt;&gt;",T_D_VAR[[#This Row],[Fh_A]:[Fh_O]],"&lt;&gt;0")=0,"",
      COUNTIFS(T_D_VAR[[#This Row],[Fh_A]:[Fh_O]],"&lt;&gt;",T_D_VAR[[#This Row],[Fh_A]:[Fh_O]],"&lt;&gt;0")&amp;" Ph; ")&amp;
   IF(COUNTIFS(T_D_VAR[[#This Row],[Mz_A]:[Mz_O]],"&lt;&gt;",T_D_VAR[[#This Row],[Mz_A]:[Mz_O]],"&lt;&gt;0")=0,"",
      COUNTIFS(T_D_VAR[[#This Row],[Mz_A]:[Mz_O]],"&lt;&gt;",T_D_VAR[[#This Row],[Mz_A]:[Mz_O]],"&lt;&gt;0")&amp;" M; ")&amp;
   IF(COUNTIFS(T_D_VAR[[#This Row],[q_AB]:[q_MO]],"&lt;&gt;",T_D_VAR[[#This Row],[q_AB]:[q_MO]],"&lt;&gt;0")=0,"",
      COUNTIFS(T_D_VAR[[#This Row],[q_AB]:[q_MO]],"&lt;&gt;",T_D_VAR[[#This Row],[q_AB]:[q_MO]],"&lt;&gt;0")&amp;" q ")&amp;"("&amp;ROUND(SUM(T_D_VAR[[#This Row],[Fv_B]:[Nombre IMAGEN]]),0)&amp;")"</f>
        <v>Portico-EFGHI-GJK-KLMN-MO: 17 m; 3 Pv; 4 Ph; 3 M; 3 q (830)</v>
      </c>
      <c r="C31" s="469"/>
      <c r="D31" s="470"/>
      <c r="E31" s="470"/>
      <c r="F31" s="470"/>
      <c r="G31" s="470">
        <f ca="1">MROUND(RANDBETWEEN(MinL,MaxL),MulL)/10</f>
        <v>0.5</v>
      </c>
      <c r="H31" s="470">
        <f ca="1">IF(L_1Iguales=_OK,T_D_VAR[[#This Row],[L_EF]],MROUND(RANDBETWEEN(MinL,MaxL),MulL)/10)</f>
        <v>0.5</v>
      </c>
      <c r="I31" s="470">
        <f ca="1">MROUND(RANDBETWEEN(MinL,MaxL),MulL)/10</f>
        <v>1</v>
      </c>
      <c r="J31" s="470">
        <f ca="1">IF(L_1Iguales=_OK,T_D_VAR[[#This Row],[L_GH]],MROUND(RANDBETWEEN(MinL,MaxL),MulL)/10)</f>
        <v>1</v>
      </c>
      <c r="K31" s="470">
        <f ca="1">MROUND(RANDBETWEEN(MinL,MaxL),MulL)/10</f>
        <v>3</v>
      </c>
      <c r="L31" s="470">
        <f ca="1">IF(L_1Iguales=_OK,T_D_VAR[[#This Row],[L_GJ]],MROUND(RANDBETWEEN(MinL,MaxL),MulL)/10)</f>
        <v>3</v>
      </c>
      <c r="M31" s="470">
        <f ca="1">MROUND(RANDBETWEEN(MinL,MaxL),MulL)/10</f>
        <v>2</v>
      </c>
      <c r="N31" s="470">
        <f ca="1">IF(L_1Iguales=_OK,T_D_VAR[[#This Row],[L_KL]],MROUND(RANDBETWEEN(MinL,MaxL),MulL)/10)</f>
        <v>2</v>
      </c>
      <c r="O31" s="470">
        <f ca="1">IF(L_1Iguales=_OK,T_D_VAR[[#This Row],[L_KL]],MROUND(RANDBETWEEN(MinL,MaxL),MulL)/10)</f>
        <v>2</v>
      </c>
      <c r="P31" s="470">
        <f ca="1">MROUND(RANDBETWEEN(MinL,MaxL),MulL)/10</f>
        <v>2</v>
      </c>
      <c r="Q31" s="471"/>
      <c r="R31" s="472" t="str" cm="1">
        <f t="array" aca="1" ref="R31" ca="1">INDIRECT("OCULTOS!N"&amp;RANDBETWEEN(2,3))</f>
        <v>A Fijo</v>
      </c>
      <c r="S31" s="473" t="str">
        <f ca="1">IF(T_D_VAR[[#This Row],[Tipo]]=T_Emp,OCULTOS!M$33,OCULTOS!M$42)</f>
        <v>I</v>
      </c>
      <c r="T31" s="473" t="str">
        <f ca="1">IF(T_D_VAR[[#This Row],[Tipo]]=OCULTOS!$N$2,"",OCULTOS!M$43)</f>
        <v>F</v>
      </c>
      <c r="U31" s="473"/>
      <c r="V31" s="474"/>
      <c r="W31" s="475"/>
      <c r="X31" s="475"/>
      <c r="Y31" s="475"/>
      <c r="Z31" s="475">
        <f ca="1">IF(OR(T_D_VAR[[#This Row],[Nudo Fijo]]=MID(Z$4,4,1),T_D_VAR[[#This Row],[Nudo Móvil]]=MID(Z$4,4,1)),0,MROUND(RANDBETWEEN(MinFv,MaxFv),MulFv)*RANDBETWEEN(-1,1))*IF(AND(Y31=0,X31=0),1,0)</f>
        <v>0</v>
      </c>
      <c r="AA31" s="475">
        <f ca="1">IF(OR(T_D_VAR[[#This Row],[Nudo Fijo]]=MID(AA$4,4,1),T_D_VAR[[#This Row],[Nudo Móvil]]=MID(AA$4,4,1)),0,MROUND(RANDBETWEEN(MinFv,MaxFv),MulFv)*RANDBETWEEN(-1,1))*IF(AND(Z31=0,Y31=0),1,0)</f>
        <v>0</v>
      </c>
      <c r="AB31" s="475">
        <f ca="1">IF(OR(T_D_VAR[[#This Row],[Nudo Fijo]]=MID(AB$4,4,1),T_D_VAR[[#This Row],[Nudo Móvil]]=MID(AB$4,4,1)),0,MROUND(RANDBETWEEN(MinFv,MaxFv),MulFv)*RANDBETWEEN(-1,1))*IF(AND(AA31=0,Z31=0),1,0)</f>
        <v>450</v>
      </c>
      <c r="AC31" s="475">
        <f ca="1">IF(OR(T_D_VAR[[#This Row],[Nudo Fijo]]=MID(AC$4,4,1),T_D_VAR[[#This Row],[Nudo Móvil]]=MID(AC$4,4,1)),0,MROUND(RANDBETWEEN(MinFv,MaxFv),MulFv)*RANDBETWEEN(-1,1))*IF(AND(AB31=0,AA31=0),1,0)</f>
        <v>0</v>
      </c>
      <c r="AD31" s="475">
        <f ca="1">IF(OR(T_D_VAR[[#This Row],[Nudo Fijo]]=MID(AD$4,4,1),T_D_VAR[[#This Row],[Nudo Móvil]]=MID(AD$4,4,1)),0,MROUND(RANDBETWEEN(MinFv,MaxFv),MulFv)*RANDBETWEEN(-1,1))*IF(AND(AC31=0,AB31=0),1,0)</f>
        <v>0</v>
      </c>
      <c r="AE31" s="475">
        <f ca="1">IF(OR(T_D_VAR[[#This Row],[Nudo Fijo]]=MID(AE$4,4,1),T_D_VAR[[#This Row],[Nudo Móvil]]=MID(AE$4,4,1)),0,MROUND(RANDBETWEEN(MinFv,MaxFv),MulFv)*RANDBETWEEN(-1,1))*IF(AND(AD31=0,AC31=0),1,0)</f>
        <v>300</v>
      </c>
      <c r="AF31" s="475">
        <f ca="1">IF(OR(T_D_VAR[[#This Row],[Nudo Fijo]]=MID(AF$4,4,1),T_D_VAR[[#This Row],[Nudo Móvil]]=MID(AF$4,4,1)),0,MROUND(RANDBETWEEN(MinFv,MaxFv),MulFv)*RANDBETWEEN(-1,1))*IF(AND(AE31=0,AD31=0),1,0)</f>
        <v>0</v>
      </c>
      <c r="AG31" s="475">
        <f ca="1">IF(OR(T_D_VAR[[#This Row],[Nudo Fijo]]=MID(AG$4,4,1),T_D_VAR[[#This Row],[Nudo Móvil]]=MID(AG$4,4,1)),0,MROUND(RANDBETWEEN(MinFv,MaxFv),MulFv)*RANDBETWEEN(-1,1))*IF(AND(AF31=0,AE31=0),1,0)</f>
        <v>0</v>
      </c>
      <c r="AH31" s="475">
        <f ca="1">IF(OR(T_D_VAR[[#This Row],[Nudo Fijo]]=MID(AH$4,4,1),T_D_VAR[[#This Row],[Nudo Móvil]]=MID(AH$4,4,1)),0,MROUND(RANDBETWEEN(MinFv,MaxFv),MulFv)*RANDBETWEEN(-1,1))*IF(AND(AG31=0,AF31=0),1,0)</f>
        <v>150</v>
      </c>
      <c r="AI31" s="475">
        <f ca="1">IF(OR(T_D_VAR[[#This Row],[Nudo Fijo]]=MID(AI$4,4,1),T_D_VAR[[#This Row],[Nudo Móvil]]=MID(AI$4,4,1)),0,MROUND(RANDBETWEEN(MinFv,MaxFv),MulFv)*RANDBETWEEN(-1,1))*IF(AND(AH31=0,AG31=0),1,0)</f>
        <v>0</v>
      </c>
      <c r="AJ31" s="476">
        <f ca="1">IF(OR(T_D_VAR[[#This Row],[Nudo Fijo]]=MID(AJ$4,4,1),T_D_VAR[[#This Row],[Nudo Móvil]]=MID(AJ$4,4,1)),0,MROUND(RANDBETWEEN(MinFv,MaxFv),MulFv)*RANDBETWEEN(-1,1))*IF(AND(AI31=0,AH31=0),1,0)</f>
        <v>0</v>
      </c>
      <c r="AK31" s="477"/>
      <c r="AL31" s="478"/>
      <c r="AM31" s="478"/>
      <c r="AN31" s="478"/>
      <c r="AO31" s="478">
        <f ca="1">IF(OR(T_D_VAR[[#This Row],[Nudo Fijo]]=MID(AO$4,4,1),T_D_VAR[[#This Row],[Nudo Móvil]]=MID(AO$4,4,1)),0,MROUND(RANDBETWEEN(MinFh,MaxFh),MulFh)*RANDBETWEEN(-1,1))*IF(AND(Z31=0,AN31=0,AM31=0),1,0)</f>
        <v>-50</v>
      </c>
      <c r="AP31" s="478">
        <f ca="1">IF(OR(T_D_VAR[[#This Row],[Nudo Fijo]]=MID(AP$4,4,1),T_D_VAR[[#This Row],[Nudo Móvil]]=MID(AP$4,4,1)),0,MROUND(RANDBETWEEN(MinFh,MaxFh),MulFh)*RANDBETWEEN(-1,1))*IF(AND(AA31=0,AO31=0,AN31=0),1,0)</f>
        <v>0</v>
      </c>
      <c r="AQ31" s="478">
        <f ca="1">IF(OR(T_D_VAR[[#This Row],[Nudo Fijo]]=MID(AQ$4,4,1),T_D_VAR[[#This Row],[Nudo Móvil]]=MID(AQ$4,4,1)),0,MROUND(RANDBETWEEN(MinFh,MaxFh),MulFh)*RANDBETWEEN(-1,1))*IF(AND(AB31=0,AP31=0,AO31=0),1,0)</f>
        <v>0</v>
      </c>
      <c r="AR31" s="478">
        <f ca="1">IF(OR(T_D_VAR[[#This Row],[Nudo Fijo]]=MID(AR$4,4,1),T_D_VAR[[#This Row],[Nudo Móvil]]=MID(AR$4,4,1)),0,MROUND(RANDBETWEEN(MinFh,MaxFh),MulFh)*RANDBETWEEN(-1,1))*IF(AND(AC31=0,AQ31=0,AP31=0),1,0)</f>
        <v>-150</v>
      </c>
      <c r="AS31" s="478">
        <f ca="1">IF(OR(T_D_VAR[[#This Row],[Nudo Fijo]]=MID(AS$4,4,1),T_D_VAR[[#This Row],[Nudo Móvil]]=MID(AS$4,4,1)),0,MROUND(RANDBETWEEN(MinFh,MaxFh),MulFh)*RANDBETWEEN(-1,1))*IF(AND(AD31=0,AR31=0,AQ31=0),1,0)</f>
        <v>0</v>
      </c>
      <c r="AT31" s="478">
        <f ca="1">IF(OR(T_D_VAR[[#This Row],[Nudo Fijo]]=MID(AT$4,4,1),T_D_VAR[[#This Row],[Nudo Móvil]]=MID(AT$4,4,1)),0,MROUND(RANDBETWEEN(MinFh,MaxFh),MulFh)*RANDBETWEEN(-1,1))*IF(AND(AE31=0,AS31=0,AR31=0),1,0)</f>
        <v>0</v>
      </c>
      <c r="AU31" s="478">
        <f ca="1">IF(OR(T_D_VAR[[#This Row],[Nudo Fijo]]=MID(AU$4,4,1),T_D_VAR[[#This Row],[Nudo Móvil]]=MID(AU$4,4,1)),0,MROUND(RANDBETWEEN(MinFh,MaxFh),MulFh)*RANDBETWEEN(-1,1))*IF(AND(AF31=0,AT31=0,AS31=0),1,0)</f>
        <v>0</v>
      </c>
      <c r="AV31" s="478">
        <f ca="1">IF(OR(T_D_VAR[[#This Row],[Nudo Fijo]]=MID(AV$4,4,1),T_D_VAR[[#This Row],[Nudo Móvil]]=MID(AV$4,4,1)),0,MROUND(RANDBETWEEN(MinFh,MaxFh),MulFh)*RANDBETWEEN(-1,1))*IF(AND(AG31=0,AU31=0,AT31=0),1,0)</f>
        <v>50</v>
      </c>
      <c r="AW31" s="478">
        <f ca="1">IF(OR(T_D_VAR[[#This Row],[Nudo Fijo]]=MID(AW$4,4,1),T_D_VAR[[#This Row],[Nudo Móvil]]=MID(AW$4,4,1)),0,MROUND(RANDBETWEEN(MinFh,MaxFh),MulFh)*RANDBETWEEN(-1,1))*IF(AND(AH31=0,AV31=0,AU31=0),1,0)</f>
        <v>0</v>
      </c>
      <c r="AX31" s="478">
        <f ca="1">IF(OR(T_D_VAR[[#This Row],[Nudo Fijo]]=MID(AX$4,4,1),T_D_VAR[[#This Row],[Nudo Móvil]]=MID(AX$4,4,1)),0,MROUND(RANDBETWEEN(MinFh,MaxFh),MulFh)*RANDBETWEEN(-1,1))*IF(AND(AI31=0,AW31=0,AV31=0),1,0)</f>
        <v>0</v>
      </c>
      <c r="AY31" s="479">
        <f ca="1">IF(OR(T_D_VAR[[#This Row],[Nudo Fijo]]=MID(AY$4,4,1),T_D_VAR[[#This Row],[Nudo Móvil]]=MID(AY$4,4,1)),0,MROUND(RANDBETWEEN(MinFh,MaxFh),MulFh)*RANDBETWEEN(-1,1))*IF(AND(AJ31=0,AX31=0,AW31=0),1,0)</f>
        <v>100</v>
      </c>
      <c r="AZ31" s="480"/>
      <c r="BA31" s="481"/>
      <c r="BB31" s="481"/>
      <c r="BC31" s="481"/>
      <c r="BD31" s="481">
        <f ca="1">IF(OR(T_D_VAR[[#This Row],[Nudo Fijo]]=MID(BD$4,4,1),T_D_VAR[[#This Row],[Nudo Móvil]]=MID(BD$4,4,1)),0,MROUND(RANDBETWEEN(MinMz,MaxMz),MulMz)*RANDBETWEEN(-1,1))*IF(AND(AA31=0,AO31=0,BC31=0,BB31=0),1,0)</f>
        <v>0</v>
      </c>
      <c r="BE31" s="481">
        <f ca="1">IF(OR(T_D_VAR[[#This Row],[Nudo Fijo]]=MID(BE$4,4,1),T_D_VAR[[#This Row],[Nudo Móvil]]=MID(BE$4,4,1)),0,MROUND(RANDBETWEEN(MinMz,MaxMz),MulMz)*RANDBETWEEN(-1,1))*IF(AND(AB31=0,AP31=0,BD31=0,BC31=0),1,0)</f>
        <v>0</v>
      </c>
      <c r="BF31" s="481">
        <f ca="1">IF(OR(T_D_VAR[[#This Row],[Nudo Fijo]]=MID(BF$4,4,1),T_D_VAR[[#This Row],[Nudo Móvil]]=MID(BF$4,4,1)),0,MROUND(RANDBETWEEN(MinMz,MaxMz),MulMz)*RANDBETWEEN(-1,1))*IF(AND(AC31=0,AQ31=0,BE31=0,BD31=0),1,0)</f>
        <v>-45</v>
      </c>
      <c r="BG31" s="481">
        <f ca="1">IF(OR(T_D_VAR[[#This Row],[Nudo Fijo]]=MID(BG$4,4,1),T_D_VAR[[#This Row],[Nudo Móvil]]=MID(BG$4,4,1)),0,MROUND(RANDBETWEEN(MinMz,MaxMz),MulMz)*RANDBETWEEN(-1,1))*IF(AND(AD31=0,AR31=0,BF31=0,BE31=0),1,0)</f>
        <v>0</v>
      </c>
      <c r="BH31" s="481">
        <f ca="1">IF(OR(T_D_VAR[[#This Row],[Nudo Fijo]]=MID(BH$4,4,1),T_D_VAR[[#This Row],[Nudo Móvil]]=MID(BH$4,4,1)),0,MROUND(RANDBETWEEN(MinMz,MaxMz),MulMz)*RANDBETWEEN(-1,1))*IF(AND(AE31=0,AS31=0,BG31=0,BF31=0),1,0)</f>
        <v>0</v>
      </c>
      <c r="BI31" s="481">
        <f ca="1">IF(OR(T_D_VAR[[#This Row],[Nudo Fijo]]=MID(BI$4,4,1),T_D_VAR[[#This Row],[Nudo Móvil]]=MID(BI$4,4,1)),0,MROUND(RANDBETWEEN(MinMz,MaxMz),MulMz)*RANDBETWEEN(-1,1))*IF(AND(AF31=0,AT31=0,BH31=0,BG31=0),1,0)</f>
        <v>35</v>
      </c>
      <c r="BJ31" s="481">
        <f ca="1">IF(OR(T_D_VAR[[#This Row],[Nudo Fijo]]=MID(BJ$4,4,1),T_D_VAR[[#This Row],[Nudo Móvil]]=MID(BJ$4,4,1)),0,MROUND(RANDBETWEEN(MinMz,MaxMz),MulMz)*RANDBETWEEN(-1,1))*IF(AND(AG31=0,AU31=0,BI31=0,BH31=0),1,0)</f>
        <v>0</v>
      </c>
      <c r="BK31" s="481">
        <f ca="1">IF(OR(T_D_VAR[[#This Row],[Nudo Fijo]]=MID(BK$4,4,1),T_D_VAR[[#This Row],[Nudo Móvil]]=MID(BK$4,4,1)),0,MROUND(RANDBETWEEN(MinMz,MaxMz),MulMz)*RANDBETWEEN(-1,1))*IF(AND(AH31=0,AV31=0,BJ31=0,BI31=0),1,0)</f>
        <v>0</v>
      </c>
      <c r="BL31" s="481">
        <f ca="1">IF(OR(T_D_VAR[[#This Row],[Nudo Fijo]]=MID(BL$4,4,1),T_D_VAR[[#This Row],[Nudo Móvil]]=MID(BL$4,4,1)),0,MROUND(RANDBETWEEN(MinMz,MaxMz),MulMz)*RANDBETWEEN(-1,1))*IF(AND(AI31=0,AW31=0,BK31=0,BJ31=0),1,0)</f>
        <v>-5</v>
      </c>
      <c r="BM31" s="481">
        <f ca="1">IF(OR(T_D_VAR[[#This Row],[Nudo Fijo]]=MID(BM$4,4,1),T_D_VAR[[#This Row],[Nudo Móvil]]=MID(BM$4,4,1)),0,MROUND(RANDBETWEEN(MinMz,MaxMz),MulMz)*RANDBETWEEN(-1,1))*IF(AND(AJ31=0,AX31=0,BL31=0,BK31=0),1,0)</f>
        <v>0</v>
      </c>
      <c r="BN31" s="482">
        <f ca="1">IF(OR(T_D_VAR[[#This Row],[Nudo Fijo]]=MID(BN$4,4,1),T_D_VAR[[#This Row],[Nudo Móvil]]=MID(BN$4,4,1)),0,MROUND(RANDBETWEEN(MinMz,MaxMz),MulMz)*RANDBETWEEN(-1,1))*IF(AND(AK31=0,AY31=0,BM31=0,BL31=0),1,0)</f>
        <v>0</v>
      </c>
      <c r="BO31" s="423"/>
      <c r="BP31" s="424"/>
      <c r="BQ31" s="424"/>
      <c r="BR31" s="424"/>
      <c r="BS31" s="424"/>
      <c r="BT31" s="424">
        <f ca="1">MROUND(RANDBETWEEN(MinQ,MaxQ),MulQ)*RANDBETWEEN(-1,1)*IF(AND(AA31=0,AB31=0,AO31=0,AQ31=0,BE31=0,BR31=0,BF31=0),1,0)</f>
        <v>0</v>
      </c>
      <c r="BU31" s="424">
        <f ca="1">IF(q_1Iguales=_OK,BT31,
MROUND(RANDBETWEEN(MinQ,MaxQ),MulQ)*RANDBETWEEN(-1,1)*IF(AND(AB31=0,AC31=0,AQ31=0,AR31=0,BF31=0,BT31=0,BG31=0),1,0))</f>
        <v>0</v>
      </c>
      <c r="BV31" s="424">
        <f ca="1">IF(AND(q_1Iguales=_OK,BT31&lt;&gt;0),BU31*RANDBETWEEN(-1,1),
    MROUND(RANDBETWEEN(MinQ,MaxQ),MulQ)*RANDBETWEEN(-1,1)*IF(AR31=0,1,0))</f>
        <v>0</v>
      </c>
      <c r="BW31" s="424">
        <f ca="1">IF(q_1Iguales=_OK,BV31,
MROUND(RANDBETWEEN(MinQ,MaxQ),MulQ)*RANDBETWEEN(-1,1)*IF(AND(AD31=0,AE31=0,AS31=0,AT31=0,BH31=0,BV31=0,BI31=0),1,0))</f>
        <v>0</v>
      </c>
      <c r="BX31" s="424">
        <f ca="1">MROUND(RANDBETWEEN(MinQ,MaxQ),MulQ)*IF(AND(AU31=0,BJ31=0),1,0)*
  IF(SUM(T_D_VAR[[#This Row],[Fv_A]:[Mz_O]])=0,1,RANDBETWEEN(-1,1))</f>
        <v>50</v>
      </c>
      <c r="BY31" s="424">
        <f ca="1">IF(q_1Iguales=_OK,BX31,
  MROUND(RANDBETWEEN(MinQ,MaxQ),MulQ)*RANDBETWEEN(-1,1)*IF(AND(AF31=0,AG31=0,AU31=0,AV31=0,BJ31=0,BX31=0,BK31=0),1,0))</f>
        <v>50</v>
      </c>
      <c r="BZ31" s="424">
        <f ca="1">MROUND(RANDBETWEEN(MinQ,MaxQ),MulQ)*RANDBETWEEN(-1,1)*IF(AND(AW31=0,BL31=0),1,0)</f>
        <v>0</v>
      </c>
      <c r="CA31" s="424">
        <f ca="1">IF(q_1Iguales=_OK,BZ31,
  MROUND(RANDBETWEEN(MinQ,MaxQ),MulQ)*RANDBETWEEN(-1,1)*IF(AND(AH31=0,AI31=0,AW31=0,AX31=0,BL31=0),1,0))</f>
        <v>0</v>
      </c>
      <c r="CB31" s="424">
        <f ca="1">IF(q_1Iguales=_OK,CA31,
  MROUND(RANDBETWEEN(MinQ,MaxQ),MulQ)*RANDBETWEEN(-1,1)*IF(AND(AI31=0,AJ31=0,AX31=0,AY31=0,BM31=0,CA31=0,BN31=0),1,0))</f>
        <v>0</v>
      </c>
      <c r="CC31" s="425">
        <f ca="1">MROUND(RANDBETWEEN(MinQ,MaxQ),MulQ)*RANDBETWEEN(-1,1)*IF(AND(AZ31=0,BO31=0),1,0)</f>
        <v>-105</v>
      </c>
      <c r="CD31" s="483" t="s">
        <v>678</v>
      </c>
      <c r="CE31" s="484"/>
      <c r="CF31" s="485">
        <f>1</f>
        <v>1</v>
      </c>
      <c r="CG31" s="486">
        <f>ROW()-ROW(T_D_VAR[[#Headers],[Nº]])</f>
        <v>27</v>
      </c>
    </row>
    <row r="32" spans="1:85" outlineLevel="1"/>
    <row r="33"/>
    <row r="34"/>
    <row r="35"/>
    <row r="36"/>
    <row r="37"/>
    <row r="38"/>
    <row r="39"/>
    <row r="40"/>
    <row r="41"/>
    <row r="42"/>
    <row r="43"/>
    <row r="44"/>
    <row r="45"/>
    <row r="46"/>
    <row r="47"/>
    <row r="48"/>
    <row r="49"/>
    <row r="50"/>
    <row r="52"/>
    <row r="53"/>
    <row r="54"/>
    <row r="55"/>
    <row r="56"/>
    <row r="57"/>
    <row r="58"/>
    <row r="59"/>
    <row r="60"/>
  </sheetData>
  <sheetProtection algorithmName="SHA-512" hashValue="3w2vYbaKR45aQIWDafv4ZDlpdbgrzwH/6S76Zk50KdoVaCt+zV2I7qtvFU8o7pCDUg+DSDq2nLxGm55zLLah+A==" saltValue="8IfY9scv1WawvyA69KN9og==" spinCount="100000" sheet="1" objects="1" scenarios="1" formatColumns="0" selectLockedCells="1" sort="0" autoFilter="0"/>
  <dataConsolidate/>
  <conditionalFormatting sqref="B5:B31">
    <cfRule type="duplicateValues" dxfId="137" priority="7841"/>
  </conditionalFormatting>
  <dataValidations count="4">
    <dataValidation type="decimal" allowBlank="1" showInputMessage="1" showErrorMessage="1" sqref="X16:Z19 W5:Y7 Z15:AC15 AD10:AF13 Y12:Y13 AD14:AD15 AA8:AC14 V20:AJ25 X26:Z26 Z6:Z7 V27:AJ31 C5:P31" xr:uid="{00000000-0002-0000-0300-000000000000}">
      <formula1>-100000</formula1>
      <formula2>100000</formula2>
    </dataValidation>
    <dataValidation type="decimal" allowBlank="1" showInputMessage="1" showErrorMessage="1" sqref="Z5 AA16:AD19 CC30:CC31 Y8:Y11 Z8:Z14 X14:Y15 W14:W19 AE14:AJ19 AA5:CC7 W8:X13 AK14:BB25 AG10:BB13 BC25:CB25 AM26:AO26 BB26:BD26 BT8:CC24 V5:V19 BC10:BS24 AD8:BS9 BZ29:CA31 AK27:BY31" xr:uid="{00000000-0002-0000-0300-000001000000}">
      <formula1>-1000000</formula1>
      <formula2>1000000</formula2>
    </dataValidation>
    <dataValidation type="whole" allowBlank="1" showInputMessage="1" showErrorMessage="1" errorTitle="Nº Problemas" error="Debes introducir un número entero." sqref="CG5 CF5:CF31" xr:uid="{00000000-0002-0000-0300-000002000000}">
      <formula1>1</formula1>
      <formula2>1000</formula2>
    </dataValidation>
    <dataValidation type="decimal" allowBlank="1" showInputMessage="1" showErrorMessage="1" errorTitle="Angulo" error="Debes introducir un ángulo entre 0 y 90º" sqref="Q5:Q31" xr:uid="{00000000-0002-0000-0300-000003000000}">
      <formula1>0</formula1>
      <formula2>90</formula2>
    </dataValidation>
  </dataValidations>
  <pageMargins left="0.7" right="0.7" top="0.75" bottom="0.75" header="0.3" footer="0.3"/>
  <pageSetup paperSize="9" orientation="portrait" horizontalDpi="1200" verticalDpi="120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4000000}">
          <x14:formula1>
            <xm:f>OCULTOS!$N$2:$N$4</xm:f>
          </x14:formula1>
          <xm:sqref>R20:R31</xm:sqref>
        </x14:dataValidation>
        <x14:dataValidation type="list" allowBlank="1" showInputMessage="1" showErrorMessage="1" error="Introduce una letra de apoyo correcta" xr:uid="{00000000-0002-0000-0300-000005000000}">
          <x14:formula1>
            <xm:f>OCULTOS!$Y$14:$Y$28</xm:f>
          </x14:formula1>
          <xm:sqref>S20:U31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g_Ocultos">
    <tabColor rgb="FFFF0000"/>
  </sheetPr>
  <dimension ref="A1:BG53"/>
  <sheetViews>
    <sheetView showGridLines="0" showRowColHeaders="0" topLeftCell="A3" zoomScale="92" workbookViewId="0">
      <selection activeCell="O63" sqref="O63"/>
    </sheetView>
  </sheetViews>
  <sheetFormatPr baseColWidth="10" defaultRowHeight="14.35" outlineLevelRow="1" outlineLevelCol="1"/>
  <cols>
    <col min="1" max="1" width="6.1171875" customWidth="1"/>
    <col min="2" max="2" width="7.1171875" customWidth="1"/>
    <col min="3" max="3" width="3.87890625" customWidth="1"/>
    <col min="4" max="4" width="6.41015625" bestFit="1" customWidth="1"/>
    <col min="5" max="5" width="4.1171875" customWidth="1"/>
    <col min="6" max="6" width="6.87890625" customWidth="1"/>
    <col min="7" max="7" width="4.3515625" customWidth="1"/>
    <col min="8" max="8" width="7.1171875" customWidth="1"/>
    <col min="9" max="9" width="4.87890625" customWidth="1"/>
    <col min="10" max="10" width="8.52734375" customWidth="1"/>
    <col min="11" max="11" width="4.64453125" customWidth="1"/>
    <col min="12" max="12" width="12.1171875" customWidth="1"/>
    <col min="13" max="13" width="4.87890625" customWidth="1"/>
    <col min="14" max="20" width="7.3515625" customWidth="1"/>
    <col min="21" max="21" width="7.234375" customWidth="1"/>
    <col min="22" max="23" width="7.3515625" customWidth="1"/>
    <col min="24" max="24" width="8.234375" bestFit="1" customWidth="1"/>
    <col min="25" max="25" width="4.64453125" bestFit="1" customWidth="1"/>
    <col min="26" max="26" width="6.64453125" customWidth="1"/>
    <col min="27" max="41" width="7.76171875" hidden="1" customWidth="1" outlineLevel="1"/>
    <col min="42" max="42" width="7.76171875" customWidth="1" collapsed="1"/>
    <col min="43" max="43" width="10.76171875" hidden="1" customWidth="1" outlineLevel="1"/>
    <col min="44" max="44" width="5.76171875" hidden="1" customWidth="1" outlineLevel="1"/>
    <col min="45" max="46" width="8.87890625" hidden="1" customWidth="1" outlineLevel="1"/>
    <col min="47" max="47" width="5.76171875" hidden="1" customWidth="1" outlineLevel="1"/>
    <col min="48" max="48" width="10.64453125" hidden="1" customWidth="1" outlineLevel="1"/>
    <col min="49" max="49" width="9.3515625" hidden="1" customWidth="1" outlineLevel="1"/>
    <col min="50" max="50" width="4.3515625" hidden="1" customWidth="1" outlineLevel="1"/>
    <col min="51" max="51" width="10.64453125" hidden="1" customWidth="1" outlineLevel="1"/>
    <col min="52" max="52" width="9.52734375" hidden="1" customWidth="1" outlineLevel="1"/>
    <col min="53" max="54" width="11.76171875" hidden="1" customWidth="1" outlineLevel="1"/>
    <col min="55" max="56" width="11.1171875" hidden="1" customWidth="1" outlineLevel="1"/>
    <col min="57" max="57" width="7.41015625" hidden="1" customWidth="1" outlineLevel="1"/>
    <col min="58" max="58" width="5.87890625" hidden="1" customWidth="1" outlineLevel="1"/>
    <col min="59" max="59" width="10.76171875" collapsed="1"/>
  </cols>
  <sheetData>
    <row r="1" spans="1:59" ht="18.350000000000001" thickBot="1">
      <c r="A1" s="11" t="s">
        <v>3</v>
      </c>
      <c r="B1" s="12"/>
      <c r="C1" s="12"/>
      <c r="D1" s="12"/>
      <c r="E1" s="4" t="s">
        <v>32</v>
      </c>
      <c r="I1" s="11" t="s">
        <v>7</v>
      </c>
      <c r="J1" s="12"/>
      <c r="K1" s="8"/>
      <c r="N1" s="634" t="s">
        <v>395</v>
      </c>
      <c r="O1" s="634"/>
      <c r="P1" s="635"/>
      <c r="Q1" s="635"/>
      <c r="R1" s="635"/>
      <c r="S1" s="635"/>
      <c r="T1" s="635"/>
      <c r="U1" s="635"/>
      <c r="V1" s="636"/>
      <c r="AD1" s="1"/>
    </row>
    <row r="2" spans="1:59" ht="18.350000000000001" thickBot="1">
      <c r="A2" s="24" t="s">
        <v>35</v>
      </c>
      <c r="B2" s="24" t="s">
        <v>33</v>
      </c>
      <c r="D2" s="23" t="s">
        <v>706</v>
      </c>
      <c r="F2" s="232" t="s">
        <v>31</v>
      </c>
      <c r="G2" s="232" t="s">
        <v>549</v>
      </c>
      <c r="I2" s="7" t="s">
        <v>4</v>
      </c>
      <c r="J2" s="31">
        <v>11111</v>
      </c>
      <c r="K2" s="8"/>
      <c r="N2" s="270" t="s">
        <v>396</v>
      </c>
      <c r="O2" s="271" t="s">
        <v>572</v>
      </c>
      <c r="P2" s="267" t="str">
        <f ca="1">IFERROR(IF(D_Fijos=_OK,VLOOKUP(Nombre_Datos_Fijos,T_D_FIJOS[[#All],[NOMBRE]:[q_MO]],HLOOKUP("Ap_1",'DATOS FIJOS'!$1:$2,2,0),0),
              Ap_1_Ale),"")</f>
        <v/>
      </c>
      <c r="Q2" s="17" t="str">
        <f ca="1">IFERROR(IF(D_Fijos=_OK,
   VLOOKUP(Nombre_Datos_Fijos,        T_D_FIJOS[[#All],[NOMBRE]:[q_MO]],HLOOKUP("Tipo_Ap",    'DATOS FIJOS'!$1:$2,2,0),0),
   VLOOKUP(Nombre_Datos_Variables,T_D_VAR[[#All],[NOMBRE]:[q_MO]],HLOOKUP("Tipo_Ap",'DATOS VARIABLES'!$1:$3,2,0),0)),"")</f>
        <v/>
      </c>
      <c r="R2" s="120" t="str">
        <f ca="1">IF(Q2=N2,_Ap_Empotramiento,"")</f>
        <v/>
      </c>
      <c r="S2" s="121" t="str">
        <f ca="1">IF(OR(Q2=T_Fijo,Q2=N4),_Ap_Triangulo,"")</f>
        <v/>
      </c>
      <c r="T2" s="120" t="str">
        <f ca="1">IF(Q2=T_Fijo,_Ap_Empotramiento,"")</f>
        <v/>
      </c>
      <c r="U2" s="122" t="str">
        <f ca="1">IF(Q2=N4,_Ap_Ruedas,"")</f>
        <v/>
      </c>
      <c r="V2" s="124" t="str">
        <f ca="1">IF(Q2=N4,_Ap_Empotramiento,"")</f>
        <v/>
      </c>
      <c r="W2" t="str">
        <f ca="1">IFERROR(VLOOKUP(Q2,$N$2:$O$4,2,0)&amp;" en el nudo "&amp;P2,"")</f>
        <v/>
      </c>
      <c r="AA2" s="1"/>
      <c r="AD2" s="1"/>
    </row>
    <row r="3" spans="1:59" ht="18">
      <c r="A3" s="30">
        <v>30</v>
      </c>
      <c r="B3" s="27">
        <v>235</v>
      </c>
      <c r="D3" s="23">
        <v>4</v>
      </c>
      <c r="F3" s="233" t="s">
        <v>27</v>
      </c>
      <c r="G3" s="233" t="s">
        <v>29</v>
      </c>
      <c r="I3" s="13" t="s">
        <v>5</v>
      </c>
      <c r="J3" s="32">
        <v>111111</v>
      </c>
      <c r="K3" s="10"/>
      <c r="N3" s="272" t="s">
        <v>397</v>
      </c>
      <c r="O3" s="273" t="s">
        <v>573</v>
      </c>
      <c r="P3" s="268" t="str">
        <f ca="1">IFERROR(IF(D_Fijos=_OK,VLOOKUP(Nombre_Datos_Fijos,T_D_FIJOS[[#All],[NOMBRE]:[q_MO]],HLOOKUP("Ap_2",'DATOS FIJOS'!$1:$2,2,0),0),IF(Q2=N2,Ap_1,Ap_2_Ale)),"")</f>
        <v/>
      </c>
      <c r="Q3" s="17" t="str">
        <f ca="1">IFERROR(IF(Q2=N2,IF(Art=0,"",N4),IF(Q2=T_Fijo,N4,T_Fijo)),"")</f>
        <v>A Fijo</v>
      </c>
      <c r="R3" s="120" t="str">
        <f ca="1">IF(Q3=N2,_Ap_Empotramiento,"")</f>
        <v/>
      </c>
      <c r="S3" s="121" t="str">
        <f ca="1">IF(OR(Q3=T_Fijo,Q3=N4),_Ap_Triangulo,"")</f>
        <v>▲</v>
      </c>
      <c r="T3" s="120" t="str">
        <f ca="1">IF(Q3=T_Fijo,_Ap_Empotramiento,"")</f>
        <v>/ / / /</v>
      </c>
      <c r="U3" s="122" t="str">
        <f ca="1">IF(Q3=N4,_Ap_Ruedas,"")</f>
        <v/>
      </c>
      <c r="V3" s="124" t="str">
        <f ca="1">IF(Q3=N4,_Ap_Empotramiento,"")</f>
        <v/>
      </c>
      <c r="W3" t="str">
        <f ca="1">IFERROR(IF(OR(Ap_2=0,Ap_2=""),""," y un "&amp;VLOOKUP(Q3,$N$2:$O$4,2,0)&amp;" en el nudo "&amp;P3),"")</f>
        <v/>
      </c>
      <c r="AA3" s="1"/>
    </row>
    <row r="4" spans="1:59" ht="14.7" thickBot="1">
      <c r="A4" s="30">
        <v>45</v>
      </c>
      <c r="B4" s="28">
        <v>275</v>
      </c>
      <c r="F4" s="234" t="s">
        <v>28</v>
      </c>
      <c r="G4" s="234" t="s">
        <v>30</v>
      </c>
      <c r="I4" s="13" t="s">
        <v>6</v>
      </c>
      <c r="J4" s="33">
        <v>111111</v>
      </c>
      <c r="K4" s="10"/>
      <c r="N4" s="274" t="s">
        <v>398</v>
      </c>
      <c r="O4" s="26" t="s">
        <v>574</v>
      </c>
      <c r="P4" s="269" t="str">
        <f ca="1">IFERROR(IF(Tipo_Ap=N2,Ap_1,""),"")</f>
        <v/>
      </c>
      <c r="Q4" s="152" t="s">
        <v>557</v>
      </c>
      <c r="R4" s="247">
        <f ca="1">Art</f>
        <v>0</v>
      </c>
      <c r="S4" s="128" t="str">
        <f>_Articulacion</f>
        <v>●</v>
      </c>
      <c r="T4" s="25" t="s">
        <v>559</v>
      </c>
      <c r="U4" s="247" cm="1">
        <f t="array" aca="1" ref="U4" ca="1">IFERROR(INDIRECT("X_"&amp;Ap_2)-INDIRECT("X_"&amp;Art),0)</f>
        <v>0</v>
      </c>
      <c r="V4" s="249" cm="1">
        <f t="array" aca="1" ref="V4" ca="1">IFERROR(INDIRECT("X_"&amp;Ap_2)-INDIRECT("X_"&amp;Ap_1),0)</f>
        <v>0</v>
      </c>
      <c r="W4" t="str">
        <f ca="1">IF(R4=0,"",", además de una articulación en el nudo "&amp;R4)</f>
        <v/>
      </c>
    </row>
    <row r="5" spans="1:59" ht="14.7" thickBot="1">
      <c r="A5" s="30">
        <v>60</v>
      </c>
      <c r="B5" s="28">
        <v>355</v>
      </c>
      <c r="I5" s="9" t="s">
        <v>782</v>
      </c>
      <c r="J5" s="14"/>
      <c r="K5" s="15"/>
    </row>
    <row r="6" spans="1:59">
      <c r="A6" s="34">
        <f>ATAN(2)*180/PI()</f>
        <v>63.43494882292201</v>
      </c>
      <c r="B6" s="28">
        <v>420</v>
      </c>
      <c r="T6" s="360" t="str" cm="1">
        <f t="array" aca="1" ref="T6" ca="1">INDIRECT(IF(COLUMN(N2)&gt;26,"A"&amp;CHAR(COLUMN(N2)-26+64),CHAR(COLUMN(N2)+64))&amp;RANDBETWEEN(ROW(N2),ROW(T_Fijo)))</f>
        <v>A Fijo</v>
      </c>
      <c r="U6" t="s">
        <v>738</v>
      </c>
    </row>
    <row r="7" spans="1:59">
      <c r="A7" s="34">
        <f>ATAN(3/4)*180/PI()</f>
        <v>36.86989764584402</v>
      </c>
      <c r="B7" s="29"/>
      <c r="L7" s="23"/>
      <c r="M7" s="23"/>
    </row>
    <row r="8" spans="1:59">
      <c r="A8" s="34">
        <f>ATAN(4/3)*180/PI()</f>
        <v>53.13010235415598</v>
      </c>
      <c r="B8" s="29"/>
      <c r="L8" s="23"/>
      <c r="M8" s="23"/>
    </row>
    <row r="9" spans="1:59">
      <c r="A9" s="230">
        <v>90</v>
      </c>
      <c r="B9" s="29"/>
      <c r="J9" s="341" t="s">
        <v>1</v>
      </c>
      <c r="K9" s="341" t="s">
        <v>129</v>
      </c>
    </row>
    <row r="10" spans="1:59">
      <c r="A10" s="340" t="s">
        <v>707</v>
      </c>
      <c r="B10" s="341">
        <f ca="1">SUM(LEN(A29)-LEN(SUBSTITUTE(A29,"=","")))/LEN("=")</f>
        <v>0</v>
      </c>
      <c r="C10" s="342"/>
      <c r="D10" s="341">
        <f ca="1">SUM(LEN(C29)-LEN(SUBSTITUTE(C29,"=","")))/LEN("=")</f>
        <v>0</v>
      </c>
      <c r="E10" s="342"/>
      <c r="F10" s="341">
        <f ca="1">SUM(LEN(E29)-LEN(SUBSTITUTE(E29,"=","")))/LEN("=")</f>
        <v>0</v>
      </c>
      <c r="G10" s="342"/>
      <c r="H10" s="341">
        <f ca="1">SUM(LEN(G29)-LEN(SUBSTITUTE(G29,"=","")))/LEN("=")</f>
        <v>0</v>
      </c>
      <c r="I10" s="342"/>
      <c r="J10" s="341">
        <f ca="1">SUM(LEN(J29)-LEN(SUBSTITUTE(J29,"=","")))/LEN("=")</f>
        <v>0</v>
      </c>
      <c r="K10" s="341">
        <f ca="1">SUM(LEN(K29)-LEN(SUBSTITUTE(K29,"=","")))/LEN("=")</f>
        <v>0</v>
      </c>
    </row>
    <row r="11" spans="1:59" ht="14.7" thickBot="1">
      <c r="A11" s="341" t="s">
        <v>545</v>
      </c>
      <c r="B11" s="341" t="s">
        <v>711</v>
      </c>
      <c r="C11" s="341" t="s">
        <v>546</v>
      </c>
      <c r="D11" s="341" t="s">
        <v>708</v>
      </c>
      <c r="E11" s="341" t="s">
        <v>547</v>
      </c>
      <c r="F11" s="341" t="s">
        <v>708</v>
      </c>
      <c r="G11" s="341" t="s">
        <v>548</v>
      </c>
      <c r="H11" s="341" t="s">
        <v>709</v>
      </c>
      <c r="I11" s="341" t="s">
        <v>544</v>
      </c>
      <c r="J11" s="341" t="s">
        <v>710</v>
      </c>
      <c r="K11" s="342"/>
      <c r="AA11" s="22" t="s">
        <v>542</v>
      </c>
      <c r="AB11" s="237">
        <f ca="1">IFERROR(   IF(OR(alfa_C=0,alfa_C=90,q_1Barra_Inclinada= _NO), q_CD * L_CE_v,
                                                                          IF(q_h=_NO,0,  + q_CE * (L_CD1 + L_D1E) * IF(AND( q_h=_OK,q_v=_OK), - SIN(RADIANS(alfa_C)), 1) ) ),0)</f>
        <v>0</v>
      </c>
      <c r="AD11" s="22" t="s">
        <v>541</v>
      </c>
      <c r="AE11" s="237">
        <f ca="1" xml:space="preserve"> IFERROR(  IF(OR(alfa_C=0,alfa_C=90,q_1Barra_Inclinada= _NO), q_DE * L_DE,
                                                                          IF(q_v=_NO,0,    q_CE * (L_CD1 + L_D1E) * IF(AND( q_h=_OK,q_v=_OK), COS(RADIANS(alfa_C)), 1) ) ),0)</f>
        <v>0</v>
      </c>
      <c r="AG11" s="22" t="s">
        <v>563</v>
      </c>
      <c r="AH11" s="237">
        <f ca="1" xml:space="preserve"> - SUM(Fuerzas_V)
  - SUMPRODUCT(PROBLEMA!$AR$20:$AR$23,PROBLEMA!$X$20:$X$23)   - F_qCE_v
  - SUMPRODUCT(PROBLEMA!$AR$26:$AR$28,PROBLEMA!$X$26:$X$28)</f>
        <v>0</v>
      </c>
      <c r="BB11" s="23"/>
    </row>
    <row r="12" spans="1:59" ht="14.45" customHeight="1">
      <c r="A12" s="643" t="s">
        <v>120</v>
      </c>
      <c r="B12" s="643"/>
      <c r="C12" s="643"/>
      <c r="D12" s="643"/>
      <c r="E12" s="643"/>
      <c r="F12" s="643"/>
      <c r="G12" s="643"/>
      <c r="H12" s="643"/>
      <c r="I12" s="643"/>
      <c r="J12" s="643"/>
      <c r="K12" s="643"/>
      <c r="N12" s="651" t="s">
        <v>119</v>
      </c>
      <c r="O12" s="652"/>
      <c r="P12" s="652"/>
      <c r="Q12" s="652"/>
      <c r="R12" s="652"/>
      <c r="S12" s="652"/>
      <c r="T12" s="652"/>
      <c r="U12" s="652"/>
      <c r="V12" s="652"/>
      <c r="W12" s="653"/>
      <c r="Y12" s="337" t="str">
        <f ca="1">OCULTOS!Q2</f>
        <v/>
      </c>
      <c r="Z12" s="159" t="str">
        <f ca="1">IF(OR(Ap_2=0,Ap_2=""),Ap_1,IF(Ap_1&gt;Ap_2,Ap_2,Ap_1))</f>
        <v/>
      </c>
      <c r="AA12" s="640" t="s">
        <v>421</v>
      </c>
      <c r="AB12" s="641"/>
      <c r="AC12" s="641"/>
      <c r="AD12" s="641"/>
      <c r="AE12" s="641"/>
      <c r="AF12" s="641"/>
      <c r="AG12" s="641"/>
      <c r="AH12" s="641"/>
      <c r="AI12" s="641"/>
      <c r="AJ12" s="641"/>
      <c r="AK12" s="641"/>
      <c r="AL12" s="641"/>
      <c r="AM12" s="641"/>
      <c r="AN12" s="641"/>
      <c r="AO12" s="642"/>
      <c r="AP12" s="8"/>
      <c r="BB12" s="23"/>
    </row>
    <row r="13" spans="1:59" ht="14.45" customHeight="1" thickBot="1">
      <c r="A13" s="644" t="s">
        <v>121</v>
      </c>
      <c r="B13" s="645"/>
      <c r="C13" s="646" t="s">
        <v>122</v>
      </c>
      <c r="D13" s="647"/>
      <c r="E13" s="647"/>
      <c r="F13" s="647"/>
      <c r="G13" s="647"/>
      <c r="H13" s="647"/>
      <c r="I13" s="647"/>
      <c r="J13" s="647"/>
      <c r="K13" s="648"/>
      <c r="N13" s="649" t="s">
        <v>39</v>
      </c>
      <c r="O13" s="650"/>
      <c r="P13" s="649" t="s">
        <v>124</v>
      </c>
      <c r="Q13" s="650"/>
      <c r="R13" s="649" t="s">
        <v>125</v>
      </c>
      <c r="S13" s="650"/>
      <c r="T13" s="649" t="s">
        <v>126</v>
      </c>
      <c r="U13" s="650"/>
      <c r="V13" s="649" t="s">
        <v>127</v>
      </c>
      <c r="W13" s="650"/>
      <c r="Y13" s="338" t="str">
        <f ca="1">OCULTOS!Q3</f>
        <v>A Fijo</v>
      </c>
      <c r="Z13" s="162" t="str">
        <f ca="1">IF(OR(Ap_2=0,Ap_2=""),"",IF(Ap_1&gt;Ap_2,Ap_1,Ap_2))</f>
        <v/>
      </c>
      <c r="AA13" s="167" t="s">
        <v>12</v>
      </c>
      <c r="AB13" s="163" t="s">
        <v>34</v>
      </c>
      <c r="AC13" s="163" t="s">
        <v>36</v>
      </c>
      <c r="AD13" s="163" t="s">
        <v>37</v>
      </c>
      <c r="AE13" s="163" t="s">
        <v>38</v>
      </c>
      <c r="AF13" s="163" t="s">
        <v>416</v>
      </c>
      <c r="AG13" s="163" t="s">
        <v>409</v>
      </c>
      <c r="AH13" s="163" t="s">
        <v>40</v>
      </c>
      <c r="AI13" s="163" t="s">
        <v>412</v>
      </c>
      <c r="AJ13" s="163" t="s">
        <v>417</v>
      </c>
      <c r="AK13" s="163" t="s">
        <v>413</v>
      </c>
      <c r="AL13" s="163" t="s">
        <v>418</v>
      </c>
      <c r="AM13" s="163" t="s">
        <v>196</v>
      </c>
      <c r="AN13" s="163" t="s">
        <v>193</v>
      </c>
      <c r="AO13" s="168" t="s">
        <v>118</v>
      </c>
      <c r="AP13" s="15" t="s">
        <v>419</v>
      </c>
      <c r="AQ13" s="246" t="s">
        <v>553</v>
      </c>
      <c r="AR13" s="637" t="s">
        <v>123</v>
      </c>
      <c r="AS13" s="638"/>
      <c r="AT13" s="638"/>
      <c r="AU13" s="638"/>
      <c r="AV13" s="638"/>
      <c r="AW13" s="638"/>
      <c r="AX13" s="638"/>
      <c r="AY13" s="638"/>
      <c r="AZ13" s="639"/>
      <c r="BA13" s="179" t="s">
        <v>552</v>
      </c>
      <c r="BB13" s="179" t="s">
        <v>562</v>
      </c>
      <c r="BC13" s="179" t="s">
        <v>557</v>
      </c>
      <c r="BD13" s="255" t="s">
        <v>561</v>
      </c>
      <c r="BF13" s="106" t="s">
        <v>560</v>
      </c>
    </row>
    <row r="14" spans="1:59" ht="14.45" hidden="1" customHeight="1" outlineLevel="1">
      <c r="A14" s="58" t="str">
        <f ca="1">IF(O14="","",$M14&amp;" = ")</f>
        <v/>
      </c>
      <c r="B14" s="55" t="str" cm="1">
        <f t="array" aca="1" ref="B14" ca="1">IF(INDIRECT(A$11&amp;$M14)=0,"",FIXED(INDIRECT(A$11&amp;$M14),2)&amp;B$11&amp;Tab)</f>
        <v/>
      </c>
      <c r="C14" s="58" t="str">
        <f ca="1">IF(D14="","",$Y14&amp;" = ")</f>
        <v/>
      </c>
      <c r="D14" s="55" t="str" cm="1">
        <f t="array" aca="1" ref="D14" ca="1">IF(OR(INDIRECT(C$11&amp;$Y14)="",INDIRECT(C$11&amp;$Y14)=0),"",
  ABS(INDIRECT(C$11&amp;$Y14))&amp;D$11&amp;IF(INDIRECT(C$11&amp;$Y14)&gt;0,_Arriba&amp;Tab,_Abajo&amp;Tab)&amp;Tab)</f>
        <v/>
      </c>
      <c r="E14" s="58" t="str">
        <f ca="1">IF(F14="","",$Y14&amp;" = ")</f>
        <v/>
      </c>
      <c r="F14" s="56" t="str" cm="1">
        <f t="array" aca="1" ref="F14" ca="1">IF(OR(INDIRECT(E$11&amp;$Y14)="",INDIRECT(E$11&amp;$Y14)=0),"",
  ABS(INDIRECT(E$11&amp;$Y14))&amp;F$11&amp;IF(INDIRECT(E$11&amp;$Y14)&gt;0,_Derecha&amp;Tab,_Izquierda&amp;Tab)&amp;Tab)</f>
        <v/>
      </c>
      <c r="G14" s="58" t="str">
        <f ca="1">IF(H14="","",$Y14&amp;" = ")</f>
        <v/>
      </c>
      <c r="H14" s="57" t="str" cm="1">
        <f t="array" aca="1" ref="H14" ca="1">IF(OR(INDIRECT(G$11&amp;$Y14)="",      INDIRECT(G$11&amp;$Y14)=0),"",
  ABS(INDIRECT(G$11&amp;$Y14))&amp;H$11&amp;IF(INDIRECT(G$11&amp;$Y14)&gt;0,_M_Pos&amp;Tab,_M_Neg&amp;Tab)&amp;Tab)</f>
        <v/>
      </c>
      <c r="I14" s="58" t="str">
        <f ca="1">IF(J14="","",$M14&amp;" = ")</f>
        <v/>
      </c>
      <c r="J14" s="59" t="str" cm="1">
        <f t="array" aca="1" ref="J14" ca="1">IF(OR(INDIRECT(I$11&amp;$M14)="",INDIRECT(I$11&amp;$M14)=0),"",ABS(INDIRECT(I$11&amp;$M14))&amp;J$11&amp;IF(K14="h",
                           IF(INDIRECT(I$11&amp;$M14)&gt;0,_Dcha_q  &amp;Tab, _Izda_q     &amp;Tab),
                           IF(INDIRECT(I$11&amp;$M14)&gt;0,_Arriba_q&amp;Tab, _Abajo_q    &amp;Tab))&amp;Tab)</f>
        <v/>
      </c>
      <c r="K14" s="60" t="str" cm="1">
        <f t="array" aca="1" ref="K14" ca="1">IF(INDIRECT(I$11&amp;$M14)=0,"","h")</f>
        <v/>
      </c>
      <c r="M14" s="220" t="s">
        <v>41</v>
      </c>
      <c r="N14" s="51" t="s">
        <v>44</v>
      </c>
      <c r="O14" s="201" t="str" cm="1">
        <f t="array" aca="1" ref="O14" ca="1">IF(INDIRECT("L_"&amp;M14)=0,"",IF(Ver_Datos=_NO,M14,FIXED(INDIRECT("L_"&amp;M14),2)&amp;" m"))</f>
        <v/>
      </c>
      <c r="P14" s="51" t="s">
        <v>58</v>
      </c>
      <c r="Q14" s="52" t="str">
        <f ca="1">IF(PROBLEMA!AI15=0,"",IF(Ver_Datos=_NO,REPLACE(P14,3,1," "),ABS(PROBLEMA!AI15)&amp;" kN"))</f>
        <v/>
      </c>
      <c r="R14" s="51" t="s">
        <v>73</v>
      </c>
      <c r="S14" s="53" t="str">
        <f ca="1">IF(PROBLEMA!AL15=0,"",IF(Ver_Datos=_NO,REPLACE(R14,3,1," "),ABS(PROBLEMA!AL15)&amp;" kN"))</f>
        <v/>
      </c>
      <c r="T14" s="51" t="s">
        <v>88</v>
      </c>
      <c r="U14" s="54" t="str">
        <f ca="1">IF(PROBLEMA!AO15=0,"",IF(Ver_Datos=_NO,REPLACE(T14,3,1," "),ABS(PROBLEMA!AO15)&amp;" kNm"))</f>
        <v/>
      </c>
      <c r="V14" s="149" t="s">
        <v>103</v>
      </c>
      <c r="W14" s="147" t="str" cm="1">
        <f t="array" aca="1" ref="W14" ca="1">IF(INDIRECT(V14)=0,"",IF(Ver_Datos=_NO,REPLACE(V14,2,1," "),ABS(PROBLEMA!AR15)&amp;" kN/m"))</f>
        <v/>
      </c>
      <c r="Y14" s="161" t="s">
        <v>12</v>
      </c>
      <c r="Z14" s="165" t="s">
        <v>422</v>
      </c>
      <c r="AA14" s="223">
        <f ca="1">IF($Z$12=$Y14,   - SUM(Fuerzas_V)
  - SUMPRODUCT(PROBLEMA!$AR$20:$AR$23,PROBLEMA!$X$20:$X$23)   - F_qCE_v
  - SUMPRODUCT(PROBLEMA!$AR$26:$AR$28,PROBLEMA!$X$26:$X$28)   - SUM(AB14:$AO14),0)</f>
        <v>0</v>
      </c>
      <c r="AB14" s="244">
        <v>0</v>
      </c>
      <c r="AC14" s="244">
        <v>0</v>
      </c>
      <c r="AD14" s="224" cm="1">
        <f t="array" aca="1" ref="AD14" ca="1">IF(AND($Z$12=$Y14,$Z$13=AD$13),IFERROR(IF(Art=0, INDIRECT("SM_"&amp;$Y14) / (L_DE/IF(OR(alfa_C=0,alfa_C=90),1,2)), RFv_Ap_2 ),0),0)</f>
        <v>0</v>
      </c>
      <c r="AE14" s="224" cm="1">
        <f t="array" aca="1" ref="AE14" ca="1">IF(AND($Z$12=$Y14,$Z$13=AE$13),IFERROR(IF(Art=0, INDIRECT("SM_"&amp;$Y14) / (L_DE), RFv_Ap_2 ),0),0)</f>
        <v>0</v>
      </c>
      <c r="AF14" s="224" cm="1">
        <f t="array" aca="1" ref="AF14" ca="1">IF(AND($Z$12=$Y14,$Z$13=AF$13),IFERROR(IF(Art=0, INDIRECT("SM_"&amp;$Y14) / (L_DE+L_EF), RFv_Ap_2 ),0),0)</f>
        <v>0</v>
      </c>
      <c r="AG14" s="224" cm="1">
        <f t="array" aca="1" ref="AG14" ca="1">IF(AND($Z$12=$Y14,$Z$13=AG$13),IFERROR(IF(Art=0, INDIRECT("SM_"&amp;$Y14) / (L_DE+L_EF+L_FG), RFv_Ap_2 ),0),0)</f>
        <v>0</v>
      </c>
      <c r="AH14" s="224" cm="1">
        <f t="array" aca="1" ref="AH14" ca="1">IF(AND($Z$12=$Y14,$Z$13=AH$13),IFERROR(IF(Art=0, INDIRECT("SM_"&amp;$Y14) / (L_DE+L_EF+L_FG+L_GH), RFv_Ap_2 ),0),0)</f>
        <v>0</v>
      </c>
      <c r="AI14" s="224" cm="1">
        <f t="array" aca="1" ref="AI14" ca="1">IF(AND($Z$12=$Y14,$Z$13=AI$13),IFERROR(IF(Art=0, INDIRECT("SM_"&amp;$Y14) / (L_DE+L_EF+L_FG+L_GH+L_HI), RFv_Ap_2 ),0),0)</f>
        <v>0</v>
      </c>
      <c r="AJ14" s="224" cm="1">
        <f t="array" aca="1" ref="AJ14" ca="1">IF(AND($Z$12=$Y14,$Z$13=AJ$13),IFERROR(IF(Art=0, INDIRECT("SM_"&amp;$Y14) / (L_DE+L_EF+L_FG), RFv_Ap_2 ),0),0)</f>
        <v>0</v>
      </c>
      <c r="AK14" s="224" cm="1">
        <f t="array" aca="1" ref="AK14" ca="1">IF(AND($Z$12=$Y14,$Z$13=AK$13),IFERROR(IF(Art=0, INDIRECT("SM_"&amp;$Y14) / (L_DE+L_EF+L_FG), RFv_Ap_2 ),0),0)</f>
        <v>0</v>
      </c>
      <c r="AL14" s="224" cm="1">
        <f t="array" aca="1" ref="AL14" ca="1">IF(AND($Z$12=$Y14,$Z$13=AL$13),IFERROR(IF(Art=0, INDIRECT("SM_"&amp;$Y14) / (L_DE+L_EF+L_FG+L_KL), RFv_Ap_2 ),0),0)</f>
        <v>0</v>
      </c>
      <c r="AM14" s="224" cm="1">
        <f t="array" aca="1" ref="AM14" ca="1">IF(AND($Z$12=$Y14,$Z$13=AM$13),IFERROR(IF(Art=0, INDIRECT("SM_"&amp;$Y14) / (L_DE+L_EF+L_FG+L_KL+L_LM), RFv_Ap_2 ),0),0)</f>
        <v>0</v>
      </c>
      <c r="AN14" s="224" cm="1">
        <f t="array" aca="1" ref="AN14" ca="1">IF(AND($Z$12=$Y14,$Z$13=AN$13),IFERROR(IF(Art=0, INDIRECT("SM_"&amp;$Y14) / (L_DE+L_EF+L_FG+L_KL+L_LM+L_MN), RFv_Ap_2 ),0),0)</f>
        <v>0</v>
      </c>
      <c r="AO14" s="225" cm="1">
        <f t="array" aca="1" ref="AO14" ca="1">IF(AND($Z$12=$Y14,$Z$13=AO$13),IFERROR(IF(Art=0, INDIRECT("SM_"&amp;$Y14) / (L_DE+L_EF+L_FG+L_KL+L_LM), RFv_Ap_2 ),0),0)</f>
        <v>0</v>
      </c>
      <c r="AP14" s="164">
        <f t="shared" ref="AP14:AP28" ca="1" si="0">SUM(AA14:AO14)</f>
        <v>0</v>
      </c>
      <c r="AQ14" s="22">
        <v>0</v>
      </c>
      <c r="AR14" s="183" t="str">
        <f ca="1">IF(OR($P$2=Y14,$P$3=Y14),"Rv "&amp;Y14,"")</f>
        <v/>
      </c>
      <c r="AS14" s="184">
        <f ca="1">OCULTOS!AA$29</f>
        <v>0</v>
      </c>
      <c r="AT14" s="195" t="str">
        <f ca="1">IF(AR14="","",IF(Ver_Resultados=_NO,_Arriba&amp;AR14,IF(AS14&gt;0,_Arriba,_Abajo)&amp;" "&amp;FIXED(ABS(AS14),2)&amp;" kN"))</f>
        <v/>
      </c>
      <c r="AU14" s="183" t="str">
        <f ca="1">IF($P$2=$Y14,"Rh "&amp;$Y14,"")</f>
        <v/>
      </c>
      <c r="AV14" s="184">
        <f ca="1" xml:space="preserve"> IF(AU14="",  0,   - (q_AB * L_AB  +  q_BC * L_BC  +  F_qCE_h   +  q_GJ * L_GJ   +  q_JK * L_JK    +  q_MO * L_MO  +  SUM(Fuerzas_H) )    )</f>
        <v>0</v>
      </c>
      <c r="AW14" s="198" t="str">
        <f ca="1">IF(AU14="","",IF(Ver_Resultados=_NO,_Derecha&amp;AU14,IF(AV14&gt;0,_Derecha,_Izquierda)&amp;" "&amp;FIXED(ABS(AV14),2)&amp;" kN"))</f>
        <v/>
      </c>
      <c r="AX14" s="192" t="str">
        <f t="shared" ref="AX14:AX28" ca="1" si="1">IFERROR(IF(AND($P$2=$Y14,Tipo_Ap=$N$2),"M "&amp;$Y14,""),"")</f>
        <v/>
      </c>
      <c r="AY14" s="284" cm="1">
        <f t="array" aca="1" ref="AY14" ca="1">IFERROR(IF(AX14="",0,  IF(Art=0, - BA14, - BA14 + INDIRECT("RFV_"&amp;Ap_2)  * Ap_Distancia  )),0)</f>
        <v>0</v>
      </c>
      <c r="AZ14" s="195" t="str">
        <f ca="1">IF(AX14="","",IF(Ver_Resultados=_NO,_M_Pos&amp;" M"&amp;Y14,IF(AY14&gt;0,_M_Pos,_M_Neg)&amp;" "&amp;FIXED(ABS(AY14),2)&amp;" kNm"))</f>
        <v/>
      </c>
      <c r="BA14" s="189">
        <f ca="1" xml:space="preserve"> + N("Mom. Cargas uniformes H")
         + q_AB*L_AB*L_AB/2 + q_BC*L_BC*(L_AB+L_BC/2)    +    F_qCE_h*(L_AB+L_BC+L_CE_v/2)
         + q_GJ*L_GJ*(L_AB+L_BC+L_CE_v-L_GJ/2)    +    q_JK*L_JK*(L_AB+L_BC+L_CE_v-L_GJ-L_JK/2)    + q_MO*L_MO * (L_AB+L_BC+L_CE_v-L_GJ-L_JK-L_MO/2)
  + N("Mom. Fuerzas H")
         + (Fh_A + RFh_A) * 0+ (Fh_B + RFh_B) * L_AB  +  (Fh_C + RFh_C) * (L_AB+L_BC) +  (Fh_D1) * (L_AB+L_BC+L_CE_v/2 )
         + (Fh_D+Fh_E+Fh_F+Fh_G+Fh_H+Fh_I + RFh_D+RFh_E+RFh_F+RFh_G+RFh_H+RFh_I) * (L_AB+L_BC+L_CE_v)
         + (Fh_J + RFh_J)   *  (L_AB+L_BC+L_CE_v-L_GJ) +  (Fh_K+Fh_L+Fh_M+Fh_N + RFh_K+RFh_L+RFh_M+RFh_N) * (L_AB+L_BC+L_CE_v-L_GJ-L_JK)
         + (Fh_O + RFh_O) * (L_AB+L_BC+L_CE_v-L_GJ-L_JK-L_MO)  +
  + N("Mom. puntuales") +  SUM(Momentos)  -  (
  + N("Mom. Cargas uniformes V")
        + F_qCE_v * L_DE/2  + q_EF * L_EF * (L_DE+L_EF/2)
        + q_FG * L_FG*(L_DE+L_EF+L_FG/2)  +  q_GH * L_GH * (L_DE+L_EF+L_FG+L_GH/2)  +  q_HI * L_HI * (L_DE+L_EF+L_FG+L_GH+L_HI/2)
        + q_KL  * L_KL*(L_DE+L_EF+L_FG+L_KL/2)  +  q_LM * L_LM * (L_DE+L_EF+L_FG+L_KL+L_LM/2)  +  q_MN * L_MN * (L_DE+L_EF+L_FG+L_KL+L_LM+L_MN/2)
   + N("Mom. Fuerzas V")
       + Fv_D1 * L_DE/2 + Fv_E * L_DE  +  Fv_F  * (L_DE+L_EF)  +  (Fv_G+Fv_J+Fv_K ) * (L_DE+L_EF+L_FG)
       + Fv_H  * (L_DE+L_EF+L_FG+L_GH)  +  Fv_I  * (L_DE+L_EF+L_FG+L_GH+L_HI)
       + Fv_L  * (L_DE+L_EF+L_FG+L_KL)  +  (Fv_M+Fv_O) * (L_DE+L_EF+L_FG+L_KL+L_LM) + Fv_N * (L_DE+L_EF+L_FG+L_KL+L_LM+L_MN)  )</f>
        <v>0</v>
      </c>
      <c r="BB14" s="189">
        <v>0</v>
      </c>
      <c r="BC14" s="250">
        <f t="shared" ref="BC14:BC28" ca="1" si="2">IF(BF14=_Izquierda, BB14,BA14-BB14)</f>
        <v>0</v>
      </c>
      <c r="BD14" s="252" t="str">
        <f t="shared" ref="BD14:BD28" ca="1" si="3">IF(BE14&lt;&gt;Art, "", IF(BF14=_Izquierda, BA14 - BB14, BB14 ) /Art_Distancia )</f>
        <v/>
      </c>
      <c r="BE14" s="235" t="str">
        <f t="shared" ref="BE14:BE28" si="4">Y14</f>
        <v>A</v>
      </c>
      <c r="BG14" s="235"/>
    </row>
    <row r="15" spans="1:59" ht="14.45" hidden="1" customHeight="1" outlineLevel="1">
      <c r="A15" s="75" t="str">
        <f ca="1">IF(O15="","",$M15&amp;" = ")</f>
        <v/>
      </c>
      <c r="B15" s="72" t="str" cm="1">
        <f t="array" aca="1" ref="B15" ca="1">IF(INDIRECT(A$11&amp;$M15)=0,"",FIXED(INDIRECT(A$11&amp;$M15),2)&amp;B$11&amp;Tab)</f>
        <v/>
      </c>
      <c r="C15" s="75" t="str">
        <f t="shared" ref="C15:C28" ca="1" si="5">IF(D15="","",$Y15&amp;" = ")</f>
        <v/>
      </c>
      <c r="D15" s="72" t="str" cm="1">
        <f t="array" aca="1" ref="D15" ca="1">IF(OR(INDIRECT(C$11&amp;$Y15)="",INDIRECT(C$11&amp;$Y15)=0),"",
  ABS(INDIRECT(C$11&amp;$Y15))&amp;D$11&amp;IF(INDIRECT(C$11&amp;$Y15)&gt;0,_Arriba&amp;Tab,_Abajo&amp;Tab)&amp;Tab)</f>
        <v/>
      </c>
      <c r="E15" s="75" t="str">
        <f ca="1">IF(F15="","",$Y15&amp;" = ")</f>
        <v/>
      </c>
      <c r="F15" s="73" t="str" cm="1">
        <f t="array" aca="1" ref="F15" ca="1">IF(OR(INDIRECT(E$11&amp;$Y15)="",INDIRECT(E$11&amp;$Y15)=0),"",
  ABS(INDIRECT(E$11&amp;$Y15))&amp;F$11&amp;IF(INDIRECT(E$11&amp;$Y15)&gt;0,_Derecha&amp;Tab,_Izquierda&amp;Tab)&amp;Tab)</f>
        <v/>
      </c>
      <c r="G15" s="75" t="str">
        <f ca="1">IF(H15="","",$Y15&amp;" = ")</f>
        <v/>
      </c>
      <c r="H15" s="74" t="str" cm="1">
        <f t="array" aca="1" ref="H15" ca="1">IF(OR(INDIRECT(G$11&amp;$Y15)="",      INDIRECT(G$11&amp;$Y15)=0),"",
  ABS(INDIRECT(G$11&amp;$Y15))&amp;H$11&amp;IF(INDIRECT(G$11&amp;$Y15)&gt;0,_M_Pos&amp;Tab,_M_Neg&amp;Tab)&amp;Tab)</f>
        <v/>
      </c>
      <c r="I15" s="75" t="str">
        <f ca="1">IF(J15="","",M15&amp;" = ")</f>
        <v/>
      </c>
      <c r="J15" s="76" t="str" cm="1">
        <f t="array" aca="1" ref="J15" ca="1">IF(OR(INDIRECT(I$11&amp;$M15)="",INDIRECT(I$11&amp;$M15)=0),"",ABS(INDIRECT(I$11&amp;$M15))&amp;J$11&amp;IF(K15="h",
                           IF(INDIRECT(I$11&amp;$M15)&gt;0,_Dcha_q  &amp;Tab, _Izda_q     &amp;Tab),
                           IF(INDIRECT(I$11&amp;$M15)&gt;0,_Arriba_q&amp;Tab, _Abajo_q    &amp;Tab))&amp;Tab)</f>
        <v/>
      </c>
      <c r="K15" s="77" t="str" cm="1">
        <f t="array" aca="1" ref="K15" ca="1">IF(INDIRECT(I$11&amp;$M15)=0,"","h")</f>
        <v/>
      </c>
      <c r="M15" s="221" t="s">
        <v>128</v>
      </c>
      <c r="N15" s="68" t="s">
        <v>45</v>
      </c>
      <c r="O15" s="202" t="str" cm="1">
        <f t="array" aca="1" ref="O15" ca="1">IF(INDIRECT("L_"&amp;M15)=0,"",IF(Ver_Datos=_NO,M15,FIXED(INDIRECT("L_"&amp;M15),2)&amp;" m"))</f>
        <v/>
      </c>
      <c r="P15" s="68" t="s">
        <v>59</v>
      </c>
      <c r="Q15" s="69" t="str">
        <f ca="1">IF(PROBLEMA!AI16=0,"",IF(Ver_Datos=_NO,REPLACE(P15,3,1," "),ABS(PROBLEMA!AI16)&amp;" kN"))</f>
        <v/>
      </c>
      <c r="R15" s="68" t="s">
        <v>74</v>
      </c>
      <c r="S15" s="70" t="str">
        <f ca="1">IF(PROBLEMA!AL16=0,"",IF(Ver_Datos=_NO,REPLACE(R15,3,1," "),ABS(PROBLEMA!AL16)&amp;" kN"))</f>
        <v/>
      </c>
      <c r="T15" s="68" t="s">
        <v>89</v>
      </c>
      <c r="U15" s="71" t="str">
        <f ca="1">IF(PROBLEMA!AO16=0,"",IF(Ver_Datos=_NO,REPLACE(T15,3,1," "),ABS(PROBLEMA!AO16)&amp;" kNm"))</f>
        <v/>
      </c>
      <c r="V15" s="150" t="s">
        <v>104</v>
      </c>
      <c r="W15" s="148" t="str" cm="1">
        <f t="array" aca="1" ref="W15" ca="1">IF(INDIRECT(V15)=0,"",IF(Ver_Datos=_NO,REPLACE(V15,2,1," "),ABS(PROBLEMA!AR16)&amp;" kN/m"))</f>
        <v/>
      </c>
      <c r="Y15" s="160" t="s">
        <v>34</v>
      </c>
      <c r="Z15" s="166" t="s">
        <v>423</v>
      </c>
      <c r="AA15" s="169"/>
      <c r="AB15" s="226">
        <f ca="1">IF($Z$12=$Y15,   - SUM(Fuerzas_V)
  - SUMPRODUCT(PROBLEMA!$AR$20:$AR$23,PROBLEMA!$X$20:$X$23)   - F_qCE_v
  - SUMPRODUCT(PROBLEMA!$AR$26:$AR$28,PROBLEMA!$X$26:$X$28)   - SUM(AC15:$AO15),0)</f>
        <v>0</v>
      </c>
      <c r="AC15" s="243">
        <v>0</v>
      </c>
      <c r="AD15" s="158" cm="1">
        <f t="array" aca="1" ref="AD15" ca="1">IF(AND($Z$12=$Y15,$Z$13=AD$13),IFERROR(IF(Art=0, INDIRECT("SM_"&amp;$Y15) / (L_DE/IF(OR(alfa_C=0,alfa_C=90),1,2)), RFv_Ap_2 ),0),0)</f>
        <v>0</v>
      </c>
      <c r="AE15" s="158" cm="1">
        <f t="array" aca="1" ref="AE15" ca="1">IF(AND($Z$12=$Y15,$Z$13=AE$13),IFERROR(IF(Art=0, INDIRECT("SM_"&amp;$Y15) / (L_DE), RFv_Ap_2 ),0),0)</f>
        <v>0</v>
      </c>
      <c r="AF15" s="158" cm="1">
        <f t="array" aca="1" ref="AF15" ca="1">IF(AND($Z$12=$Y15,$Z$13=AF$13),IFERROR(IF(Art=0, INDIRECT("SM_"&amp;$Y15) / (L_DE+L_EF), RFv_Ap_2 ),0),0)</f>
        <v>0</v>
      </c>
      <c r="AG15" s="158" cm="1">
        <f t="array" aca="1" ref="AG15" ca="1">IF(AND($Z$12=$Y15,$Z$13=AG$13),IFERROR(IF(Art=0, INDIRECT("SM_"&amp;$Y15) / (L_DE+L_EF+L_FG), RFv_Ap_2 ),0),0)</f>
        <v>0</v>
      </c>
      <c r="AH15" s="158" cm="1">
        <f t="array" aca="1" ref="AH15" ca="1">IF(AND($Z$12=$Y15,$Z$13=AH$13),IFERROR(IF(Art=0, INDIRECT("SM_"&amp;$Y15) / (L_DE+L_EF+L_FG+L_GH), RFv_Ap_2 ),0),0)</f>
        <v>0</v>
      </c>
      <c r="AI15" s="158" cm="1">
        <f t="array" aca="1" ref="AI15" ca="1">IF(AND($Z$12=$Y15,$Z$13=AI$13),IFERROR(IF(Art=0, INDIRECT("SM_"&amp;$Y15) / (L_DE+L_EF+L_FG+L_GH+L_HI), RFv_Ap_2 ),0),0)</f>
        <v>0</v>
      </c>
      <c r="AJ15" s="158" cm="1">
        <f t="array" aca="1" ref="AJ15" ca="1">IF(AND($Z$12=$Y15,$Z$13=AJ$13),IFERROR(IF(Art=0, INDIRECT("SM_"&amp;$Y15) / (L_DE+L_EF+L_FG), RFv_Ap_2 ),0),0)</f>
        <v>0</v>
      </c>
      <c r="AK15" s="158" cm="1">
        <f t="array" aca="1" ref="AK15" ca="1">IF(AND($Z$12=$Y15,$Z$13=AK$13),IFERROR(IF(Art=0, INDIRECT("SM_"&amp;$Y15) / (L_DE+L_EF+L_FG), RFv_Ap_2 ),0),0)</f>
        <v>0</v>
      </c>
      <c r="AL15" s="158" cm="1">
        <f t="array" aca="1" ref="AL15" ca="1">IF(AND($Z$12=$Y15,$Z$13=AL$13),IFERROR(IF(Art=0, INDIRECT("SM_"&amp;$Y15) / (L_DE+L_EF+L_FG+L_KL), RFv_Ap_2 ),0),0)</f>
        <v>0</v>
      </c>
      <c r="AM15" s="158" cm="1">
        <f t="array" aca="1" ref="AM15" ca="1">IF(AND($Z$12=$Y15,$Z$13=AM$13),IFERROR(IF(Art=0, INDIRECT("SM_"&amp;$Y15) / (L_DE+L_EF+L_FG+L_KL+L_LM), RFv_Ap_2 ),0),0)</f>
        <v>0</v>
      </c>
      <c r="AN15" s="158" cm="1">
        <f t="array" aca="1" ref="AN15" ca="1">IF(AND($Z$12=$Y15,$Z$13=AN$13),IFERROR(IF(Art=0, INDIRECT("SM_"&amp;$Y15) / (L_DE+L_EF+L_FG+L_KL+L_LM+L_MN), RFv_Ap_2 ),0),0)</f>
        <v>0</v>
      </c>
      <c r="AO15" s="170" cm="1">
        <f t="array" aca="1" ref="AO15" ca="1">IF(AND($Z$12=$Y15,$Z$13=AO$13),IFERROR(IF(Art=0, INDIRECT("SM_"&amp;$Y15) / (L_DE+L_EF+L_FG+L_KL+L_LM), RFv_Ap_2 ),0),0)</f>
        <v>0</v>
      </c>
      <c r="AP15" s="164">
        <f t="shared" ca="1" si="0"/>
        <v>0</v>
      </c>
      <c r="AQ15" s="22">
        <v>0</v>
      </c>
      <c r="AR15" s="185" t="str">
        <f ca="1">IF(OR($P$2=Y15,$P$3=Y15),"Rv "&amp;Y15,"")</f>
        <v/>
      </c>
      <c r="AS15" s="188">
        <f ca="1">OCULTOS!AB$29</f>
        <v>0</v>
      </c>
      <c r="AT15" s="196" t="str">
        <f ca="1">IF(AR15="","",IF(Ver_Resultados=_NO,_Arriba&amp;AR15,IF(AS15&gt;0,_Arriba,_Abajo)&amp;" "&amp;FIXED(ABS(AS15),2)&amp;" kN"))</f>
        <v/>
      </c>
      <c r="AU15" s="185" t="str">
        <f t="shared" ref="AU15:AU28" ca="1" si="6">IF($P$2=$Y15,"Rh "&amp;$Y15,"")</f>
        <v/>
      </c>
      <c r="AV15" s="188">
        <f ca="1" xml:space="preserve"> IF(AU15="",  0,   - (q_AB * L_AB  +  q_BC * L_BC  +  F_qCE_h   +  q_GJ * L_GJ   +  q_JK * L_JK    +  q_MO * L_MO  +  SUM(Fuerzas_H) )    )</f>
        <v>0</v>
      </c>
      <c r="AW15" s="199" t="str">
        <f ca="1">IF(AU15="","",IF(Ver_Resultados=_NO,_Derecha&amp;AU15,IF(AV15&gt;0,_Derecha,_Izquierda)&amp;" "&amp;FIXED(ABS(AV15),2)&amp;" kN"))</f>
        <v/>
      </c>
      <c r="AX15" s="193" t="str">
        <f t="shared" ca="1" si="1"/>
        <v/>
      </c>
      <c r="AY15" s="285" cm="1">
        <f t="array" aca="1" ref="AY15" ca="1">IFERROR(IF(AX15="",0,  IF(Art=0, - BA15, - BA15 + INDIRECT("RFV_"&amp;Ap_2)  * Ap_Distancia  )),0)</f>
        <v>0</v>
      </c>
      <c r="AZ15" s="196" t="str">
        <f ca="1">IF(AX15="","",IF(Ver_Resultados=_NO,_M_Pos&amp;" M"&amp;Y15,IF(AY15&gt;0,_M_Pos,_M_Neg)&amp;" "&amp;FIXED(ABS(AY15),2)&amp;" kNm"))</f>
        <v/>
      </c>
      <c r="BA15" s="190">
        <f ca="1" xml:space="preserve"> - q_AB*L_AB*L_AB/2 + q_BC*L_BC*(L_BC/2)    +    F_qCE_h*(L_BC+L_CE_v/2)
   + q_GJ*L_GJ*(L_BC+L_CE_v-L_GJ/2)    +    q_JK*L_JK*(L_BC+L_CE_v-L_GJ-L_JK/2)    + q_MO*L_MO * (L_BC+L_CE_v-L_GJ-L_JK-L_MO/2)
- (Fh_A + RFh_A) *  L_AB - (Fh_B + RFh_B) * 0 +  (Fh_C + RFh_C) * (L_BC) +  (Fh_D1) * (L_BC+L_CE_v/2 )
+ (Fh_D+Fh_E+Fh_F+Fh_G+Fh_H+Fh_I + RFh_D+RFh_E+RFh_F+RFh_G+RFh_H+RFh_I) * (L_BC+L_CE_v)
+ (Fh_J + RFh_J)   *  (L_BC+L_CE_v-L_GJ) +  (Fh_K+Fh_L+Fh_M+Fh_N + RFh_K+RFh_L+RFh_M+RFh_N) * (L_BC+L_CE_v-L_GJ-L_JK)
+ (Fh_O + RFh_O) * (L_BC+L_CE_v-L_GJ-L_JK-L_MO)  +                                                                                                         SUM(Momentos)  -  (
    + F_qCE_v * L_DE/2  + q_EF * L_EF * (L_DE+L_EF/2)
    + q_FG * L_FG*(L_DE+L_EF+L_FG/2)  +  q_GH * L_GH * (L_DE+L_EF+L_FG+L_GH/2)  +  q_HI * L_HI * (L_DE+L_EF+L_FG+L_GH+L_HI/2)
    + q_KL  * L_KL*(L_DE+L_EF+L_FG+L_KL/2)  +  q_LM * L_LM * (L_DE+L_EF+L_FG+L_KL+L_LM/2)  +  q_MN * L_MN * (L_DE+L_EF+L_FG+L_KL+L_LM+L_MN/2)
+ Fv_D1 * L_DE/2 + Fv_E * L_DE  +  Fv_F  * (L_DE+L_EF)  +  (Fv_G+Fv_J+Fv_K ) * (L_DE+L_EF+L_FG)
+ Fv_H  * (L_DE+L_EF+L_FG+L_GH)  +  Fv_I  * (L_DE+L_EF+L_FG+L_GH+L_HI)
+ Fv_L  * (L_DE+L_EF+L_FG+L_KL)  +  (Fv_M+Fv_O) * (L_DE+L_EF+L_FG+L_KL+L_LM) + Fv_N * (L_DE+L_EF+L_FG+L_KL+L_LM+L_MN)  )</f>
        <v>0</v>
      </c>
      <c r="BB15" s="190">
        <f ca="1">- q_AB*L_AB*L_AB/2  - (Fh_A + RFh_A) *  L_AB + ( Mz_A )</f>
        <v>0</v>
      </c>
      <c r="BC15" s="190">
        <f t="shared" ca="1" si="2"/>
        <v>0</v>
      </c>
      <c r="BD15" s="253" t="str">
        <f t="shared" ca="1" si="3"/>
        <v/>
      </c>
      <c r="BE15" s="235" t="str">
        <f t="shared" si="4"/>
        <v>B</v>
      </c>
      <c r="BF15" t="str">
        <f t="shared" ref="BF15:BF21" ca="1" si="7">IF(BE15&lt;Ap_1,_Derecha,_Izquierda)</f>
        <v>←</v>
      </c>
      <c r="BG15" s="235"/>
    </row>
    <row r="16" spans="1:59" ht="14.45" hidden="1" customHeight="1" outlineLevel="1">
      <c r="A16" s="75" t="str">
        <f ca="1">IF(O16="","",IF(OR(alfa_C=0,alfa_C=90),$M16&amp;" = ","CEv = "))</f>
        <v/>
      </c>
      <c r="B16" s="72" t="str" cm="1">
        <f t="array" aca="1" ref="B16" ca="1">IF(AND(L_CD=0,L_CD1=0,OR(alfa_C=0,alfa_C=90)),"",FIXED(L_CE_v,2)&amp;B11&amp;Tab)</f>
        <v/>
      </c>
      <c r="C16" s="75" t="str">
        <f t="shared" ca="1" si="5"/>
        <v/>
      </c>
      <c r="D16" s="72" t="str" cm="1">
        <f t="array" aca="1" ref="D16" ca="1">IF(OR(INDIRECT(C$11&amp;$Y16)="",INDIRECT(C$11&amp;$Y16)=0),"",
  ABS(INDIRECT(C$11&amp;$Y16))&amp;D$11&amp;IF(INDIRECT(C$11&amp;$Y16)&gt;0,_Arriba&amp;Tab,_Abajo&amp;Tab)&amp;Tab)</f>
        <v/>
      </c>
      <c r="E16" s="75" t="str">
        <f t="shared" ref="E16:E28" ca="1" si="8">IF(F16="","",$Y16&amp;" = ")</f>
        <v/>
      </c>
      <c r="F16" s="73" t="str" cm="1">
        <f t="array" aca="1" ref="F16" ca="1">IF(OR(INDIRECT(E$11&amp;$Y16)="",INDIRECT(E$11&amp;$Y16)=0),"",
  ABS(INDIRECT(E$11&amp;$Y16))&amp;F$11&amp;IF(INDIRECT(E$11&amp;$Y16)&gt;0,_Derecha&amp;Tab,_Izquierda&amp;Tab)&amp;Tab)</f>
        <v/>
      </c>
      <c r="G16" s="75" t="str">
        <f ca="1">IF(H16="","",$Y16&amp;" = ")</f>
        <v/>
      </c>
      <c r="H16" s="74" t="str" cm="1">
        <f t="array" aca="1" ref="H16" ca="1">IF(OR(INDIRECT(G$11&amp;$Y16)="",      INDIRECT(G$11&amp;$Y16)=0),"",
  ABS(INDIRECT(G$11&amp;$Y16))&amp;H$11&amp;IF(INDIRECT(G$11&amp;$Y16)&gt;0,_M_Pos&amp;Tab,_M_Neg&amp;Tab)&amp;Tab)</f>
        <v/>
      </c>
      <c r="I16" s="75" t="str">
        <f ca="1">IF(J16="","",IF(OR(alfa_C=0,alfa_C=90),M16,$M$18)&amp;" = ")</f>
        <v/>
      </c>
      <c r="J16" s="76" t="str" cm="1">
        <f t="array" aca="1" ref="J16" ca="1">IF(OR(INDIRECT(I$11&amp;$M16)="",INDIRECT(I$11&amp;$M16)=0),"",ABS(INDIRECT(I$11&amp;$M16))&amp;J$11&amp;IF(K16="h",
                           IF(INDIRECT(I$11&amp;$M16)&gt;0,_Dcha_q  &amp;Tab, _Izda_q     &amp;Tab),
                           IF(INDIRECT(I$11&amp;$M16)&gt;0,_Arriba_q&amp;Tab, _Abajo_q    &amp;Tab))&amp;Tab)</f>
        <v/>
      </c>
      <c r="K16" s="77" t="str" cm="1">
        <f t="array" aca="1" ref="K16" ca="1">IF(INDIRECT(I$11&amp;$M16)=0,"","h")</f>
        <v/>
      </c>
      <c r="M16" s="221" t="s">
        <v>449</v>
      </c>
      <c r="N16" s="68" t="s">
        <v>414</v>
      </c>
      <c r="O16" s="202" t="str" cm="1">
        <f t="array" aca="1" ref="O16" ca="1">IF(INDIRECT("L_"&amp;M16)=0,"",IF(Ver_Datos=_NO,M16,FIXED(INDIRECT("L_"&amp;M16),2)&amp;" m"))</f>
        <v/>
      </c>
      <c r="P16" s="68" t="s">
        <v>60</v>
      </c>
      <c r="Q16" s="69" t="str">
        <f ca="1">IF(PROBLEMA!AI17=0,"",IF(Ver_Datos=_NO,REPLACE(P16,3,1," "),ABS(PROBLEMA!AI17)&amp;" kN"))</f>
        <v/>
      </c>
      <c r="R16" s="68" t="s">
        <v>75</v>
      </c>
      <c r="S16" s="70" t="str">
        <f ca="1">IF(PROBLEMA!AL17=0,"",IF(Ver_Datos=_NO,REPLACE(R16,3,1," "),ABS(PROBLEMA!AL17)&amp;" kN"))</f>
        <v/>
      </c>
      <c r="T16" s="68" t="s">
        <v>90</v>
      </c>
      <c r="U16" s="71" t="str">
        <f ca="1">IF(PROBLEMA!AO17=0,"",IF(Ver_Datos=_NO,REPLACE(T16,3,1," "),ABS(PROBLEMA!AO17)&amp;" kNm"))</f>
        <v/>
      </c>
      <c r="V16" s="150" t="s">
        <v>447</v>
      </c>
      <c r="W16" s="148" t="str" cm="1">
        <f t="array" aca="1" ref="W16" ca="1">IF(INDIRECT(V16)=0,"",IF(Ver_Datos=_NO,IF(OR(alfa_C=0,alfa_C=90),REPLACE(V16,2,1," "),"q CE"),ABS(PROBLEMA!AR17)&amp;" kN/m"))</f>
        <v/>
      </c>
      <c r="Y16" s="160" t="s">
        <v>36</v>
      </c>
      <c r="Z16" s="166" t="s">
        <v>424</v>
      </c>
      <c r="AA16" s="169"/>
      <c r="AB16" s="158"/>
      <c r="AC16" s="226">
        <f ca="1">IF($Z$12=$Y16,   - SUM(Fuerzas_V)
  - SUMPRODUCT(PROBLEMA!$AR$20:$AR$23,PROBLEMA!$X$20:$X$23)   - F_qCE_v
  - SUMPRODUCT(PROBLEMA!$AR$26:$AR$28,PROBLEMA!$X$26:$X$28)   - SUM(AD16:$AO16),0)</f>
        <v>0</v>
      </c>
      <c r="AD16" s="158" cm="1">
        <f t="array" aca="1" ref="AD16" ca="1">IF(AND($Z$12=$Y16,$Z$13=AD$13),IFERROR(IF(Art=0, INDIRECT("SM_"&amp;$Y16) / (L_DE/IF(OR(alfa_C=0,alfa_C=90),1,2)), RFv_Ap_2 ),0),0)</f>
        <v>0</v>
      </c>
      <c r="AE16" s="158" cm="1">
        <f t="array" aca="1" ref="AE16" ca="1">IF(AND($Z$12=$Y16,$Z$13=AE$13),IFERROR(IF(Art=0, INDIRECT("SM_"&amp;$Y16) / (L_DE), RFv_Ap_2 ),0),0)</f>
        <v>0</v>
      </c>
      <c r="AF16" s="158" cm="1">
        <f t="array" aca="1" ref="AF16" ca="1">IF(AND($Z$12=$Y16,$Z$13=AF$13),IFERROR(IF(Art=0, INDIRECT("SM_"&amp;$Y16) / (L_DE+L_EF), RFv_Ap_2 ),0),0)</f>
        <v>0</v>
      </c>
      <c r="AG16" s="158" cm="1">
        <f t="array" aca="1" ref="AG16" ca="1">IF(AND($Z$12=$Y16,$Z$13=AG$13),IFERROR(IF(Art=0, INDIRECT("SM_"&amp;$Y16) / (L_DE+L_EF+L_FG), RFv_Ap_2 ),0),0)</f>
        <v>0</v>
      </c>
      <c r="AH16" s="158" cm="1">
        <f t="array" aca="1" ref="AH16" ca="1">IF(AND($Z$12=$Y16,$Z$13=AH$13),IFERROR(IF(Art=0, INDIRECT("SM_"&amp;$Y16) / (L_DE+L_EF+L_FG+L_GH), RFv_Ap_2 ),0),0)</f>
        <v>0</v>
      </c>
      <c r="AI16" s="158" cm="1">
        <f t="array" aca="1" ref="AI16" ca="1">IF(AND($Z$12=$Y16,$Z$13=AI$13),IFERROR(IF(Art=0, INDIRECT("SM_"&amp;$Y16) / (L_DE+L_EF+L_FG+L_GH+L_HI), RFv_Ap_2 ),0),0)</f>
        <v>0</v>
      </c>
      <c r="AJ16" s="158" cm="1">
        <f t="array" aca="1" ref="AJ16" ca="1">IF(AND($Z$12=$Y16,$Z$13=AJ$13),IFERROR(IF(Art=0, INDIRECT("SM_"&amp;$Y16) / (L_DE+L_EF+L_FG), RFv_Ap_2 ),0),0)</f>
        <v>0</v>
      </c>
      <c r="AK16" s="158" cm="1">
        <f t="array" aca="1" ref="AK16" ca="1">IF(AND($Z$12=$Y16,$Z$13=AK$13),IFERROR(IF(Art=0, INDIRECT("SM_"&amp;$Y16) / (L_DE+L_EF+L_FG), RFv_Ap_2 ),0),0)</f>
        <v>0</v>
      </c>
      <c r="AL16" s="158" cm="1">
        <f t="array" aca="1" ref="AL16" ca="1">IF(AND($Z$12=$Y16,$Z$13=AL$13),IFERROR(IF(Art=0, INDIRECT("SM_"&amp;$Y16) / (L_DE+L_EF+L_FG+L_KL), RFv_Ap_2 ),0),0)</f>
        <v>0</v>
      </c>
      <c r="AM16" s="158" cm="1">
        <f t="array" aca="1" ref="AM16" ca="1">IF(AND($Z$12=$Y16,$Z$13=AM$13),IFERROR(IF(Art=0, INDIRECT("SM_"&amp;$Y16) / (L_DE+L_EF+L_FG+L_KL+L_LM), RFv_Ap_2 ),0),0)</f>
        <v>0</v>
      </c>
      <c r="AN16" s="158" cm="1">
        <f t="array" aca="1" ref="AN16" ca="1">IF(AND($Z$12=$Y16,$Z$13=AN$13),IFERROR(IF(Art=0, INDIRECT("SM_"&amp;$Y16) / (L_DE+L_EF+L_FG+L_KL+L_LM+L_MN), RFv_Ap_2 ),0),0)</f>
        <v>0</v>
      </c>
      <c r="AO16" s="170" cm="1">
        <f t="array" aca="1" ref="AO16" ca="1">IF(AND($Z$12=$Y16,$Z$13=AO$13),IFERROR(IF(Art=0, INDIRECT("SM_"&amp;$Y16) / (L_DE+L_EF+L_FG+L_KL+L_LM), RFv_Ap_2 ),0),0)</f>
        <v>0</v>
      </c>
      <c r="AP16" s="164">
        <f t="shared" ca="1" si="0"/>
        <v>0</v>
      </c>
      <c r="AQ16" s="22">
        <v>0</v>
      </c>
      <c r="AR16" s="185" t="str">
        <f ca="1">IF(OR($P$2=Y16,$P$3=Y16),"Rv "&amp;Y16,"")</f>
        <v/>
      </c>
      <c r="AS16" s="188">
        <f ca="1">OCULTOS!AC$29</f>
        <v>0</v>
      </c>
      <c r="AT16" s="196" t="str">
        <f ca="1">IF(AR16="","",IF(Ver_Resultados=_NO,_Arriba&amp;AR16,IF(AS16&gt;0,_Arriba,_Abajo)&amp;" "&amp;FIXED(ABS(AS16),2)&amp;" kN"))</f>
        <v/>
      </c>
      <c r="AU16" s="185" t="str">
        <f t="shared" ca="1" si="6"/>
        <v/>
      </c>
      <c r="AV16" s="188">
        <f ca="1" xml:space="preserve"> IF(AU16="",  0,   - (q_AB * L_AB  +  q_BC * L_BC  +  F_qCE_h   +  q_GJ * L_GJ   +  q_JK * L_JK    +  q_MO * L_MO  +  SUM(Fuerzas_H) )    )</f>
        <v>0</v>
      </c>
      <c r="AW16" s="199" t="str">
        <f ca="1">IF(AU16="","",IF(Ver_Resultados=_NO,_Derecha&amp;AU16,IF(AV16&gt;0,_Derecha,_Izquierda)&amp;" "&amp;FIXED(ABS(AV16),2)&amp;" kN"))</f>
        <v/>
      </c>
      <c r="AX16" s="193" t="str">
        <f t="shared" ca="1" si="1"/>
        <v/>
      </c>
      <c r="AY16" s="285" cm="1">
        <f t="array" aca="1" ref="AY16" ca="1">IFERROR(IF(AX16="",0,  IF(Art=0, - BA16, - BA16 + INDIRECT("RFV_"&amp;Ap_2)  * Ap_Distancia  )),0)</f>
        <v>0</v>
      </c>
      <c r="AZ16" s="196" t="str">
        <f ca="1">IF(AX16="","",IF(Ver_Resultados=_NO,_M_Pos&amp;" M"&amp;Y16,IF(AY16&gt;0,_M_Pos,_M_Neg)&amp;" "&amp;FIXED(ABS(AY16),2)&amp;" kNm"))</f>
        <v/>
      </c>
      <c r="BA16" s="190">
        <f ca="1" xml:space="preserve"> - q_AB*L_AB*(L_AB/2+L_BC) - q_BC*L_BC*(L_BC/2)    +    F_qCE_h*(L_CE_v/2)
   + q_GJ*L_GJ*(L_CE_v-L_GJ/2)    +    q_JK*L_JK*(L_CE_v-L_GJ-L_JK/2)    + q_MO*L_MO * (L_CE_v-L_GJ-L_JK-L_MO/2)
- (Fh_A + RFh_A) *  (L_AB+L_BC)  -  (Fh_B + RFh_B) * (L_BC) +  (Fh_D1) * (L_CE_v/2 )
+ (Fh_D+Fh_E+Fh_F+Fh_G+Fh_H+Fh_I + RFh_D+RFh_E+RFh_F+RFh_G+RFh_H+RFh_I) * (L_CE_v)
+ (Fh_J + RFh_J)   *  (L_CE_v-L_GJ) +  (Fh_K+Fh_L+Fh_M+Fh_N + RFh_K+RFh_L+RFh_M+RFh_N) * (L_CE_v-L_GJ-L_JK)
+ (Fh_O + RFh_O) * (L_CE_v-L_GJ-L_JK-L_MO)  +                                                                                             SUM(Momentos)  -  (
    + F_qCE_v * L_DE/2  + q_EF * L_EF * (L_DE+L_EF/2)
    + q_FG * L_FG*(L_DE+L_EF+L_FG/2)  +  q_GH * L_GH * (L_DE+L_EF+L_FG+L_GH/2)  +  q_HI * L_HI * (L_DE+L_EF+L_FG+L_GH+L_HI/2)
    + q_KL  * L_KL*(L_DE+L_EF+L_FG+L_KL/2)  +  q_LM * L_LM * (L_DE+L_EF+L_FG+L_KL+L_LM/2)  +  q_MN * L_MN * (L_DE+L_EF+L_FG+L_KL+L_LM+L_MN/2)
+ Fv_D1 * L_DE/2 + Fv_E * L_DE  +  Fv_F  * (L_DE+L_EF)  +  (Fv_G+Fv_J+Fv_K ) * (L_DE+L_EF+L_FG)
+ Fv_H  * (L_DE+L_EF+L_FG+L_GH)  +  Fv_I  * (L_DE+L_EF+L_FG+L_GH+L_HI)
+ Fv_L  * (L_DE+L_EF+L_FG+L_KL)  +  (Fv_M+Fv_O) * (L_DE+L_EF+L_FG+L_KL+L_LM) + Fv_N * (L_DE+L_EF+L_FG+L_KL+L_LM+L_MN)  )</f>
        <v>0</v>
      </c>
      <c r="BB16" s="190">
        <f ca="1">- q_AB*L_AB*(L_AB/2+L_BC) - q_BC*L_BC*(L_BC/2)  - (Fh_A + RFh_A) *  (L_AB+L_BC)  -  (Fh_B + RFh_B) * (L_BC) + ( Mz_A+Mz_B )</f>
        <v>0</v>
      </c>
      <c r="BC16" s="190">
        <f t="shared" ca="1" si="2"/>
        <v>0</v>
      </c>
      <c r="BD16" s="253" t="str">
        <f t="shared" ca="1" si="3"/>
        <v/>
      </c>
      <c r="BE16" s="235" t="str">
        <f t="shared" si="4"/>
        <v>C</v>
      </c>
      <c r="BF16" t="str">
        <f t="shared" ca="1" si="7"/>
        <v>←</v>
      </c>
      <c r="BG16" s="235"/>
    </row>
    <row r="17" spans="1:59" ht="14.45" hidden="1" customHeight="1" outlineLevel="1">
      <c r="A17" s="75" t="str">
        <f ca="1">IF(O17="","",$M17&amp;" = ")</f>
        <v/>
      </c>
      <c r="B17" s="72" t="str" cm="1">
        <f t="array" aca="1" ref="B17" ca="1">IF(OR(AND(L_DE=0,L_D1E=0),AND(alfa_C&gt;1,alfa_C&lt;89)),"",FIXED(L_DE,2)&amp;B11&amp;Tab)</f>
        <v/>
      </c>
      <c r="C17" s="75" t="str">
        <f t="shared" ca="1" si="5"/>
        <v/>
      </c>
      <c r="D17" s="72" t="str" cm="1">
        <f t="array" aca="1" ref="D17" ca="1">IF(OR(INDIRECT(C$11&amp;$Y17&amp;IF(OR(alfa_C=0,alfa_C=90),"",1))="",      INDIRECT(C$11&amp;$Y17&amp;IF(OR(alfa_C=0,alfa_C=90),"",1))=0),"",
  ABS(INDIRECT(C$11&amp;$Y17&amp;IF(OR(alfa_C=0,alfa_C=90),"",1)))&amp;D$11&amp;
   IF(INDIRECT(C$11&amp;$Y17&amp;IF(OR(alfa_C=0,alfa_C=90),"",1))&gt;0,_Arriba&amp;Tab,_Abajo&amp;Tab)&amp;Tab&amp;
   IF(MOD(ROW(C16)-ROW($C$14)+1-COUNTIF($C$14:C16,"")+1,4)&lt;&gt;0,"",
   IF(COUNTA(Q18:$Q$29)-COUNTIF(Q18:$Q$29,"")=0,"",Salto&amp;Tab_4)))</f>
        <v/>
      </c>
      <c r="E17" s="75" t="str">
        <f t="shared" ca="1" si="8"/>
        <v/>
      </c>
      <c r="F17" s="73" t="str" cm="1">
        <f t="array" aca="1" ref="F17" ca="1">IF(OR(INDIRECT(E$11&amp;$Y17&amp;IF(OR(alfa_C=0,alfa_C=90),"",1))="",INDIRECT(E$11&amp;$Y17&amp;IF(OR(alfa_C=0,alfa_C=90),"",1))=0),"",
  ABS(INDIRECT(E$11&amp;$Y17&amp;IF(OR(alfa_C=0,alfa_C=90),"",1)))&amp;F$11&amp;
   IF(INDIRECT(E$11&amp;$Y17&amp;IF(OR(alfa_C=0,alfa_C=90),"",1))&gt;0,_Derecha&amp;Tab,_Izquierda&amp;Tab)&amp;Tab&amp;
   IF(MOD(ROW(E16)-ROW($E$14)+1-COUNTIF($E$14:E16,"")+1,4)&lt;&gt;0,"",
   IF(COUNTA(S18:$S$29)-COUNTIF(S18:$S$29,"")=0,"",Salto&amp;Tab_4)))</f>
        <v/>
      </c>
      <c r="G17" s="75" t="str">
        <f ca="1">IF(H17="","",$Y17&amp;" = ")</f>
        <v/>
      </c>
      <c r="H17" s="74" t="str" cm="1">
        <f t="array" aca="1" ref="H17" ca="1">IF(OR(INDIRECT(G$11&amp;$Y17&amp;IF(OR(alfa_C=0,alfa_C=90),"",1))="",      INDIRECT(G$11&amp;$Y17&amp;IF(OR(alfa_C=0,alfa_C=90),"",1))=0),"",
  ABS(INDIRECT(G$11&amp;$Y17&amp;IF(OR(alfa_C=0,alfa_C=90),"",1)))&amp;H$11&amp;
   IF(INDIRECT(G$11&amp;$Y17&amp;IF(OR(alfa_C=0,alfa_C=90),"",1))&gt;0,_M_Pos&amp;Tab,_M_Neg&amp;Tab)&amp;Tab&amp;
   IF(MOD(ROW(G16)-ROW($G$14)+1-COUNTIF($G$14:G16,"")+1,4)&lt;&gt;0,"",
   IF(COUNTA(U18:$U$29)-COUNTIF(U18:$U$29,"")=0,"",Salto&amp;Tab_4)))</f>
        <v/>
      </c>
      <c r="I17" s="75" t="str">
        <f ca="1">IF(J17="","",IF(OR(alfa_C=0,alfa_C=90),M17,$M$18)&amp;" = ")</f>
        <v/>
      </c>
      <c r="J17" s="76" t="str" cm="1">
        <f t="array" aca="1" ref="J17" ca="1">IF(OR(INDIRECT(I$11&amp;$M17)="",INDIRECT(I$11&amp;$M17)=0),"",ABS(INDIRECT(I$11&amp;$M17))&amp;J$11&amp;IF(K17="h",
                           IF(INDIRECT(I$11&amp;$M17)&gt;0,_Dcha_q  &amp;Tab, _Izda_q     &amp;Tab),
                           IF(INDIRECT(I$11&amp;$M17)&gt;0,_Arriba_q&amp;Tab, _Abajo_q    &amp;Tab))&amp;Tab)</f>
        <v/>
      </c>
      <c r="K17" s="77" t="str" cm="1">
        <f t="array" aca="1" ref="K17" ca="1">IF(INDIRECT(I$11&amp;$M17)=0,"","v")</f>
        <v/>
      </c>
      <c r="M17" s="221" t="s">
        <v>42</v>
      </c>
      <c r="N17" s="68" t="s">
        <v>415</v>
      </c>
      <c r="O17" s="202" t="str" cm="1">
        <f t="array" aca="1" ref="O17" ca="1">IF(OR(alfa_C=0,alfa_C=90),IF(INDIRECT("L_"&amp;M17)=0,"",IF(Ver_Datos=_NO,M17,FIXED(INDIRECT("L_"&amp;M17),2)&amp;" m")),"")</f>
        <v/>
      </c>
      <c r="P17" s="68" t="s">
        <v>61</v>
      </c>
      <c r="Q17" s="69" t="str">
        <f ca="1">IF(PROBLEMA!AI18=0,"",IF(Ver_Datos=_NO,REPLACE(P17,3,1," "),ABS(PROBLEMA!AI18)&amp;" kN"))</f>
        <v/>
      </c>
      <c r="R17" s="68" t="s">
        <v>76</v>
      </c>
      <c r="S17" s="70" t="str">
        <f ca="1">IF(PROBLEMA!AL18=0,"",IF(Ver_Datos=_NO,REPLACE(R17,3,1," "),ABS(PROBLEMA!AL18)&amp;" kN"))</f>
        <v/>
      </c>
      <c r="T17" s="68" t="s">
        <v>91</v>
      </c>
      <c r="U17" s="71" t="str">
        <f ca="1">IF(PROBLEMA!AO18=0,"",IF(Ver_Datos=_NO,REPLACE(T17,3,1," "),ABS(PROBLEMA!AO18)&amp;" kNm"))</f>
        <v/>
      </c>
      <c r="V17" s="150" t="s">
        <v>446</v>
      </c>
      <c r="W17" s="148" t="str" cm="1">
        <f t="array" aca="1" ref="W17" ca="1">IF(INDIRECT(V17)=0,"",IF(Ver_Datos=_NO,IF(OR(alfa_C=0,alfa_C=90),REPLACE(V17,2,1," "),"q CE"),ABS(PROBLEMA!AR18)&amp;" kN/m"))</f>
        <v/>
      </c>
      <c r="Y17" s="160" t="s">
        <v>37</v>
      </c>
      <c r="Z17" s="166" t="s">
        <v>425</v>
      </c>
      <c r="AA17" s="169"/>
      <c r="AB17" s="158"/>
      <c r="AC17" s="158"/>
      <c r="AD17" s="226">
        <f ca="1">IF($Z$12=$Y17,   - SUM(Fuerzas_V)
  - SUMPRODUCT(PROBLEMA!$AR$20:$AR$23,PROBLEMA!$X$20:$X$23)   - F_qCE_v
  - SUMPRODUCT(PROBLEMA!$AR$26:$AR$28,PROBLEMA!$X$26:$X$28)   - SUM(AE17:$AO17),0)</f>
        <v>0</v>
      </c>
      <c r="AE17" s="158" cm="1">
        <f t="array" aca="1" ref="AE17" ca="1">IF(AND($Z$12=$Y17,$Z$13=AE$13),IFERROR(IF(Art=0, INDIRECT("SM_"&amp;$Y17) / (L_DE/IF(OR(alfa_C=0,alfa_C=90),1,2)), RFv_Ap_2 ),0),0)</f>
        <v>0</v>
      </c>
      <c r="AF17" s="158" cm="1">
        <f t="array" aca="1" ref="AF17" ca="1">IF(AND($Z$12=$Y17,$Z$13=AF$13),IFERROR(IF(Art=0, INDIRECT("SM_"&amp;$Y17) / (L_DE/IF(OR(alfa_C=0,alfa_C=90),1,2)+L_EF), RFv_Ap_2 ),0),0)</f>
        <v>0</v>
      </c>
      <c r="AG17" s="158" cm="1">
        <f t="array" aca="1" ref="AG17" ca="1">IF(AND($Z$12=$Y17,$Z$13=AG$13),IFERROR(IF(Art=0, INDIRECT("SM_"&amp;$Y17) / (L_DE/IF(OR(alfa_C=0,alfa_C=90),1,2)+L_EF+L_FG), RFv_Ap_2 ),0),0)</f>
        <v>0</v>
      </c>
      <c r="AH17" s="158" cm="1">
        <f t="array" aca="1" ref="AH17" ca="1">IF(AND($Z$12=$Y17,$Z$13=AH$13),IFERROR(IF(Art=0, INDIRECT("SM_"&amp;$Y17) / (L_DE/IF(OR(alfa_C=0,alfa_C=90),1,2)+L_EF+L_FG+L_GH), RFv_Ap_2 ),0),0)</f>
        <v>0</v>
      </c>
      <c r="AI17" s="158" cm="1">
        <f t="array" aca="1" ref="AI17" ca="1">IF(AND($Z$12=$Y17,$Z$13=AI$13),IFERROR(IF(Art=0, INDIRECT("SM_"&amp;$Y17) / (L_DE/IF(OR(alfa_C=0,alfa_C=90),1,2)+L_EF+L_FG+L_GH+L_HI), RFv_Ap_2 ),0),0)</f>
        <v>0</v>
      </c>
      <c r="AJ17" s="158" cm="1">
        <f t="array" aca="1" ref="AJ17" ca="1">IF(AND($Z$12=$Y17,$Z$13=AJ$13),IFERROR(IF(Art=0, INDIRECT("SM_"&amp;$Y17) / ( (L_DE/IF(OR(alfa_C=0,alfa_C=90),1,2)+L_EF+L_FG) ), RFv_Ap_2 ),0),0)</f>
        <v>0</v>
      </c>
      <c r="AK17" s="158" cm="1">
        <f t="array" aca="1" ref="AK17" ca="1">IF(AND($Z$12=$Y17,$Z$13=AK$13),IFERROR(IF(Art=0, INDIRECT("SM_"&amp;$Y17) / ( (L_DE/IF(OR(alfa_C=0,alfa_C=90),1,2)+L_EF+L_FG) ), RFv_Ap_2 ),0),0)</f>
        <v>0</v>
      </c>
      <c r="AL17" s="158" cm="1">
        <f t="array" aca="1" ref="AL17" ca="1">IF(AND($Z$12=$Y17,$Z$13=AL$13),IFERROR(IF(Art=0, INDIRECT("SM_"&amp;$Y17) / ( (L_DE/IF(OR(alfa_C=0,alfa_C=90),1,2)+L_EF+L_FG+L_KL) ), RFv_Ap_2 ),0),0)</f>
        <v>0</v>
      </c>
      <c r="AM17" s="158" cm="1">
        <f t="array" aca="1" ref="AM17" ca="1">IF(AND($Z$12=$Y17,$Z$13=AM$13),IFERROR(IF(Art=0, INDIRECT("SM_"&amp;$Y17) / ( (L_DE/IF(OR(alfa_C=0,alfa_C=90),1,2)+L_EF+L_FG+L_KL+L_LM) ), RFv_Ap_2 ),0),0)</f>
        <v>0</v>
      </c>
      <c r="AN17" s="158" cm="1">
        <f t="array" aca="1" ref="AN17" ca="1">IF(AND($Z$12=$Y17,$Z$13=AN$13),IFERROR(IF(Art=0, INDIRECT("SM_"&amp;$Y17) / ( (L_DE/IF(OR(alfa_C=0,alfa_C=90),1,2)+L_EF+L_FG+L_KL+L_LM+L_MN) ), RFv_Ap_2 ),0),0)</f>
        <v>0</v>
      </c>
      <c r="AO17" s="170" cm="1">
        <f t="array" aca="1" ref="AO17" ca="1">IF(AND($Z$12=$Y17,$Z$13=AO$13),IFERROR(IF(Art=0, INDIRECT("SM_"&amp;$Y17) / ( (L_DE/IF(OR(alfa_C=0,alfa_C=90),1,2)+L_EF+L_FG+L_KL+L_LM) ), RFv_Ap_2 ),0),0)</f>
        <v>0</v>
      </c>
      <c r="AP17" s="164">
        <f t="shared" ca="1" si="0"/>
        <v>0</v>
      </c>
      <c r="AQ17" s="22">
        <f ca="1">IF(OR(alfa_C=0,alfa_C=90),0,L_DE/2)</f>
        <v>0</v>
      </c>
      <c r="AR17" s="278" t="str">
        <f ca="1">IF(OR($P$2=Y17,$P$3=Y17),"Rv "&amp;Y17,"")</f>
        <v/>
      </c>
      <c r="AS17" s="279">
        <f ca="1">IF(OR(alfa_C=0,alfa_C=90),OCULTOS!AD$29,0)</f>
        <v>0</v>
      </c>
      <c r="AT17" s="280" t="str">
        <f ca="1">IF(AR17="","",IF(Ver_Resultados=_NO,_Arriba&amp;AR17,IF(AS17&gt;0,_Arriba,_Abajo)&amp;" "&amp;FIXED(ABS(AS17),2)&amp;" kN"))</f>
        <v/>
      </c>
      <c r="AU17" s="278" t="str">
        <f t="shared" ca="1" si="6"/>
        <v/>
      </c>
      <c r="AV17" s="279">
        <f ca="1" xml:space="preserve"> IF(OR(alfa_C=0,alfa_C=90,U17=""),  0,   - (q_AB * L_AB  +  q_BC * L_BC  +  F_qCE_h   +  q_GJ * L_GJ   +  q_JK * L_JK    +  q_MO * L_MO  +  SUM(Fuerzas_H) )    )</f>
        <v>0</v>
      </c>
      <c r="AW17" s="281" t="str">
        <f ca="1">IF(AU17="","",IF(Ver_Resultados=_NO,_Derecha&amp;AU17,IF(AV17&gt;0,_Derecha,_Izquierda)&amp;" "&amp;FIXED(ABS(AV17),2)&amp;" kN"))</f>
        <v/>
      </c>
      <c r="AX17" s="282" t="str">
        <f t="shared" ca="1" si="1"/>
        <v/>
      </c>
      <c r="AY17" s="285" cm="1">
        <f t="array" aca="1" ref="AY17" ca="1">IFERROR(IF(AX17="",0,  IF(Art=0, - BA17, - BA17 + INDIRECT("RFV_"&amp;Ap_2)  * Ap_Distancia  )),0)</f>
        <v>0</v>
      </c>
      <c r="AZ17" s="280" t="str">
        <f ca="1">IF(AX17="","",IF(Ver_Resultados=_NO,_M_Pos&amp;" M"&amp;Y17,IF(AY17&gt;0,_M_Pos,_M_Neg)&amp;" "&amp;FIXED(ABS(AY17),2)&amp;" kNm"))</f>
        <v/>
      </c>
      <c r="BA17" s="190">
        <f ca="1">IF(OR(alfa_C=0,alfa_C=90), - q_AB*L_AB*(L_AB/2+L_BC+L_CE_v) - q_BC*L_BC*(L_BC/2+L_CE_v)    -    F_qCE_h*(L_CE_v/2)
   + q_GJ*L_GJ*(-L_GJ/2)    +    q_JK*L_JK*(-L_GJ-L_JK/2)    + q_MO*L_MO * (-L_GJ-L_JK-L_MO/2)
- (Fh_A + RFh_A) *  (L_AB+L_BC+L_CE_v)  -  (Fh_B + RFh_B) * (L_BC+L_CE_v) -  (Fh_C + RFh_C) * (L_CE_v)  + (Fh_D1) * (0)
+ (Fh_D+Fh_E+Fh_F+Fh_G+Fh_H+Fh_I + RFh_D+RFh_E+RFh_F+RFh_G+RFh_H+RFh_I) * (0)
+ (Fh_J + RFh_J)   *  (-L_GJ) +  (Fh_K+Fh_L+Fh_M+Fh_N + RFh_K+RFh_L+RFh_M+RFh_N) * (-L_GJ-L_JK)
+ (Fh_O + RFh_O) * (-L_GJ-L_JK-L_MO)  +                                                                               SUM(Momentos)  -  (
    + F_qCE_v * L_DE/2  + q_EF * L_EF * (L_DE+L_EF/2)
    + q_FG * L_FG*(L_DE+L_EF+L_FG/2)  +  q_GH * L_GH * (L_DE+L_EF+L_FG+L_GH/2)  +  q_HI * L_HI * (L_DE+L_EF+L_FG+L_GH+L_HI/2)
    + q_KL  * L_KL*(L_DE+L_EF+L_FG+L_KL/2)  +  q_LM * L_LM * (L_DE+L_EF+L_FG+L_KL+L_LM/2)  +  q_MN * L_MN * (L_DE+L_EF+L_FG+L_KL+L_LM+L_MN/2)
+ Fv_D1 * L_DE/2 + Fv_E * L_DE  +  Fv_F  * (L_DE+L_EF)  +  (Fv_G+Fv_J+Fv_K ) * (L_DE+L_EF+L_FG)
+ Fv_H  * (L_DE+L_EF+L_FG+L_GH)  +  Fv_I  * (L_DE+L_EF+L_FG+L_GH+L_HI)
+ Fv_L  * (L_DE+L_EF+L_FG+L_KL)  +  (Fv_M+Fv_O) * (L_DE+L_EF+L_FG+L_KL+L_LM) + Fv_N * (L_DE+L_EF+L_FG+L_KL+L_LM+L_MN)  ),0)</f>
        <v>0</v>
      </c>
      <c r="BB17" s="190">
        <f ca="1" xml:space="preserve"> IF(OR(alfa_C=0,alfa_C=90), - q_AB*L_AB*(L_AB/2+L_BC+L_CE_v) - q_BC*L_BC*(L_BC/2+L_CE_v)    -    F_qCE_h*(L_CE_v/2)
                                                     - (Fh_A + RFh_A) *  (L_AB+L_BC+L_CE_v)  -  (Fh_B + RFh_B) * (L_BC+L_CE_v) -  (Fh_C + RFh_C) * (L_CE_v)  + ( Mz_A+Mz_B+Mz_C ),0)</f>
        <v>0</v>
      </c>
      <c r="BC17" s="190">
        <f t="shared" ca="1" si="2"/>
        <v>0</v>
      </c>
      <c r="BD17" s="253" t="str">
        <f t="shared" ca="1" si="3"/>
        <v/>
      </c>
      <c r="BE17" s="235" t="str">
        <f t="shared" si="4"/>
        <v>D</v>
      </c>
      <c r="BF17" t="str">
        <f t="shared" ca="1" si="7"/>
        <v>←</v>
      </c>
      <c r="BG17" s="235"/>
    </row>
    <row r="18" spans="1:59" ht="14.45" hidden="1" customHeight="1" outlineLevel="1">
      <c r="A18" s="75"/>
      <c r="B18" s="72" t="s">
        <v>568</v>
      </c>
      <c r="C18" s="75" t="str">
        <f t="shared" ca="1" si="5"/>
        <v/>
      </c>
      <c r="D18" s="72" t="str" cm="1">
        <f t="array" aca="1" ref="D18" ca="1">IF(OR(INDIRECT(C$11&amp;$Y18)="",INDIRECT(C$11&amp;$Y18)=0),"",
  ABS(INDIRECT(C$11&amp;$Y18))&amp;D$11&amp;IF(INDIRECT(C$11&amp;$Y18)&gt;0,_Arriba&amp;Tab,_Abajo&amp;Tab)&amp;Tab&amp;
 IF(MOD(ROW(C17)-ROW($C$14)+1-COUNTIF($C$14:C17,"")+1,4)&lt;&gt;0,"",
 IF(COUNTA(Q19:$Q$29)-COUNTIF(Q19:$Q$29,"")=0,"",Salto&amp;Tab_4)))</f>
        <v/>
      </c>
      <c r="E18" s="75" t="str">
        <f t="shared" ca="1" si="8"/>
        <v/>
      </c>
      <c r="F18" s="73" t="str" cm="1">
        <f t="array" aca="1" ref="F18" ca="1">IF(OR(INDIRECT(E$11&amp;$Y18)="",INDIRECT(E$11&amp;$Y18)=0),"",ABS(INDIRECT(E$11&amp;$Y18))&amp;F$11&amp;
   IF(INDIRECT(E$11&amp;$Y18)&gt;0,_Derecha&amp;Tab,_Izquierda&amp;Tab)&amp;Tab&amp;
   IF(MOD(ROW(E17)-ROW($E$14)+1-COUNTIF($E$14:E17,"")+1,4)&lt;&gt;0,"",
   IF(COUNTA(S19:$S$29)-COUNTIF(S19:$S$29,"")=0,"",Salto&amp;Tab_4)))</f>
        <v/>
      </c>
      <c r="G18" s="75" t="str">
        <f ca="1">IF(H18="","",$Y18&amp;" = ")</f>
        <v/>
      </c>
      <c r="H18" s="74" t="str" cm="1">
        <f t="array" aca="1" ref="H18" ca="1">IF(OR(INDIRECT(G$11&amp;$Y18)="",INDIRECT(G$11&amp;$Y18)=0),"",
  ABS(INDIRECT(G$11&amp;$Y18))&amp;H$11&amp;IF(INDIRECT(G$11&amp;$Y18)&gt;0,_M_Pos&amp;Tab,_M_Neg&amp;Tab)&amp;Tab&amp;
  IF(MOD(ROW(G17)-ROW($G$14)+1-COUNTIF($G$14:G17,"")+1,4)&lt;&gt;0,"",
  IF(COUNTA(U19:$U$29)-COUNTIF(U19:$U$29,"")=0,"",Salto&amp;Tab_4)))</f>
        <v/>
      </c>
      <c r="I18" s="75" t="str">
        <f ca="1">IF(J18="","",$M18&amp;" = ")</f>
        <v/>
      </c>
      <c r="J18" s="236" t="str" cm="1">
        <f t="array" aca="1" ref="J18" ca="1">IF(OR(INDIRECT(I$11&amp;$M18)="",INDIRECT(I$11&amp;$M18)=0),"",ABS(INDIRECT(I$11&amp;$M18))&amp;J$11&amp;IF(K18="h",
                           IF(INDIRECT(I$11&amp;$M18)&gt;0,_Arriba_q_b &amp;Tab, _Abajo_q_b    &amp;Tab),
                           IF(INDIRECT(I$11&amp;$M18)&gt;0,_Arriba_q_b &amp;Tab, _Abajo_q_b    &amp;Tab))&amp;Tab)</f>
        <v/>
      </c>
      <c r="K18" s="344" t="str" cm="1">
        <f t="array" aca="1" ref="K18" ca="1">IF(INDIRECT(I$11&amp;$M18)=0,"",IF(q_1Barra_Inclinada=_OK,IF(q_CE&gt;0,"h","v"),""))</f>
        <v/>
      </c>
      <c r="M18" s="221" t="s">
        <v>543</v>
      </c>
      <c r="N18" s="68"/>
      <c r="O18" s="202" t="str">
        <f ca="1">IF(L_CE_v=0,"",IF(Ver_Datos=_NO,IF(OR(alfa_C=0,alfa_C=90),M16,M18&amp;"v"),FIXED(L_CE_v,2)&amp;" m"))</f>
        <v/>
      </c>
      <c r="P18" s="68" t="s">
        <v>392</v>
      </c>
      <c r="Q18" s="69" t="str">
        <f ca="1">IF(PROBLEMA!AI19=0,"",IF(Ver_Datos=_NO,REPLACE(P18,3,1," "),ABS(PROBLEMA!AI19)&amp;" kN"))</f>
        <v/>
      </c>
      <c r="R18" s="68" t="s">
        <v>393</v>
      </c>
      <c r="S18" s="70" t="str">
        <f ca="1">IF(PROBLEMA!AL19=0,"",IF(Ver_Datos=_NO,REPLACE(R18,3,1," "),ABS(PROBLEMA!AL19)&amp;" kN"))</f>
        <v/>
      </c>
      <c r="T18" s="68" t="s">
        <v>394</v>
      </c>
      <c r="U18" s="71" t="str">
        <f ca="1">IF(PROBLEMA!AO19=0,"",IF(Ver_Datos=_NO,REPLACE(T18,3,1," "),ABS(PROBLEMA!AO19)&amp;" kNm"))</f>
        <v/>
      </c>
      <c r="V18" s="150" t="s">
        <v>107</v>
      </c>
      <c r="W18" s="148" t="str" cm="1">
        <f t="array" aca="1" ref="W18" ca="1">IF(INDIRECT(V18)=0,"",IF(Ver_Datos=_NO,REPLACE(V18,2,1," "),ROUND(ABS(PROBLEMA!AR19),2)&amp;" kN/m"))</f>
        <v/>
      </c>
      <c r="Y18" s="160" t="s">
        <v>38</v>
      </c>
      <c r="Z18" s="166" t="s">
        <v>426</v>
      </c>
      <c r="AA18" s="169"/>
      <c r="AB18" s="158"/>
      <c r="AC18" s="158"/>
      <c r="AD18" s="158"/>
      <c r="AE18" s="226">
        <f ca="1">IF($Z$12=$Y18,   - SUM(Fuerzas_V)
  - SUMPRODUCT(PROBLEMA!$AR$20:$AR$23,PROBLEMA!$X$20:$X$23)   - F_qCE_v
  - SUMPRODUCT(PROBLEMA!$AR$26:$AR$28,PROBLEMA!$X$26:$X$28)   - SUM(AF18:$AO18),0)</f>
        <v>0</v>
      </c>
      <c r="AF18" s="158" cm="1">
        <f t="array" aca="1" ref="AF18" ca="1">IF(AND($Z$12=$Y18,$Z$13=AF$13),IFERROR(IF(Art=0, INDIRECT("SM_"&amp;$Y18) / (L_EF), RFv_Ap_2 ),0),0)</f>
        <v>0</v>
      </c>
      <c r="AG18" s="158" cm="1">
        <f t="array" aca="1" ref="AG18" ca="1">IF(AND($Z$12=$Y18,$Z$13=AG$13),IFERROR(IF(Art=0, INDIRECT("SM_"&amp;$Y18) / (L_EF+L_FG), RFv_Ap_2 ),0),0)</f>
        <v>0</v>
      </c>
      <c r="AH18" s="158" cm="1">
        <f t="array" aca="1" ref="AH18" ca="1">IF(AND($Z$12=$Y18,$Z$13=AH$13),IFERROR(IF(Art=0, INDIRECT("SM_"&amp;$Y18) / (L_EF+L_FG+L_GH), RFv_Ap_2 ),0),0)</f>
        <v>0</v>
      </c>
      <c r="AI18" s="158" cm="1">
        <f t="array" aca="1" ref="AI18" ca="1">IF(AND($Z$12=$Y18,$Z$13=AI$13),IFERROR(IF(Art=0, INDIRECT("SM_"&amp;$Y18) / (L_EF+L_FG+L_GH+L_HI), RFv_Ap_2 ),0),0)</f>
        <v>0</v>
      </c>
      <c r="AJ18" s="158" cm="1">
        <f t="array" aca="1" ref="AJ18" ca="1">IF(AND($Z$12=$Y18,$Z$13=AJ$13),IFERROR(IF(Art=0, INDIRECT("SM_"&amp;$Y18) / ( L_EF+L_FG ), RFv_Ap_2 ),0),0)</f>
        <v>0</v>
      </c>
      <c r="AK18" s="158" cm="1">
        <f t="array" aca="1" ref="AK18" ca="1">IF(AND($Z$12=$Y18,$Z$13=AK$13),IFERROR(IF(Art=0, INDIRECT("SM_"&amp;$Y18) / ( L_EF+L_FG ), RFv_Ap_2 ),0),0)</f>
        <v>0</v>
      </c>
      <c r="AL18" s="158" cm="1">
        <f t="array" aca="1" ref="AL18" ca="1">IF(AND($Z$12=$Y18,$Z$13=AL$13),IFERROR(IF(Art=0, INDIRECT("SM_"&amp;$Y18) / ( L_EF+L_FG+L_KL ), RFv_Ap_2 ),0),0)</f>
        <v>0</v>
      </c>
      <c r="AM18" s="158" cm="1">
        <f t="array" aca="1" ref="AM18" ca="1">IF(AND($Z$12=$Y18,$Z$13=AM$13),IFERROR(IF(Art=0, INDIRECT("SM_"&amp;$Y18) / ( L_EF+L_FG+L_KL+L_LM ), RFv_Ap_2 ),0),0)</f>
        <v>0</v>
      </c>
      <c r="AN18" s="158" cm="1">
        <f t="array" aca="1" ref="AN18" ca="1">IF(AND($Z$12=$Y18,$Z$13=AN$13),IFERROR(IF(Art=0, INDIRECT("SM_"&amp;$Y18) / ( L_EF+L_FG+L_KL+L_LM+L_MN ), RFv_Ap_2 ),0),0)</f>
        <v>0</v>
      </c>
      <c r="AO18" s="170" cm="1">
        <f t="array" aca="1" ref="AO18" ca="1">IF(AND($Z$12=$Y18,$Z$13=AO$13),IFERROR(IF(Art=0, INDIRECT("SM_"&amp;$Y18) / ( L_EF+L_FG+L_KL+L_LM ), RFv_Ap_2 ),0),0)</f>
        <v>0</v>
      </c>
      <c r="AP18" s="164">
        <f t="shared" ca="1" si="0"/>
        <v>0</v>
      </c>
      <c r="AQ18" s="22">
        <f ca="1">L_DE</f>
        <v>0</v>
      </c>
      <c r="AR18" s="185" t="str">
        <f t="shared" ref="AR18:AR28" ca="1" si="9">IF(OR($P$2=Y18,$P$3=Y18),"Rv "&amp;Y18,"")</f>
        <v/>
      </c>
      <c r="AS18" s="188">
        <f ca="1">OCULTOS!AE$29</f>
        <v>0</v>
      </c>
      <c r="AT18" s="196" t="str">
        <f ca="1">IF(AR18="","",IF(Ver_Resultados=_NO,_Arriba&amp;AR18,IF(AS18&gt;0,_Arriba,_Abajo)&amp;" "&amp;FIXED(ABS(AS18),2)&amp;" kN"))</f>
        <v/>
      </c>
      <c r="AU18" s="185" t="str">
        <f t="shared" ca="1" si="6"/>
        <v/>
      </c>
      <c r="AV18" s="188">
        <f t="shared" ref="AV18:AV28" ca="1" si="10" xml:space="preserve"> IF(AU18="",  0,   - (q_AB * L_AB  +  q_BC * L_BC  +  F_qCE_h   +  q_GJ * L_GJ   +  q_JK * L_JK    +  q_MO * L_MO  +  SUM(Fuerzas_H) )    )</f>
        <v>0</v>
      </c>
      <c r="AW18" s="199" t="str">
        <f ca="1">IF(AU18="","",IF(Ver_Resultados=_NO,_Derecha&amp;AU18,IF(AV18&gt;0,_Derecha,_Izquierda)&amp;" "&amp;FIXED(ABS(AV18),2)&amp;" kN"))</f>
        <v/>
      </c>
      <c r="AX18" s="193" t="str">
        <f t="shared" ca="1" si="1"/>
        <v/>
      </c>
      <c r="AY18" s="285" cm="1">
        <f t="array" aca="1" ref="AY18" ca="1">IFERROR(IF(AX18="",0,  IF(Art=0, - BA18, - BA18 + INDIRECT("RFV_"&amp;Ap_2)  * Ap_Distancia  )),0)</f>
        <v>0</v>
      </c>
      <c r="AZ18" s="196" t="str">
        <f ca="1">IF(AX18="","",IF(Ver_Resultados=_NO,"M"&amp;Y18&amp;" "&amp;_M_Pos,FIXED(ABS(AY18),2)&amp;" kNm "&amp;IF(AY18&gt;0,_M_Pos,_M_Neg)))</f>
        <v/>
      </c>
      <c r="BA18" s="190">
        <f ca="1" xml:space="preserve"> - q_AB*L_AB*(L_AB/2+L_BC+L_CE_v) - q_BC*L_BC*(L_BC/2+L_CE_v)    -    F_qCE_h*(L_CE_v/2)
   + q_GJ*L_GJ*(-L_GJ/2)    +    q_JK*L_JK*(-L_GJ-L_JK/2)    + q_MO*L_MO * (-L_GJ-L_JK-L_MO/2)
- (Fh_A + RFh_A) *  (L_AB+L_BC+L_CE_v)  -  (Fh_B + RFh_B) * (L_BC+L_CE_v) -  (Fh_C + RFh_C) * (L_CE_v) -  (Fh_D1) * (L_CE_v/2 )
+ (Fh_D+Fh_E+Fh_F+Fh_G+Fh_H+Fh_I + RFh_D+RFh_E+RFh_F+RFh_G+RFh_H+RFh_I) * (0)
+ (Fh_J + RFh_J)   *  (-L_GJ) +  (Fh_K+Fh_L+Fh_M+Fh_N + RFh_K+RFh_L+RFh_M+RFh_N) * (-L_GJ-L_JK)
+ (Fh_O + RFh_O) * (-L_GJ-L_JK-L_MO)  +                                                                               SUM(Momentos)  -  (
    - F_qCE_v * L_DE/2  + q_EF * L_EF * (L_EF/2)
    + q_FG * L_FG*(L_EF+L_FG/2)  +  q_GH * L_GH * (L_EF+L_FG+L_GH/2)  +  q_HI * L_HI * (L_EF+L_FG+L_GH+L_HI/2)
    + q_KL  * L_KL*(L_EF+L_FG+L_KL/2)  +  q_LM * L_LM * (L_EF+L_FG+L_KL+L_LM/2)  +  q_MN * L_MN * (L_EF+L_FG+L_KL+L_LM+L_MN/2)
- Fv_D1  * L_DE/2  -  (Fv_A+Fv_B+Fv_C+Fv_D ) * L_DE
+ Fv_F * (L_EF)  +  (Fv_G+Fv_J+Fv_K) * (L_EF+L_FG)
+ Fv_H * (L_EF+L_FG+L_GH)  +  Fv_I  * (L_EF+L_FG+L_GH+L_HI)
+ Fv_L  * (L_EF+L_FG+L_KL)  +  (Fv_M+Fv_O ) * (L_EF+L_FG+L_KL+L_LM) + Fv_N * (L_EF+L_FG+L_KL+L_LM+L_MN)  )</f>
        <v>0</v>
      </c>
      <c r="BB18" s="190">
        <f ca="1" xml:space="preserve"> - q_AB*L_AB*(L_AB/2+L_BC+L_CE_v) - q_BC*L_BC*(L_BC/2+L_CE_v)    -    F_qCE_h*(L_CE_v/2)
    - (Fh_A + RFh_A) *  (L_AB+L_BC+L_CE_v)  -  (Fh_B + RFh_B) * (L_BC+L_CE_v) -  (Fh_C + RFh_C) * (L_CE_v) -  (Fh_D1) * (L_CE_v/2 )
    +  SUM( Mz_A+Mz_B+Mz_C+Mz_D+Mz_D1 )  -  ( - F_qCE_v * L_DE/2  - Fv_D1  * L_DE/2  -  (Fv_A+Fv_B+Fv_C+Fv_D ) * L_DE )</f>
        <v>0</v>
      </c>
      <c r="BC18" s="190">
        <f t="shared" ca="1" si="2"/>
        <v>0</v>
      </c>
      <c r="BD18" s="253" t="str">
        <f t="shared" ca="1" si="3"/>
        <v/>
      </c>
      <c r="BE18" s="235" t="str">
        <f t="shared" si="4"/>
        <v>E</v>
      </c>
      <c r="BF18" t="str">
        <f t="shared" ca="1" si="7"/>
        <v>←</v>
      </c>
      <c r="BG18" s="190"/>
    </row>
    <row r="19" spans="1:59" ht="14.45" hidden="1" customHeight="1" outlineLevel="1">
      <c r="A19" s="75" t="str">
        <f t="shared" ref="A19:A22" ca="1" si="11">IF(O19="","",$M19&amp;" = ")</f>
        <v/>
      </c>
      <c r="B19" s="72" t="str" cm="1">
        <f t="array" aca="1" ref="B19" ca="1">IF(INDIRECT(A$11&amp;$M19)=0,"",FIXED(INDIRECT(A$11&amp;$M19),2)&amp;B$11&amp;Tab)&amp;IF(INDIRECT(A$11&amp;$M19)=0,"",
 IF(MOD(ROW(A18)-ROW($A$14)+1-COUNTIF($A$14:A18,"")+1,5)&lt;&gt;0,"",IF(COUNTA(O20:$O$28)-COUNTIF(O20:$O$28,"")=0,"",Salto&amp;Tab_4)))</f>
        <v/>
      </c>
      <c r="C19" s="75" t="str">
        <f t="shared" ca="1" si="5"/>
        <v/>
      </c>
      <c r="D19" s="72" t="str" cm="1">
        <f t="array" aca="1" ref="D19" ca="1">IF(OR(INDIRECT(C$11&amp;$Y19)="",INDIRECT(C$11&amp;$Y19)=0),"",
  ABS(INDIRECT(C$11&amp;$Y19))&amp;D$11&amp;IF(INDIRECT(C$11&amp;$Y19)&gt;0,_Arriba&amp;Tab,_Abajo&amp;Tab)&amp;Tab&amp;
 IF(MOD(ROW(C18)-ROW($C$14)+1-COUNTIF($C$14:C18,"")+1,4)&lt;&gt;0,"",
 IF(COUNTA(Q20:$Q$29)-COUNTIF(Q20:$Q$29,"")=0,"",Salto&amp;Tab_4)))</f>
        <v/>
      </c>
      <c r="E19" s="75" t="str">
        <f t="shared" ca="1" si="8"/>
        <v/>
      </c>
      <c r="F19" s="73" t="str" cm="1">
        <f t="array" aca="1" ref="F19" ca="1">IF(OR(INDIRECT(E$11&amp;$Y19)="",INDIRECT(E$11&amp;$Y19)=0),"",ABS(INDIRECT(E$11&amp;$Y19))&amp;F$11&amp;
   IF(INDIRECT(E$11&amp;$Y19)&gt;0,_Derecha&amp;Tab,_Izquierda&amp;Tab)&amp;Tab&amp;
   IF(MOD(ROW(E18)-ROW($E$14)+1-COUNTIF($E$14:E18,"")+1,4)&lt;&gt;0,"",
   IF(COUNTA(S20:$S$29)-COUNTIF(S20:$S$29,"")=0,"",Salto&amp;Tab_4)))</f>
        <v/>
      </c>
      <c r="G19" s="75" t="str">
        <f t="shared" ref="G19:G28" ca="1" si="12">IF(H19="","",$Y19&amp;" = ")</f>
        <v/>
      </c>
      <c r="H19" s="74" t="str" cm="1">
        <f t="array" aca="1" ref="H19" ca="1">IF(OR(INDIRECT(G$11&amp;$Y19)="",INDIRECT(G$11&amp;$Y19)=0),"",
  ABS(INDIRECT(G$11&amp;$Y19))&amp;H$11&amp;IF(INDIRECT(G$11&amp;$Y19)&gt;0,_M_Pos&amp;Tab,_M_Neg&amp;Tab)&amp;Tab&amp;
  IF(MOD(ROW(G18)-ROW($G$14)+1-COUNTIF($G$14:G18,"")+1,4)&lt;&gt;0,"",
  IF(COUNTA(U20:$U$29)-COUNTIF(U20:$U$29,"")=0,"",Salto&amp;Tab_4)))</f>
        <v/>
      </c>
      <c r="I19" s="75" t="str">
        <f ca="1">IF(J19="","",M19&amp;" = ")</f>
        <v/>
      </c>
      <c r="J19" s="76" t="str" cm="1">
        <f t="array" aca="1" ref="J19" ca="1">IF(OR(INDIRECT(I$11&amp;$M19)="",INDIRECT(I$11&amp;$M19)=0),"",ABS(INDIRECT(I$11&amp;$M19))&amp;J$11&amp;IF(K19="h",
                           IF(INDIRECT(I$11&amp;$M19)&gt;0,_Dcha_q  &amp;Tab, _Izda_q     &amp;Tab),
                           IF(INDIRECT(I$11&amp;$M19)&gt;0,_Arriba_q&amp;Tab, _Abajo_q    &amp;Tab))&amp;Tab)</f>
        <v/>
      </c>
      <c r="K19" s="77" t="str" cm="1">
        <f t="array" aca="1" ref="K19" ca="1">IF(INDIRECT(I$11&amp;$M19)=0,"","v")</f>
        <v/>
      </c>
      <c r="M19" s="221" t="s">
        <v>130</v>
      </c>
      <c r="N19" s="68" t="s">
        <v>47</v>
      </c>
      <c r="O19" s="202" t="str" cm="1">
        <f t="array" aca="1" ref="O19" ca="1">IF(INDIRECT("L_"&amp;M19)=0,"",IF(Ver_Datos=_NO,M19,FIXED(INDIRECT("L_"&amp;M19),2)&amp;" m"))</f>
        <v/>
      </c>
      <c r="P19" s="68" t="s">
        <v>62</v>
      </c>
      <c r="Q19" s="69" t="str">
        <f ca="1">IF(PROBLEMA!AI20=0,"",IF(Ver_Datos=_NO,REPLACE(P19,3,1," "),ABS(PROBLEMA!AI20)&amp;" kN"))</f>
        <v/>
      </c>
      <c r="R19" s="68" t="s">
        <v>77</v>
      </c>
      <c r="S19" s="70" t="str">
        <f ca="1">IF(PROBLEMA!AL20=0,"",IF(Ver_Datos=_NO,REPLACE(R19,3,1," "),ABS(PROBLEMA!AL20)&amp;" kN"))</f>
        <v/>
      </c>
      <c r="T19" s="68" t="s">
        <v>92</v>
      </c>
      <c r="U19" s="71" t="str">
        <f ca="1">IF(PROBLEMA!AO20=0,"",IF(Ver_Datos=_NO,REPLACE(T19,3,1," "),ABS(PROBLEMA!AO20)&amp;" kNm"))</f>
        <v/>
      </c>
      <c r="V19" s="150" t="s">
        <v>108</v>
      </c>
      <c r="W19" s="148" t="str" cm="1">
        <f t="array" aca="1" ref="W19" ca="1">IF(INDIRECT(V19)=0,"",IF(Ver_Datos=_NO,REPLACE(V19,2,1," "),ABS(PROBLEMA!AR20)&amp;" kN/m"))</f>
        <v/>
      </c>
      <c r="Y19" s="160" t="s">
        <v>416</v>
      </c>
      <c r="Z19" s="166" t="s">
        <v>427</v>
      </c>
      <c r="AA19" s="169"/>
      <c r="AB19" s="158"/>
      <c r="AC19" s="158"/>
      <c r="AD19" s="158"/>
      <c r="AE19" s="158"/>
      <c r="AF19" s="226">
        <f ca="1">IF($Z$12=$Y19,   - SUM(Fuerzas_V)
  - SUMPRODUCT(PROBLEMA!$AR$20:$AR$23,PROBLEMA!$X$20:$X$23)   - F_qCE_v
  - SUMPRODUCT(PROBLEMA!$AR$26:$AR$28,PROBLEMA!$X$26:$X$28)   - SUM(AG19:$AO19),0)</f>
        <v>0</v>
      </c>
      <c r="AG19" s="158" cm="1">
        <f t="array" aca="1" ref="AG19" ca="1">IF(AND($Z$12=$Y19,$Z$13=AG$13),IFERROR(IF(Art=0, INDIRECT("SM_"&amp;$Y19) / (L_FG), RFv_Ap_2 ),0),0)</f>
        <v>0</v>
      </c>
      <c r="AH19" s="158" cm="1">
        <f t="array" aca="1" ref="AH19" ca="1">IF(AND($Z$12=$Y19,$Z$13=AH$13),IFERROR(IF(Art=0, INDIRECT("SM_"&amp;$Y19) / (L_FG+L_GH), RFv_Ap_2 ),0),0)</f>
        <v>0</v>
      </c>
      <c r="AI19" s="158" cm="1">
        <f t="array" aca="1" ref="AI19" ca="1">IF(AND($Z$12=$Y19,$Z$13=AI$13),IFERROR(IF(Art=0, INDIRECT("SM_"&amp;$Y19) / (L_FG+L_GH+L_HI), RFv_Ap_2 ),0),0)</f>
        <v>0</v>
      </c>
      <c r="AJ19" s="158" cm="1">
        <f t="array" aca="1" ref="AJ19" ca="1">IF(AND($Z$12=$Y19,$Z$13=AJ$13),IFERROR(IF(Art=0, INDIRECT("SM_"&amp;$Y19) / (L_FG ), RFv_Ap_2 ),0),0)</f>
        <v>0</v>
      </c>
      <c r="AK19" s="158" cm="1">
        <f t="array" aca="1" ref="AK19" ca="1">IF(AND($Z$12=$Y19,$Z$13=AK$13),IFERROR(IF(Art=0, INDIRECT("SM_"&amp;$Y19)/ (L_FG ), RFv_Ap_2 ),0),0)</f>
        <v>0</v>
      </c>
      <c r="AL19" s="158" cm="1">
        <f t="array" aca="1" ref="AL19" ca="1">IF(AND($Z$12=$Y19,$Z$13=AL$13),IFERROR(IF(Art=0, INDIRECT("SM_"&amp;$Y19) / ( L_FG+L_KL ), RFv_Ap_2 ),0),0)</f>
        <v>0</v>
      </c>
      <c r="AM19" s="158" cm="1">
        <f t="array" aca="1" ref="AM19" ca="1">IF(AND($Z$12=$Y19,$Z$13=AM$13),IFERROR(IF(Art=0, INDIRECT("SM_"&amp;$Y19) / ( L_FG+L_KL+L_LM ), RFv_Ap_2 ),0),0)</f>
        <v>0</v>
      </c>
      <c r="AN19" s="158" cm="1">
        <f t="array" aca="1" ref="AN19" ca="1">IF(AND($Z$12=$Y19,$Z$13=AN$13),IFERROR(IF(Art=0, INDIRECT("SM_"&amp;$Y19) / ( L_FG+L_KL+L_LM+L_MN ), RFv_Ap_2 ),0),0)</f>
        <v>0</v>
      </c>
      <c r="AO19" s="170" cm="1">
        <f t="array" aca="1" ref="AO19" ca="1">IF(AND($Z$12=$Y19,$Z$13=AO$13),IFERROR(IF(Art=0, INDIRECT("SM_"&amp;$Y19) / ( L_FG+L_KL+L_LM ), RFv_Ap_2 ),0),0)</f>
        <v>0</v>
      </c>
      <c r="AP19" s="164">
        <f t="shared" ca="1" si="0"/>
        <v>0</v>
      </c>
      <c r="AQ19" s="22">
        <f ca="1">X_E+L_EF</f>
        <v>0</v>
      </c>
      <c r="AR19" s="185" t="str">
        <f t="shared" ca="1" si="9"/>
        <v/>
      </c>
      <c r="AS19" s="188">
        <f ca="1">OCULTOS!AF$29</f>
        <v>0</v>
      </c>
      <c r="AT19" s="196" t="str">
        <f ca="1">IF(AR19="","",IF(Ver_Resultados=_NO,AR19&amp;" "&amp;_Arriba,FIXED(ABS(AS19),2)&amp;" kN "&amp;IF(AS19&gt;0,_Arriba,_Abajo)))</f>
        <v/>
      </c>
      <c r="AU19" s="185" t="str">
        <f t="shared" ca="1" si="6"/>
        <v/>
      </c>
      <c r="AV19" s="188">
        <f t="shared" ca="1" si="10"/>
        <v>0</v>
      </c>
      <c r="AW19" s="199" t="str">
        <f ca="1">IF(AU19="","",IF(Ver_Resultados=_NO,AU19&amp;" "&amp;_Derecha,FIXED(ABS(AV19),2)&amp;" kN "&amp;IF(AV19&gt;0,_Derecha,_Izquierda)))</f>
        <v/>
      </c>
      <c r="AX19" s="193" t="str">
        <f t="shared" ca="1" si="1"/>
        <v/>
      </c>
      <c r="AY19" s="285" cm="1">
        <f t="array" aca="1" ref="AY19" ca="1">IFERROR(IF(AX19="",0,  IF(Art=0, - BA19, - BA19 + INDIRECT("RFV_"&amp;Ap_2)  * Ap_Distancia  )),0)</f>
        <v>0</v>
      </c>
      <c r="AZ19" s="196" t="str">
        <f ca="1">IF(AX19="","",IF(Ver_Resultados=_NO,"M"&amp;Y19&amp;" "&amp;_M_Pos,FIXED(ABS(AY19),2)&amp;" kNm "&amp;IF(AY19&gt;0,_M_Pos,_M_Neg)))</f>
        <v/>
      </c>
      <c r="BA19" s="190">
        <f ca="1" xml:space="preserve"> - q_AB*L_AB*(L_AB/2+L_BC+L_CE_v) - q_BC*L_BC*(L_BC/2+L_CE_v)    -    F_qCE_h*(L_CE_v/2)
   + q_GJ*L_GJ*(-L_GJ/2)    +    q_JK*L_JK*(-L_GJ-L_JK/2)    + q_MO*L_MO * (-L_GJ-L_JK-L_MO/2)
- (Fh_A + RFh_A) *  (L_AB+L_BC+L_CE_v)  -  (Fh_B + RFh_B) * (L_BC+L_CE_v) -  (Fh_C + RFh_C) * (L_CE_v) -  (Fh_D1) * (L_CE_v/2 )
+ (Fh_D+Fh_E+Fh_F+Fh_G+Fh_H+Fh_I + RFh_D+RFh_E+RFh_F+RFh_G+RFh_H+RFh_I) * (0)
+ (Fh_J + RFh_J)   *  (-L_GJ) +  (Fh_K+Fh_L+Fh_M+Fh_N + RFh_K+RFh_L+RFh_M+RFh_N) * (-L_GJ-L_JK)
+ (Fh_O + RFh_O) * (-L_GJ-L_JK-L_MO)  +                                                                               SUM(Momentos)  -  (
    - F_qCE_v * (L_DE/2+L_EF)  - q_EF * L_EF * (L_EF/2)
    + q_FG * L_FG*(L_FG/2)  +  q_GH * L_GH * (L_FG+L_GH/2)  +  q_HI * L_HI * (L_FG+L_GH+L_HI/2)
    + q_KL  * L_KL*(L_FG+L_KL/2)  +  q_LM * L_LM * (L_FG+L_KL+L_LM/2)  +  q_MN * L_MN * (L_FG+L_KL+L_LM+L_MN/2)
- Fv_D1 * (L_DE/2+L_EF)  -  (Fv_A+Fv_B+Fv_C+Fv_D ) * (L_DE+L_EF)
- Fv_E * (L_EF)  +  (Fv_G+Fv_J+Fv_K ) * (L_FG)
+Fv_H * (L_FG+L_GH)  +  Fv_I * (L_FG+L_GH+L_HI)
+ Fv_L * (L_FG+L_KL)  +  (Fv_M+Fv_O) * (L_FG+L_KL+L_LM) + Fv_N * (L_FG+L_KL+L_LM+L_MN)  )</f>
        <v>0</v>
      </c>
      <c r="BB19" s="190">
        <f ca="1">- q_AB*L_AB*(L_AB/2+L_BC+L_CE_v) - q_BC*L_BC*(L_BC/2+L_CE_v)    -    F_qCE_h*(L_CE_v/2)
  - (Fh_A + RFh_A) *  (L_AB+L_BC+L_CE_v)  -  (Fh_B + RFh_B) * (L_BC+L_CE_v) -  (Fh_C + RFh_C) * (L_CE_v) -  (Fh_D1) * (L_CE_v/2 )
  - ( - F_qCE_v * (L_DE/2+L_EF)  - q_EF * L_EF * (L_EF/2) - Fv_D1 * (L_DE/2+L_EF)  -  (Fv_A+Fv_B+Fv_C+Fv_D ) * (L_DE+L_EF) - Fv_E * (L_EF)  )
  + ( Mz_A+Mz_B+Mz_C+Mz_D+Mz_E )</f>
        <v>0</v>
      </c>
      <c r="BC19" s="190">
        <f t="shared" ca="1" si="2"/>
        <v>0</v>
      </c>
      <c r="BD19" s="253" t="str">
        <f t="shared" ca="1" si="3"/>
        <v/>
      </c>
      <c r="BE19" s="235" t="str">
        <f t="shared" si="4"/>
        <v>F</v>
      </c>
      <c r="BF19" t="str">
        <f t="shared" ca="1" si="7"/>
        <v>←</v>
      </c>
      <c r="BG19" s="235"/>
    </row>
    <row r="20" spans="1:59" ht="14.45" hidden="1" customHeight="1" outlineLevel="1">
      <c r="A20" s="75" t="str">
        <f t="shared" ca="1" si="11"/>
        <v/>
      </c>
      <c r="B20" s="72" t="str" cm="1">
        <f t="array" aca="1" ref="B20" ca="1">IF(INDIRECT(A$11&amp;$M20)=0,"",FIXED(INDIRECT(A$11&amp;$M20),2)&amp;B$11&amp;Tab)&amp;IF(INDIRECT(A$11&amp;$M20)=0,"",
 IF(MOD(ROW(A19)-ROW($A$14)+1-COUNTIF($A$14:A19,"")+1,5)&lt;&gt;0,"",IF(COUNTA(O21:$O$28)-COUNTIF(O21:$O$28,"")=0,"",Salto&amp;Tab_4)))</f>
        <v/>
      </c>
      <c r="C20" s="75" t="str">
        <f t="shared" ca="1" si="5"/>
        <v/>
      </c>
      <c r="D20" s="72" t="str" cm="1">
        <f t="array" aca="1" ref="D20" ca="1">IF(OR(INDIRECT(C$11&amp;$Y20)="",INDIRECT(C$11&amp;$Y20)=0),"",
  ABS(INDIRECT(C$11&amp;$Y20))&amp;D$11&amp;IF(INDIRECT(C$11&amp;$Y20)&gt;0,_Arriba&amp;Tab,_Abajo&amp;Tab)&amp;Tab&amp;
 IF(MOD(ROW(C19)-ROW($C$14)+1-COUNTIF($C$14:C19,"")+1,4)&lt;&gt;0,"",
 IF(COUNTA(Q21:$Q$29)-COUNTIF(Q21:$Q$29,"")=0,"",Salto&amp;Tab_4)))</f>
        <v/>
      </c>
      <c r="E20" s="75" t="str">
        <f t="shared" ca="1" si="8"/>
        <v/>
      </c>
      <c r="F20" s="73" t="str" cm="1">
        <f t="array" aca="1" ref="F20" ca="1">IF(OR(INDIRECT(E$11&amp;$Y20)="",INDIRECT(E$11&amp;$Y20)=0),"",ABS(INDIRECT(E$11&amp;$Y20))&amp;F$11&amp;
   IF(INDIRECT(E$11&amp;$Y20)&gt;0,_Derecha&amp;Tab,_Izquierda&amp;Tab)&amp;Tab&amp;
   IF(MOD(ROW(E19)-ROW($E$14)+1-COUNTIF($E$14:E19,"")+1,4)&lt;&gt;0,"",
   IF(COUNTA(S21:$S$29)-COUNTIF(S21:$S$29,"")=0,"",Salto&amp;Tab_4)))</f>
        <v/>
      </c>
      <c r="G20" s="75" t="str">
        <f t="shared" ca="1" si="12"/>
        <v/>
      </c>
      <c r="H20" s="74" t="str" cm="1">
        <f t="array" aca="1" ref="H20" ca="1">IF(OR(INDIRECT(G$11&amp;$Y20)="",INDIRECT(G$11&amp;$Y20)=0),"",
  ABS(INDIRECT(G$11&amp;$Y20))&amp;H$11&amp;IF(INDIRECT(G$11&amp;$Y20)&gt;0,_M_Pos&amp;Tab,_M_Neg&amp;Tab)&amp;Tab&amp;
  IF(MOD(ROW(G19)-ROW($G$14)+1-COUNTIF($G$14:G19,"")+1,4)&lt;&gt;0,"",
  IF(COUNTA(U21:$U$29)-COUNTIF(U21:$U$29,"")=0,"",Salto&amp;Tab_4)))</f>
        <v/>
      </c>
      <c r="I20" s="75" t="str">
        <f t="shared" ref="I20:I28" ca="1" si="13">IF(J20="","",M20&amp;" = ")</f>
        <v/>
      </c>
      <c r="J20" s="76" t="str" cm="1">
        <f t="array" aca="1" ref="J20" ca="1">IF(OR(INDIRECT(I$11&amp;$M20)="",INDIRECT(I$11&amp;$M20)=0),"",ABS(INDIRECT(I$11&amp;$M20))&amp;J$11&amp;IF(K20="h",
                           IF(INDIRECT(I$11&amp;$M20)&gt;0,_Dcha_q  &amp;Tab, _Izda_q     &amp;Tab),
                           IF(INDIRECT(I$11&amp;$M20)&gt;0,_Arriba_q&amp;Tab, _Abajo_q    &amp;Tab))&amp;Tab)</f>
        <v/>
      </c>
      <c r="K20" s="77" t="str" cm="1">
        <f t="array" aca="1" ref="K20" ca="1">IF(INDIRECT(I$11&amp;$M20)=0,"","v")</f>
        <v/>
      </c>
      <c r="M20" s="221" t="s">
        <v>131</v>
      </c>
      <c r="N20" s="68" t="s">
        <v>48</v>
      </c>
      <c r="O20" s="202" t="str" cm="1">
        <f t="array" aca="1" ref="O20" ca="1">IF(INDIRECT("L_"&amp;M20)=0,"",IF(Ver_Datos=_NO,M20,FIXED(INDIRECT("L_"&amp;M20),2)&amp;" m"))</f>
        <v/>
      </c>
      <c r="P20" s="68" t="s">
        <v>63</v>
      </c>
      <c r="Q20" s="69" t="str">
        <f ca="1">IF(PROBLEMA!AI21=0,"",IF(Ver_Datos=_NO,REPLACE(P20,3,1," "),ABS(PROBLEMA!AI21)&amp;" kN"))</f>
        <v/>
      </c>
      <c r="R20" s="68" t="s">
        <v>78</v>
      </c>
      <c r="S20" s="70" t="str">
        <f ca="1">IF(PROBLEMA!AL21=0,"",IF(Ver_Datos=_NO,REPLACE(R20,3,1," "),ABS(PROBLEMA!AL21)&amp;" kN"))</f>
        <v/>
      </c>
      <c r="T20" s="68" t="s">
        <v>93</v>
      </c>
      <c r="U20" s="71" t="str">
        <f ca="1">IF(PROBLEMA!AO21=0,"",IF(Ver_Datos=_NO,REPLACE(T20,3,1," "),ABS(PROBLEMA!AO21)&amp;" kNm"))</f>
        <v/>
      </c>
      <c r="V20" s="150" t="s">
        <v>109</v>
      </c>
      <c r="W20" s="148" t="str" cm="1">
        <f t="array" aca="1" ref="W20" ca="1">IF(INDIRECT(V20)=0,"",IF(Ver_Datos=_NO,REPLACE(V20,2,1," "),ABS(PROBLEMA!AR21)&amp;" kN/m"))</f>
        <v/>
      </c>
      <c r="Y20" s="160" t="s">
        <v>409</v>
      </c>
      <c r="Z20" s="166" t="s">
        <v>428</v>
      </c>
      <c r="AA20" s="169"/>
      <c r="AB20" s="158"/>
      <c r="AC20" s="158"/>
      <c r="AD20" s="158"/>
      <c r="AE20" s="158"/>
      <c r="AF20" s="158"/>
      <c r="AG20" s="226">
        <f ca="1">IF($Z$12=$Y20,   - SUM(Fuerzas_V)
  - SUMPRODUCT(PROBLEMA!$AR$20:$AR$23,PROBLEMA!$X$20:$X$23)   - F_qCE_v
  - SUMPRODUCT(PROBLEMA!$AR$26:$AR$28,PROBLEMA!$X$26:$X$28)   - SUM(AH20:$AO20),0)</f>
        <v>0</v>
      </c>
      <c r="AH20" s="158" cm="1">
        <f t="array" aca="1" ref="AH20" ca="1">IF(AND($Z$12=$Y20,$Z$13=AH$13),IFERROR(IF(Art=0, INDIRECT("SM_"&amp;$Y20) / (L_GH), RFv_Ap_2 ),0),0)</f>
        <v>0</v>
      </c>
      <c r="AI20" s="158" cm="1">
        <f t="array" aca="1" ref="AI20" ca="1">IF(AND($Z$12=$Y20,$Z$13=AI$13),IFERROR(IF(Art=0, INDIRECT("SM_"&amp;$Y20) / (L_GH+L_HI), RFv_Ap_2 ),0),0)</f>
        <v>0</v>
      </c>
      <c r="AJ20" s="243">
        <v>0</v>
      </c>
      <c r="AK20" s="243">
        <v>0</v>
      </c>
      <c r="AL20" s="158" cm="1">
        <f t="array" aca="1" ref="AL20" ca="1">IF(AND($Z$12=$Y20,$Z$13=AL$13),IFERROR(IF(Art=0, INDIRECT("SM_"&amp;$Y20) / ( L_KL ), RFv_Ap_2 ),0),0)</f>
        <v>0</v>
      </c>
      <c r="AM20" s="158" cm="1">
        <f t="array" aca="1" ref="AM20" ca="1">IF(AND($Z$12=$Y20,$Z$13=AM$13),IFERROR(IF(Art=0, INDIRECT("SM_"&amp;$Y20) / ( L_KL+L_LM ), RFv_Ap_2 ),0),0)</f>
        <v>0</v>
      </c>
      <c r="AN20" s="158" cm="1">
        <f t="array" aca="1" ref="AN20" ca="1">IF(AND($Z$12=$Y20,$Z$13=AN$13),IFERROR(IF(Art=0, INDIRECT("SM_"&amp;$Y20) / ( L_KL+L_LM+L_MN ), RFv_Ap_2 ),0),0)</f>
        <v>0</v>
      </c>
      <c r="AO20" s="170" cm="1">
        <f t="array" aca="1" ref="AO20" ca="1">IF(AND($Z$12=$Y20,$Z$13=AO$13),IFERROR(IF(Art=0, INDIRECT("SM_"&amp;$Y20) / ( L_KL+L_LM ), RFv_Ap_2 ),0),0)</f>
        <v>0</v>
      </c>
      <c r="AP20" s="164">
        <f t="shared" ca="1" si="0"/>
        <v>0</v>
      </c>
      <c r="AQ20" s="22">
        <f ca="1">X_F+L_FG</f>
        <v>0</v>
      </c>
      <c r="AR20" s="185" t="str">
        <f t="shared" ca="1" si="9"/>
        <v/>
      </c>
      <c r="AS20" s="188">
        <f ca="1">OCULTOS!AG$29</f>
        <v>0</v>
      </c>
      <c r="AT20" s="196" t="str">
        <f ca="1">IF(AR20="","",IF(Ver_Resultados=_NO,AR20&amp;" "&amp;_Arriba,FIXED(ABS(AS20),2)&amp;" kN "&amp;IF(AS20&gt;0,_Arriba,_Abajo)))</f>
        <v/>
      </c>
      <c r="AU20" s="185" t="str">
        <f t="shared" ca="1" si="6"/>
        <v/>
      </c>
      <c r="AV20" s="188">
        <f t="shared" ca="1" si="10"/>
        <v>0</v>
      </c>
      <c r="AW20" s="199" t="str">
        <f ca="1">IF(AU20="","",IF(Ver_Resultados=_NO,AU20&amp;" "&amp;_Derecha,FIXED(ABS(AV20),2)&amp;" kN "&amp;IF(AV20&gt;0,_Derecha,_Izquierda)))</f>
        <v/>
      </c>
      <c r="AX20" s="193" t="str">
        <f t="shared" ca="1" si="1"/>
        <v/>
      </c>
      <c r="AY20" s="285" cm="1">
        <f t="array" aca="1" ref="AY20" ca="1">IFERROR(IF(AX20="",0,  IF(Art=0, - BA20, - BA20 + INDIRECT("RFV_"&amp;Ap_2)  * Ap_Distancia  )),0)</f>
        <v>0</v>
      </c>
      <c r="AZ20" s="196" t="str">
        <f ca="1">IF(AX20="","",IF(Ver_Resultados=_NO,"M"&amp;Y20&amp;" "&amp;_M_Pos,FIXED(ABS(AY20),2)&amp;" kNm "&amp;IF(AY20&gt;0,_M_Pos,_M_Neg)))</f>
        <v/>
      </c>
      <c r="BA20" s="190">
        <f ca="1" xml:space="preserve"> - q_AB*L_AB*(L_AB/2+L_BC+L_CE_v) - q_BC*L_BC*(L_BC/2+L_CE_v)    -    F_qCE_h*(L_CE_v/2)
   + q_GJ*L_GJ*(-L_GJ/2)    +    q_JK*L_JK*(-L_GJ-L_JK/2)    + q_MO*L_MO * (-L_GJ-L_JK-L_MO/2)
- (Fh_A + RFh_A) *  (L_AB+L_BC+L_CE_v)  -  (Fh_B + RFh_B) * (L_BC+L_CE_v) -  (Fh_C + RFh_C) * (L_CE_v) -  (Fh_D1) * (L_CE_v/2 )
+ (Fh_D+Fh_E+Fh_F+Fh_G+Fh_H+Fh_I + RFh_D+RFh_E+RFh_F+RFh_G+RFh_H+RFh_I) * (0)
+ (Fh_J + RFh_J)   *  (-L_GJ) +  (Fh_K+Fh_L+Fh_M+Fh_N + RFh_K+RFh_L+RFh_M+RFh_N) * (-L_GJ-L_JK)
+ (Fh_O + RFh_O) * (-L_GJ-L_JK-L_MO)  +                                                                               SUM(Momentos)  -  (
    - F_qCE_v * (L_DE/2+L_EF+L_FG)  - q_EF * L_EF * (L_EF/2+L_FG) - q_FG * L_FG*(L_FG/2)
    +  q_GH * L_GH * (L_GH/2)  +  q_HI * L_HI * (L_GH+L_HI/2)
    + q_KL  * L_KL*(L_KL/2)  +  q_LM * L_LM * (L_KL+L_LM/2)  +  q_MN * L_MN * (L_KL+L_LM+L_MN/2)
- Fv_D1 * (L_DE/2+L_EF+L_FG)  -  (Fv_A+Fv_B+Fv_C+Fv_D) * (L_DE+L_EF+L_FG)
- Fv_E * (L_EF+L_FG)  - Fv_F * L_FG +  (Fv_G+Fv_J+Fv_K) * (0)
+ Fv_H * (L_GH)  +  Fv_I  * (L_GH+L_HI)
+ Fv_L * (L_KL)  +  (Fv_M+Fv_O) * (L_KL+L_LM) + (Fv_N ) * (L_KL+L_LM+L_MN)  )</f>
        <v>0</v>
      </c>
      <c r="BB20" s="190">
        <f ca="1" xml:space="preserve"> - q_AB*L_AB*(L_AB/2+L_BC+L_CE_v) - q_BC*L_BC*(L_BC/2+L_CE_v)    -    F_qCE_h*(L_CE_v/2)
- (Fh_A + RFh_A) *  (L_AB+L_BC+L_CE_v)  -  (Fh_B + RFh_B) * (L_BC+L_CE_v) -  (Fh_C + RFh_C) * (L_CE_v) -  (Fh_D1) * (L_CE_v/2 )
+    ( Mz_A+Mz_B+Mz_C+Mz_D+Mz_E+Mz_F )  -  (
 - F_qCE_v * (L_DE/2+L_EF+L_FG)  - q_EF * L_EF * (L_EF/2+L_FG) - q_FG * L_FG*(L_FG/2)
- Fv_D1 * (L_DE/2+L_EF+L_FG)  -  (Fv_A+Fv_B+Fv_C+Fv_D) * (L_DE+L_EF+L_FG)
- Fv_E * (L_EF+L_FG)  - Fv_F * L_FG )</f>
        <v>0</v>
      </c>
      <c r="BC20" s="190">
        <f t="shared" ca="1" si="2"/>
        <v>0</v>
      </c>
      <c r="BD20" s="253" t="str">
        <f t="shared" ca="1" si="3"/>
        <v/>
      </c>
      <c r="BE20" s="235" t="str">
        <f t="shared" si="4"/>
        <v>G</v>
      </c>
      <c r="BF20" t="str">
        <f t="shared" ca="1" si="7"/>
        <v>←</v>
      </c>
      <c r="BG20" s="235"/>
    </row>
    <row r="21" spans="1:59" ht="14.45" hidden="1" customHeight="1" outlineLevel="1">
      <c r="A21" s="75" t="str">
        <f t="shared" ca="1" si="11"/>
        <v/>
      </c>
      <c r="B21" s="72" t="str" cm="1">
        <f t="array" aca="1" ref="B21" ca="1">IF(INDIRECT(A$11&amp;$M21)=0,"",FIXED(INDIRECT(A$11&amp;$M21),2)&amp;B$11&amp;Tab)&amp;IF(INDIRECT(A$11&amp;$M21)=0,"",
 IF(MOD(ROW(A20)-ROW($A$14)+1-COUNTIF($A$14:A20,"")+1,5)&lt;&gt;0,"",IF(COUNTA(O22:$O$28)-COUNTIF(O22:$O$28,"")=0,"",Salto&amp;Tab_4)))</f>
        <v/>
      </c>
      <c r="C21" s="75" t="str">
        <f t="shared" ca="1" si="5"/>
        <v/>
      </c>
      <c r="D21" s="343" t="str" cm="1">
        <f t="array" aca="1" ref="D21" ca="1">IF(OR(INDIRECT(C$11&amp;$Y21)="",INDIRECT(C$11&amp;$Y21)=0),"",
  ABS(INDIRECT(C$11&amp;$Y21))&amp;D$11&amp;IF(INDIRECT(C$11&amp;$Y21)&gt;0,_Arriba&amp;Tab,_Abajo&amp;Tab)&amp;Tab&amp;
 IF(MOD(ROW(C20)-ROW($C$14)+1-COUNTIF($C$14:C20,"")+1,4)&lt;&gt;0,"",
 IF(COUNTA(Q22:$Q$29)-COUNTIF(Q22:$Q$29,"")=0,"",Salto&amp;Tab_4)))</f>
        <v/>
      </c>
      <c r="E21" s="75" t="str">
        <f t="shared" ca="1" si="8"/>
        <v/>
      </c>
      <c r="F21" s="73" t="str" cm="1">
        <f t="array" aca="1" ref="F21" ca="1">IF(OR(INDIRECT(E$11&amp;$Y21)="",INDIRECT(E$11&amp;$Y21)=0),"",ABS(INDIRECT(E$11&amp;$Y21))&amp;F$11&amp;
   IF(INDIRECT(E$11&amp;$Y21)&gt;0,_Derecha&amp;Tab,_Izquierda&amp;Tab)&amp;Tab&amp;
   IF(MOD(ROW(E20)-ROW($E$14)+1-COUNTIF($E$14:E20,"")+1,4)&lt;&gt;0,"",
   IF(COUNTA(S22:$S$29)-COUNTIF(S22:$S$29,"")=0,"",Salto&amp;Tab_4)))</f>
        <v/>
      </c>
      <c r="G21" s="75" t="str">
        <f t="shared" ca="1" si="12"/>
        <v/>
      </c>
      <c r="H21" s="74" t="str" cm="1">
        <f t="array" aca="1" ref="H21" ca="1">IF(OR(INDIRECT(G$11&amp;$Y21)="",INDIRECT(G$11&amp;$Y21)=0),"",
  ABS(INDIRECT(G$11&amp;$Y21))&amp;H$11&amp;IF(INDIRECT(G$11&amp;$Y21)&gt;0,_M_Pos&amp;Tab,_M_Neg&amp;Tab)&amp;Tab&amp;
  IF(MOD(ROW(G20)-ROW($G$14)+1-COUNTIF($G$14:G20,"")+1,4)&lt;&gt;0,"",
  IF(COUNTA(U22:$U$29)-COUNTIF(U22:$U$29,"")=0,"",Salto&amp;Tab_4)))</f>
        <v/>
      </c>
      <c r="I21" s="75" t="str">
        <f t="shared" ca="1" si="13"/>
        <v/>
      </c>
      <c r="J21" s="76" t="str" cm="1">
        <f t="array" aca="1" ref="J21" ca="1">IF(OR(INDIRECT(I$11&amp;$M21)="",INDIRECT(I$11&amp;$M21)=0),"",ABS(INDIRECT(I$11&amp;$M21))&amp;J$11&amp;IF(K21="h",
                           IF(INDIRECT(I$11&amp;$M21)&gt;0,_Dcha_q   &amp;Tab,_Izda_q     &amp;Tab),
                           IF(INDIRECT(I$11&amp;$M21)&gt;0,_Arriba_q &amp;Tab,_Abajo_q    &amp;Tab))&amp;Tab&amp;
                IF(MOD(IF(INDIRECT(I$11&amp;$M21)=0,0,COUNTIF($K$14:K21,K21)),4)&lt;&gt;0,"",Salto&amp;Tab_4))</f>
        <v/>
      </c>
      <c r="K21" s="77" t="str" cm="1">
        <f t="array" aca="1" ref="K21" ca="1">IF(INDIRECT(I$11&amp;$M21)=0,"","v")</f>
        <v/>
      </c>
      <c r="M21" s="221" t="s">
        <v>132</v>
      </c>
      <c r="N21" s="68" t="s">
        <v>49</v>
      </c>
      <c r="O21" s="202" t="str" cm="1">
        <f t="array" aca="1" ref="O21" ca="1">IF(INDIRECT("L_"&amp;M21)=0,"",IF(Ver_Datos=_NO,M21,FIXED(INDIRECT("L_"&amp;M21),2)&amp;" m"))</f>
        <v/>
      </c>
      <c r="P21" s="68" t="s">
        <v>64</v>
      </c>
      <c r="Q21" s="69" t="str">
        <f ca="1">IF(PROBLEMA!AI22=0,"",IF(Ver_Datos=_NO,REPLACE(P21,3,1," "),ABS(PROBLEMA!AI22)&amp;" kN"))</f>
        <v/>
      </c>
      <c r="R21" s="68" t="s">
        <v>79</v>
      </c>
      <c r="S21" s="70" t="str">
        <f ca="1">IF(PROBLEMA!AL22=0,"",IF(Ver_Datos=_NO,REPLACE(R21,3,1," "),ABS(PROBLEMA!AL22)&amp;" kN"))</f>
        <v/>
      </c>
      <c r="T21" s="68" t="s">
        <v>94</v>
      </c>
      <c r="U21" s="71" t="str">
        <f ca="1">IF(PROBLEMA!AO22=0,"",IF(Ver_Datos=_NO,REPLACE(T21,3,1," "),ABS(PROBLEMA!AO22)&amp;" kNm"))</f>
        <v/>
      </c>
      <c r="V21" s="150" t="s">
        <v>110</v>
      </c>
      <c r="W21" s="148" t="str" cm="1">
        <f t="array" aca="1" ref="W21" ca="1">IF(INDIRECT(V21)=0,"",IF(Ver_Datos=_NO,REPLACE(V21,2,1," "),ABS(PROBLEMA!AR22)&amp;" kN/m"))</f>
        <v/>
      </c>
      <c r="Y21" s="160" t="s">
        <v>40</v>
      </c>
      <c r="Z21" s="166" t="s">
        <v>429</v>
      </c>
      <c r="AA21" s="169"/>
      <c r="AB21" s="158"/>
      <c r="AC21" s="158"/>
      <c r="AD21" s="158"/>
      <c r="AE21" s="158"/>
      <c r="AF21" s="158"/>
      <c r="AG21" s="158"/>
      <c r="AH21" s="226">
        <f ca="1">IF($Z$12=$Y21,   - SUM(Fuerzas_V)
  - SUMPRODUCT(PROBLEMA!$AR$20:$AR$23,PROBLEMA!$X$20:$X$23)   - F_qCE_v
  - SUMPRODUCT(PROBLEMA!$AR$26:$AR$28,PROBLEMA!$X$26:$X$28)   - SUM(AI21:$AO21),0)</f>
        <v>0</v>
      </c>
      <c r="AI21" s="158" cm="1">
        <f t="array" aca="1" ref="AI21" ca="1">IF(AND($Z$12=$Y21,$Z$13=AI$13),IFERROR(IF(Art=0, INDIRECT("SM_"&amp;$Y21) / (L_HI), RFv_Ap_2 ),0),0)</f>
        <v>0</v>
      </c>
      <c r="AJ21" s="158" cm="1">
        <f t="array" aca="1" ref="AJ21" ca="1">IF(AND($Z$12=$Y21,$Z$13=AJ$13),IFERROR(IF(Art=0, INDIRECT("SM_"&amp;$Y21) / (-L_GH), RFv_Ap_2 ),0),0)</f>
        <v>0</v>
      </c>
      <c r="AK21" s="158" cm="1">
        <f t="array" aca="1" ref="AK21" ca="1">IF(AND($Z$12=$Y21,$Z$13=AK$13),IFERROR(IF(Art=0, INDIRECT("SM_"&amp;$Y21) / (-L_GH), RFv_Ap_2 ),0),0)</f>
        <v>0</v>
      </c>
      <c r="AL21" s="158" cm="1">
        <f t="array" aca="1" ref="AL21" ca="1">IF(AND($Z$12=$Y21,$Z$13=AL$13),IFERROR(IF(Art=0, INDIRECT("SM_"&amp;$Y21) / (-L_GH + L_KL ), RFv_Ap_2 ),0),0)</f>
        <v>0</v>
      </c>
      <c r="AM21" s="158" cm="1">
        <f t="array" aca="1" ref="AM21" ca="1">IF(AND($Z$12=$Y21,$Z$13=AM$13),IFERROR(IF(Art=0, INDIRECT("SM_"&amp;$Y21) / (-L_GH + L_KL+L_LM ), RFv_Ap_2 ),0),0)</f>
        <v>0</v>
      </c>
      <c r="AN21" s="158" cm="1">
        <f t="array" aca="1" ref="AN21" ca="1">IF(AND($Z$12=$Y21,$Z$13=AN$13),IFERROR(IF(Art=0, INDIRECT("SM_"&amp;$Y21) / (-L_GH + L_KL+L_LM+L_MN ), RFv_Ap_2 ),0),0)</f>
        <v>0</v>
      </c>
      <c r="AO21" s="170" cm="1">
        <f t="array" aca="1" ref="AO21" ca="1">IF(AND($Z$12=$Y21,$Z$13=AO$13),IFERROR(IF(Art=0, INDIRECT("SM_"&amp;$Y21) / (-L_GH + L_KL+L_LM ), RFv_Ap_2 ),0),0)</f>
        <v>0</v>
      </c>
      <c r="AP21" s="164">
        <f t="shared" ca="1" si="0"/>
        <v>0</v>
      </c>
      <c r="AQ21" s="22">
        <f ca="1">X_G+L_GH</f>
        <v>0</v>
      </c>
      <c r="AR21" s="185" t="str">
        <f t="shared" ca="1" si="9"/>
        <v/>
      </c>
      <c r="AS21" s="188">
        <f ca="1">OCULTOS!AH$29</f>
        <v>0</v>
      </c>
      <c r="AT21" s="196" t="str">
        <f ca="1">IF(AR21="","",IF(Ver_Resultados=_NO,_Arriba&amp;AR21,IF(AS21&gt;0,_Arriba,_Abajo)&amp;" "&amp;FIXED(ABS(AS21),2)&amp;" kN"))</f>
        <v/>
      </c>
      <c r="AU21" s="185" t="str">
        <f t="shared" ca="1" si="6"/>
        <v/>
      </c>
      <c r="AV21" s="188">
        <f t="shared" ca="1" si="10"/>
        <v>0</v>
      </c>
      <c r="AW21" s="199" t="str">
        <f ca="1">IF(AU21="","",IF(Ver_Resultados=_NO,_Derecha&amp;AU21,IF(AV21&gt;0,_Derecha,_Izquierda)&amp;" "&amp;FIXED(ABS(AV21),2)&amp;" kN"))</f>
        <v/>
      </c>
      <c r="AX21" s="193" t="str">
        <f t="shared" ca="1" si="1"/>
        <v/>
      </c>
      <c r="AY21" s="285" cm="1">
        <f t="array" aca="1" ref="AY21" ca="1">IFERROR(IF(AX21="",0,  IF(Art=0, - BA21, - BA21 + INDIRECT("RFV_"&amp;Ap_2)  * Ap_Distancia  )),0)</f>
        <v>0</v>
      </c>
      <c r="AZ21" s="196" t="str">
        <f ca="1">IF(AX21="","",IF(Ver_Resultados=_NO,_M_Pos&amp;" M"&amp;Y21,IF(AY21&gt;0,_M_Pos,_M_Neg)&amp;" "&amp;FIXED(ABS(AY21),2)&amp;" kNm"))</f>
        <v/>
      </c>
      <c r="BA21" s="190">
        <f ca="1" xml:space="preserve"> - q_AB*L_AB*(L_AB/2+L_BC+L_CE_v) - q_BC*L_BC*(L_BC/2+L_CE_v)    -    F_qCE_h*(L_CE_v/2)
   + q_GJ*L_GJ*(-L_GJ/2)    +    q_JK*L_JK*(-L_GJ-L_JK/2)    + q_MO*L_MO * (-L_GJ-L_JK-L_MO/2)
- (Fh_A + RFh_A) *  (L_AB+L_BC+L_CE_v)  -  (Fh_B + RFh_B) * (L_BC+L_CE_v) -  (Fh_C + RFh_C) * (L_CE_v) -  (Fh_D1) * (L_CE_v/2 )
+ (Fh_D+Fh_E+Fh_F+Fh_G+Fh_H+Fh_I + RFh_D+RFh_E+RFh_F+RFh_G+RFh_H+RFh_I) * (0)
+ (Fh_J + RFh_J)   *  (-L_GJ) +  (Fh_K+Fh_L+Fh_M+Fh_N + RFh_K+RFh_L+RFh_M+RFh_N) * (-L_GJ-L_JK)
+ (Fh_O + RFh_O) * (-L_GJ-L_JK-L_MO)  +                                                                               SUM(Momentos)  -  (
    - F_qCE_v * (L_DE/2+L_EF+L_FG+L_GH)  - q_EF * L_EF * (L_EF/2+L_FG+L_GH) - q_FG * L_FG*(L_FG/2+L_GH)
    -  q_GH * L_GH * (L_GH/2)  +  q_HI * L_HI * (L_HI/2)
    + q_KL  * L_KL*(L_KL/2-L_GH)  +  q_LM * L_LM * (L_KL+L_LM/2-L_GH)  +  q_MN * L_MN * (L_KL+L_LM+L_MN/2-L_GH)
- Fv_D1 * (L_DE/2+L_EF+L_FG+L_GH)  -  (Fv_A+Fv_B+Fv_C+Fv_D) * (L_DE+L_EF+L_FG+L_GH)
- Fv_E  * (L_EF+L_FG+L_GH)  - Fv_F * (L_FG+L_GH) -  (Fv_G+Fv_J+Fv_K ) * (L_GH)
+Fv_H  * (0)  +  Fv_I  * L_HI
+ Fv_L  * (L_KL-L_GH)  +  (Fv_M+Fv_O) * (L_KL+L_LM-L_GH) + Fv_N * (L_KL+L_LM+L_MN-L_GH)  )</f>
        <v>0</v>
      </c>
      <c r="BB21" s="190">
        <f ca="1" xml:space="preserve"> - q_AB*L_AB*(L_AB/2+L_BC+L_CE_v) - q_BC*L_BC*(L_BC/2+L_CE_v)    -    F_qCE_h*(L_CE_v/2)
   + q_GJ*L_GJ*(-L_GJ/2)    +    q_JK*L_JK*(-L_GJ-L_JK/2)    + q_MO*L_MO * (-L_GJ-L_JK-L_MO/2)
- (Fh_A + RFh_A) *  (L_AB+L_BC+L_CE_v)  -  (Fh_B + RFh_B) * (L_BC+L_CE_v) -  (Fh_C + RFh_C) * (L_CE_v) -  (Fh_D1) * (L_CE_v/2 )
+ (Fh_J + RFh_J)   *  (-L_GJ) +  (Fh_K+Fh_L+Fh_M+Fh_N + RFh_K+RFh_L+RFh_M+RFh_N) * (-L_GJ-L_JK)
+ (Fh_O + RFh_O) * (-L_GJ-L_JK-L_MO)  +                           ( SUM(Momentos) -  Mz_H - Mz_I ) -  (
    - F_qCE_v * (L_DE/2+L_EF+L_FG+L_GH)  - q_EF * L_EF * (L_EF/2+L_FG+L_GH) - q_FG * L_FG*(L_FG/2+L_GH)
    -  q_GH * L_GH * (L_GH/2)  +
    + q_KL  * L_KL*(L_KL/2-L_GH)  +  q_LM * L_LM * (L_KL+L_LM/2-L_GH)  +  q_MN * L_MN * (L_KL+L_LM+L_MN/2-L_GH)
- Fv_D1 * (L_DE/2+L_EF+L_FG+L_GH)  -  (Fv_A+Fv_B+Fv_C+Fv_D) * (L_DE+L_EF+L_FG+L_GH)
- Fv_E  * (L_EF+L_FG+L_GH)  - Fv_F * (L_FG+L_GH) -  (Fv_G+Fv_J+Fv_K ) * (L_GH)
+ Fv_L * (L_KL-L_GH)  +  (Fv_M+Fv_O) * (L_KL+L_LM-L_GH) + Fv_N * (L_KL+L_LM+L_MN-L_GH)  )</f>
        <v>0</v>
      </c>
      <c r="BC21" s="190">
        <f t="shared" ca="1" si="2"/>
        <v>0</v>
      </c>
      <c r="BD21" s="253" t="str">
        <f t="shared" ca="1" si="3"/>
        <v/>
      </c>
      <c r="BE21" s="235" t="str">
        <f t="shared" si="4"/>
        <v>H</v>
      </c>
      <c r="BF21" t="str">
        <f t="shared" ca="1" si="7"/>
        <v>←</v>
      </c>
      <c r="BG21" s="235"/>
    </row>
    <row r="22" spans="1:59" ht="15.7" hidden="1" outlineLevel="1">
      <c r="A22" s="75" t="str">
        <f t="shared" ca="1" si="11"/>
        <v/>
      </c>
      <c r="B22" s="72" t="str" cm="1">
        <f t="array" aca="1" ref="B22" ca="1">IF(INDIRECT(A$11&amp;$M22)=0,"",FIXED(INDIRECT(A$11&amp;$M22),2)&amp;B$11&amp;Tab)&amp;IF(INDIRECT(A$11&amp;$M22)=0,"",
 IF(MOD(ROW(A21)-ROW($A$14)+1-COUNTIF($A$14:A21,"")+1,5)&lt;&gt;0,"",IF(COUNTA(O23:$O$28)-COUNTIF(O23:$O$28,"")=0,"",Salto&amp;Tab_4)))</f>
        <v/>
      </c>
      <c r="C22" s="75" t="str">
        <f t="shared" ca="1" si="5"/>
        <v/>
      </c>
      <c r="D22" s="72" t="str" cm="1">
        <f t="array" aca="1" ref="D22" ca="1">IF(OR(INDIRECT(C$11&amp;$Y22)="",INDIRECT(C$11&amp;$Y22)=0),"",
  ABS(INDIRECT(C$11&amp;$Y22))&amp;D$11&amp;IF(INDIRECT(C$11&amp;$Y22)&gt;0,_Arriba&amp;Tab,_Abajo&amp;Tab)&amp;Tab&amp;
 IF(MOD(ROW(C21)-ROW($C$14)+1-COUNTIF($C$14:C21,"")+1,4)&lt;&gt;0,"",
 IF(COUNTA(Q23:$Q$29)-COUNTIF(Q23:$Q$29,"")=0,"",Salto&amp;Tab_4)))</f>
        <v/>
      </c>
      <c r="E22" s="75" t="str">
        <f t="shared" ca="1" si="8"/>
        <v/>
      </c>
      <c r="F22" s="73" t="str" cm="1">
        <f t="array" aca="1" ref="F22" ca="1">IF(OR(INDIRECT(E$11&amp;$Y22)="",INDIRECT(E$11&amp;$Y22)=0),"",ABS(INDIRECT(E$11&amp;$Y22))&amp;F$11&amp;
   IF(INDIRECT(E$11&amp;$Y22)&gt;0,_Derecha&amp;Tab,_Izquierda&amp;Tab)&amp;Tab&amp;
   IF(MOD(ROW(E21)-ROW($E$14)+1-COUNTIF($E$14:E21,"")+1,4)&lt;&gt;0,"",
   IF(COUNTA(S23:$S$29)-COUNTIF(S23:$S$29,"")=0,"",Salto&amp;Tab_4)))</f>
        <v/>
      </c>
      <c r="G22" s="75" t="str">
        <f t="shared" ca="1" si="12"/>
        <v/>
      </c>
      <c r="H22" s="74" t="str" cm="1">
        <f t="array" aca="1" ref="H22" ca="1">IF(OR(INDIRECT(G$11&amp;$Y22)="",INDIRECT(G$11&amp;$Y22)=0),"",
  ABS(INDIRECT(G$11&amp;$Y22))&amp;H$11&amp;IF(INDIRECT(G$11&amp;$Y22)&gt;0,_M_Pos&amp;Tab,_M_Neg&amp;Tab)&amp;Tab&amp;
  IF(MOD(ROW(G21)-ROW($G$14)+1-COUNTIF($G$14:G21,"")+1,4)&lt;&gt;0,"",
  IF(COUNTA(U23:$U$29)-COUNTIF(U23:$U$29,"")=0,"",Salto&amp;Tab_4)))</f>
        <v/>
      </c>
      <c r="I22" s="75" t="str">
        <f t="shared" ca="1" si="13"/>
        <v/>
      </c>
      <c r="J22" s="76" t="str" cm="1">
        <f t="array" aca="1" ref="J22" ca="1">IF(OR(INDIRECT(I$11&amp;$M22)="",INDIRECT(I$11&amp;$M22)=0),"",ABS(INDIRECT(I$11&amp;$M22))&amp;J$11&amp;IF(K22="h",
                           IF(INDIRECT(I$11&amp;$M22)&gt;0,_Dcha_q   &amp;Tab,_Izda_q     &amp;Tab),
                           IF(INDIRECT(I$11&amp;$M22)&gt;0,_Arriba_q &amp;Tab,_Abajo_q    &amp;Tab))&amp;Tab&amp;
                IF(MOD(IF(INDIRECT(I$11&amp;$M22)=0,0,COUNTIF($K$14:K22,K22)),4)&lt;&gt;0,"",Salto&amp;Tab_4))</f>
        <v/>
      </c>
      <c r="K22" s="77" t="str" cm="1">
        <f t="array" aca="1" ref="K22" ca="1">IF(INDIRECT(I$11&amp;$M22)=0,"","v")</f>
        <v/>
      </c>
      <c r="M22" s="221" t="s">
        <v>133</v>
      </c>
      <c r="N22" s="68" t="s">
        <v>50</v>
      </c>
      <c r="O22" s="202" t="str" cm="1">
        <f t="array" aca="1" ref="O22" ca="1">IF(INDIRECT("L_"&amp;M22)=0,"",IF(Ver_Datos=_NO,M22,FIXED(INDIRECT("L_"&amp;M22),2)&amp;" m"))</f>
        <v/>
      </c>
      <c r="P22" s="68" t="s">
        <v>65</v>
      </c>
      <c r="Q22" s="69" t="str">
        <f ca="1">IF(PROBLEMA!AI23=0,"",IF(Ver_Datos=_NO,REPLACE(P22,3,1," "),ABS(PROBLEMA!AI23)&amp;" kN"))</f>
        <v/>
      </c>
      <c r="R22" s="68" t="s">
        <v>80</v>
      </c>
      <c r="S22" s="70" t="str">
        <f ca="1">IF(PROBLEMA!AL23=0,"",IF(Ver_Datos=_NO,REPLACE(R22,3,1," "),ABS(PROBLEMA!AL23)&amp;" kN"))</f>
        <v/>
      </c>
      <c r="T22" s="68" t="s">
        <v>95</v>
      </c>
      <c r="U22" s="71" t="str">
        <f ca="1">IF(PROBLEMA!AO23=0,"",IF(Ver_Datos=_NO,REPLACE(T22,3,1," "),ABS(PROBLEMA!AO23)&amp;" kNm"))</f>
        <v/>
      </c>
      <c r="V22" s="150" t="s">
        <v>111</v>
      </c>
      <c r="W22" s="148" t="str" cm="1">
        <f t="array" aca="1" ref="W22" ca="1">IF(INDIRECT(V22)=0,"",IF(Ver_Datos=_NO,REPLACE(V22,2,1," "),ABS(PROBLEMA!AR23)&amp;" kN/m"))</f>
        <v/>
      </c>
      <c r="Y22" s="160" t="s">
        <v>412</v>
      </c>
      <c r="Z22" s="166" t="s">
        <v>430</v>
      </c>
      <c r="AA22" s="169"/>
      <c r="AB22" s="158"/>
      <c r="AC22" s="158"/>
      <c r="AD22" s="158"/>
      <c r="AE22" s="158"/>
      <c r="AF22" s="158"/>
      <c r="AG22" s="158"/>
      <c r="AH22" s="158"/>
      <c r="AI22" s="226">
        <f ca="1">IF($Z$12=$Y22,   - SUM(Fuerzas_V)
  - SUMPRODUCT(PROBLEMA!$AR$20:$AR$23,PROBLEMA!$X$20:$X$23)   - F_qCE_v
  - SUMPRODUCT(PROBLEMA!$AR$26:$AR$28,PROBLEMA!$X$26:$X$28)   - SUM(AJ22:$AO22),0)</f>
        <v>0</v>
      </c>
      <c r="AJ22" s="158" cm="1">
        <f t="array" aca="1" ref="AJ22" ca="1">IF(AND($Z$12=$Y22,$Z$13=AJ$13),IFERROR(IF(Art=0, INDIRECT("SM_"&amp;$Y22) / (-L_GH-L_HI), RFv_Ap_2 ),0),0)</f>
        <v>0</v>
      </c>
      <c r="AK22" s="158" cm="1">
        <f t="array" aca="1" ref="AK22" ca="1">IF(AND($Z$12=$Y22,$Z$13=AK$13),IFERROR(IF(Art=0, INDIRECT("SM_"&amp;$Y22) / (-L_GH-L_HI), RFv_Ap_2 ),0),0)</f>
        <v>0</v>
      </c>
      <c r="AL22" s="158" cm="1">
        <f t="array" aca="1" ref="AL22" ca="1">IF(AND($Z$12=$Y22,$Z$13=AL$13),IFERROR(IF(Art=0, INDIRECT("SM_"&amp;$Y22) / (-L_GH-L_HI+L_KL ), RFv_Ap_2 ),0),0)</f>
        <v>0</v>
      </c>
      <c r="AM22" s="158" cm="1">
        <f t="array" aca="1" ref="AM22" ca="1">IF(AND($Z$12=$Y22,$Z$13=AM$13),IFERROR(IF(Art=0, INDIRECT("SM_"&amp;$Y22) / (-L_GH-L_HI+L_KL+L_LM ), RFv_Ap_2 ),0),0)</f>
        <v>0</v>
      </c>
      <c r="AN22" s="158" cm="1">
        <f t="array" aca="1" ref="AN22" ca="1">IF(AND($Z$12=$Y22,$Z$13=AN$13),IFERROR(IF(Art=0, INDIRECT("SM_"&amp;$Y22) / (-L_GH-L_HI+L_KL+L_LM+L_MN ), RFv_Ap_2 ),0),0)</f>
        <v>0</v>
      </c>
      <c r="AO22" s="170" cm="1">
        <f t="array" aca="1" ref="AO22" ca="1">IF(AND($Z$12=$Y22,$Z$13=AO$13),IFERROR(IF(Art=0, INDIRECT("SM_"&amp;$Y22) / (-L_GH-L_HI+L_KL+L_LM ), RFv_Ap_2 ),0),0)</f>
        <v>0</v>
      </c>
      <c r="AP22" s="164">
        <f t="shared" ca="1" si="0"/>
        <v>0</v>
      </c>
      <c r="AQ22" s="22">
        <f ca="1">X_H+L_HI</f>
        <v>0</v>
      </c>
      <c r="AR22" s="185" t="str">
        <f t="shared" ca="1" si="9"/>
        <v/>
      </c>
      <c r="AS22" s="188">
        <f ca="1">OCULTOS!AI$29</f>
        <v>0</v>
      </c>
      <c r="AT22" s="196" t="str">
        <f ca="1">IF(AR22="","",IF(Ver_Resultados=_NO,_Arriba&amp;AR22,IF(AS22&gt;0,_Arriba,_Abajo)&amp;" "&amp;FIXED(ABS(AS22),2)&amp;" kN"))</f>
        <v/>
      </c>
      <c r="AU22" s="185" t="str">
        <f t="shared" ca="1" si="6"/>
        <v/>
      </c>
      <c r="AV22" s="188">
        <f t="shared" ca="1" si="10"/>
        <v>0</v>
      </c>
      <c r="AW22" s="199" t="str">
        <f ca="1">IF(AU22="","",IF(Ver_Resultados=_NO,_Derecha&amp;AU22,IF(AV22&gt;0,_Derecha,_Izquierda)&amp;" "&amp;FIXED(ABS(AV22),2)&amp;" kN"))</f>
        <v/>
      </c>
      <c r="AX22" s="193" t="str">
        <f t="shared" ca="1" si="1"/>
        <v/>
      </c>
      <c r="AY22" s="285" cm="1">
        <f t="array" aca="1" ref="AY22" ca="1">IFERROR(IF(AX22="",0,  IF(Art=0, - BA22, - BA22 + INDIRECT("RFV_"&amp;Ap_2)  * Ap_Distancia  )),0)</f>
        <v>0</v>
      </c>
      <c r="AZ22" s="196" t="str">
        <f ca="1">IF(AX22="","",IF(Ver_Resultados=_NO,_M_Pos&amp;" M"&amp;Y22,IF(AY22&gt;0,_M_Pos,_M_Neg)&amp;" "&amp;FIXED(ABS(AY22),2)&amp;" kNm"))</f>
        <v/>
      </c>
      <c r="BA22" s="190">
        <f ca="1" xml:space="preserve"> - q_AB*L_AB*(L_AB/2+L_BC+L_CE_v) - q_BC*L_BC*(L_BC/2+L_CE_v)    -    F_qCE_h*(L_CE_v/2)
   + q_GJ*L_GJ*(-L_GJ/2)    +    q_JK*L_JK*(-L_GJ-L_JK/2)    + q_MO*L_MO * (-L_GJ-L_JK-L_MO/2)
- (Fh_A + RFh_A) *  (L_AB+L_BC+L_CE_v)  -  (Fh_B + RFh_B) * (L_BC+L_CE_v) -  (Fh_C + RFh_C) * (L_CE_v) -  (Fh_D1) * (L_CE_v/2 )
+ (Fh_D+Fh_E+Fh_F+Fh_G+Fh_H+Fh_I + RFh_D+RFh_E+RFh_F+RFh_G+RFh_H+RFh_I) * (0)
+ (Fh_J + RFh_J)   *  (-L_GJ) +  (Fh_K+Fh_L+Fh_M+Fh_N + RFh_K+RFh_L+RFh_M+RFh_N) * (-L_GJ-L_JK)
+ (Fh_O + RFh_O) * (-L_GJ-L_JK-L_MO)  +                                                                               SUM(Momentos)  -  (
    - F_qCE_v * (L_DE/2+L_EF+L_FG+L_GH+L_HI)  - q_EF * L_EF * (L_EF/2+L_FG+L_GH+L_HI) - q_FG * L_FG*(L_FG/2+L_GH+L_HI)
    -  q_GH * L_GH * (L_GH/2+L_HI)  -  q_HI * L_HI * (L_HI/2)
    + q_KL  * L_KL*(L_KL/2-L_GH-L_HI)  +  q_LM * L_LM * (L_KL+L_LM/2-L_GH-L_HI)  +  q_MN * L_MN * (L_KL+L_LM+L_MN/2-L_GH-L_HI)
- Fv_D1 * (L_DE/2+L_EF+L_FG+L_GH+L_HI)  -  (Fv_A+Fv_B+Fv_C+Fv_D) * (L_DE+L_EF+L_FG+L_GH+L_HI)
-  Fv_E  * (L_EF+L_FG+L_GH+L_HI)  - Fv_F * (L_FG+L_GH+L_HI) -  (Fv_G+Fv_J+Fv_K) * (L_GH+L_HI)
- Fv_H  * L_HI  +  Fv_I  * (0)
+ Fv_L * (L_KL-L_GH-L_HI)  +  (Fv_M+Fv_O) * (L_KL+L_LM-L_GH-L_HI) + Fv_N * (L_KL+L_LM+L_MN-L_GH-L_HI)  )</f>
        <v>0</v>
      </c>
      <c r="BB22" s="190">
        <f ca="1">SM_I</f>
        <v>0</v>
      </c>
      <c r="BC22" s="248">
        <f t="shared" ca="1" si="2"/>
        <v>0</v>
      </c>
      <c r="BD22" s="253" t="str">
        <f t="shared" ca="1" si="3"/>
        <v/>
      </c>
      <c r="BE22" s="235" t="str">
        <f t="shared" si="4"/>
        <v>I</v>
      </c>
      <c r="BG22" s="235"/>
    </row>
    <row r="23" spans="1:59" ht="15.7" hidden="1" outlineLevel="1">
      <c r="A23" s="75" t="str">
        <f t="shared" ref="A23:A28" ca="1" si="14">IF(O23="","",$M23&amp;" = ")</f>
        <v/>
      </c>
      <c r="B23" s="72" t="str" cm="1">
        <f t="array" aca="1" ref="B23" ca="1">IF(INDIRECT(A$11&amp;$M23)=0,"",FIXED(INDIRECT(A$11&amp;$M23),2)&amp;B$11&amp;Tab)&amp;IF(INDIRECT(A$11&amp;$M23)=0,"",
 IF(MOD(ROW(A22)-ROW($A$14)+1-COUNTIF($A$14:A22,"")+1,5)&lt;&gt;0,"",IF(COUNTA(O24:$O$28)-COUNTIF(O24:$O$28,"")=0,"",Salto&amp;Tab_4)))</f>
        <v/>
      </c>
      <c r="C23" s="75" t="str">
        <f t="shared" ca="1" si="5"/>
        <v/>
      </c>
      <c r="D23" s="72" t="str" cm="1">
        <f t="array" aca="1" ref="D23" ca="1">IF(OR(INDIRECT(C$11&amp;$Y23)="",INDIRECT(C$11&amp;$Y23)=0),"",
  ABS(INDIRECT(C$11&amp;$Y23))&amp;D$11&amp;IF(INDIRECT(C$11&amp;$Y23)&gt;0,_Arriba&amp;Tab,_Abajo&amp;Tab)&amp;Tab&amp;
 IF(MOD(ROW(C22)-ROW($C$14)+1-COUNTIF($C$14:C22,"")+1,4)&lt;&gt;0,"",
 IF(COUNTA(Q24:$Q$29)-COUNTIF(Q24:$Q$29,"")=0,"",Salto&amp;Tab_4)))</f>
        <v/>
      </c>
      <c r="E23" s="75" t="str">
        <f t="shared" ca="1" si="8"/>
        <v/>
      </c>
      <c r="F23" s="73" t="str" cm="1">
        <f t="array" aca="1" ref="F23" ca="1">IF(OR(INDIRECT(E$11&amp;$Y23)="",INDIRECT(E$11&amp;$Y23)=0),"",ABS(INDIRECT(E$11&amp;$Y23))&amp;F$11&amp;
   IF(INDIRECT(E$11&amp;$Y23)&gt;0,_Derecha&amp;Tab,_Izquierda&amp;Tab)&amp;Tab&amp;
   IF(MOD(ROW(E22)-ROW($E$14)+1-COUNTIF($E$14:E22,"")+1,4)&lt;&gt;0,"",
   IF(COUNTA(S24:$S$29)-COUNTIF(S24:$S$29,"")=0,"",Salto&amp;Tab_4)))</f>
        <v/>
      </c>
      <c r="G23" s="75" t="str">
        <f t="shared" ca="1" si="12"/>
        <v/>
      </c>
      <c r="H23" s="74" t="str" cm="1">
        <f t="array" aca="1" ref="H23" ca="1">IF(OR(INDIRECT(G$11&amp;$Y23)="",INDIRECT(G$11&amp;$Y23)=0),"",
  ABS(INDIRECT(G$11&amp;$Y23))&amp;H$11&amp;IF(INDIRECT(G$11&amp;$Y23)&gt;0,_M_Pos&amp;Tab,_M_Neg&amp;Tab)&amp;Tab&amp;
  IF(MOD(ROW(G22)-ROW($G$14)+1-COUNTIF($G$14:G22,"")+1,4)&lt;&gt;0,"",
  IF(COUNTA(U24:$U$29)-COUNTIF(U24:$U$29,"")=0,"",Salto&amp;Tab_4)))</f>
        <v/>
      </c>
      <c r="I23" s="75" t="str">
        <f t="shared" ca="1" si="13"/>
        <v/>
      </c>
      <c r="J23" s="76" t="str" cm="1">
        <f t="array" aca="1" ref="J23" ca="1">IF(OR(INDIRECT(I$11&amp;$M23)="",INDIRECT(I$11&amp;$M23)=0),"",ABS(INDIRECT(I$11&amp;$M23))&amp;J$11&amp;IF(K23="h",
                           IF(INDIRECT(I$11&amp;$M23)&gt;0,_Dcha_q   &amp;Tab,_Izda_q     &amp;Tab),
                           IF(INDIRECT(I$11&amp;$M23)&gt;0,_Arriba_q &amp;Tab,_Abajo_q    &amp;Tab))&amp;Tab&amp;
                IF(MOD(IF(INDIRECT(I$11&amp;$M23)=0,0,COUNTIF($K$14:K23,K23)),4)&lt;&gt;0,"",Salto&amp;Tab_4))</f>
        <v/>
      </c>
      <c r="K23" s="77" t="str" cm="1">
        <f t="array" aca="1" ref="K23" ca="1">IF(INDIRECT(I$11&amp;$M23)=0,"","h")</f>
        <v/>
      </c>
      <c r="M23" s="221" t="s">
        <v>134</v>
      </c>
      <c r="N23" s="68" t="s">
        <v>51</v>
      </c>
      <c r="O23" s="202" t="str" cm="1">
        <f t="array" aca="1" ref="O23" ca="1">IF(INDIRECT("L_"&amp;M23)=0,"",IF(Ver_Datos=_NO,M23,FIXED(INDIRECT("L_"&amp;M23),2)&amp;" m"))</f>
        <v/>
      </c>
      <c r="P23" s="68" t="s">
        <v>66</v>
      </c>
      <c r="Q23" s="69" t="str">
        <f ca="1">IF(PROBLEMA!AI24=0,"",IF(Ver_Datos=_NO,REPLACE(P23,3,1," "),ABS(PROBLEMA!AI24)&amp;" kN"))</f>
        <v/>
      </c>
      <c r="R23" s="68" t="s">
        <v>81</v>
      </c>
      <c r="S23" s="70" t="str">
        <f ca="1">IF(PROBLEMA!AL24=0,"",IF(Ver_Datos=_NO,REPLACE(R23,3,1," "),ABS(PROBLEMA!AL24)&amp;" kN"))</f>
        <v/>
      </c>
      <c r="T23" s="68" t="s">
        <v>96</v>
      </c>
      <c r="U23" s="71" t="str">
        <f ca="1">IF(PROBLEMA!AO24=0,"",IF(Ver_Datos=_NO,REPLACE(T23,3,1," "),ABS(PROBLEMA!AO24)&amp;" kNm"))</f>
        <v/>
      </c>
      <c r="V23" s="150" t="s">
        <v>112</v>
      </c>
      <c r="W23" s="148" t="str" cm="1">
        <f t="array" aca="1" ref="W23" ca="1">IF(INDIRECT(V23)=0,"",IF(Ver_Datos=_NO,REPLACE(V23,2,1," "),ABS(PROBLEMA!AR24)&amp;" kN/m"))</f>
        <v/>
      </c>
      <c r="Y23" s="160" t="s">
        <v>417</v>
      </c>
      <c r="Z23" s="166" t="s">
        <v>431</v>
      </c>
      <c r="AA23" s="169"/>
      <c r="AB23" s="158"/>
      <c r="AC23" s="158"/>
      <c r="AD23" s="158"/>
      <c r="AE23" s="158"/>
      <c r="AF23" s="158"/>
      <c r="AG23" s="158"/>
      <c r="AH23" s="158"/>
      <c r="AI23" s="158"/>
      <c r="AJ23" s="226">
        <f ca="1">IF($Z$12=$Y23,   - SUM(Fuerzas_V)
  - SUMPRODUCT(PROBLEMA!$AR$20:$AR$23,PROBLEMA!$X$20:$X$23)   - F_qCE_v
  - SUMPRODUCT(PROBLEMA!$AR$26:$AR$28,PROBLEMA!$X$26:$X$28)   - SUM(AK23:$AO23),0)</f>
        <v>0</v>
      </c>
      <c r="AK23" s="243">
        <v>0</v>
      </c>
      <c r="AL23" s="158" cm="1">
        <f t="array" aca="1" ref="AL23" ca="1">IF(AND($Z$12=$Y23,$Z$13=AL$13),IFERROR(IF(Art=0, INDIRECT("SM_"&amp;$Y23) / ( L_KL ), RFv_Ap_2 ),0),0)</f>
        <v>0</v>
      </c>
      <c r="AM23" s="158" cm="1">
        <f t="array" aca="1" ref="AM23" ca="1">IF(AND($Z$12=$Y23,$Z$13=AM$13),IFERROR(IF(Art=0, INDIRECT("SM_"&amp;$Y23) / ( L_KL+L_LM ), RFv_Ap_2 ),0),0)</f>
        <v>0</v>
      </c>
      <c r="AN23" s="158" cm="1">
        <f t="array" aca="1" ref="AN23" ca="1">IF(AND($Z$12=$Y23,$Z$13=AN$13),IFERROR(IF(Art=0, INDIRECT("SM_"&amp;$Y23) / ( L_KL+L_LM+L_LM ), RFv_Ap_2 ),0),0)</f>
        <v>0</v>
      </c>
      <c r="AO23" s="170" cm="1">
        <f t="array" aca="1" ref="AO23" ca="1">IF(AND($Z$12=$Y23,$Z$13=AO$13),IFERROR(IF(Art=0, INDIRECT("SM_"&amp;$Y23) / ( L_KL+L_LM ), RFv_Ap_2 ),0),0)</f>
        <v>0</v>
      </c>
      <c r="AP23" s="164">
        <f t="shared" ca="1" si="0"/>
        <v>0</v>
      </c>
      <c r="AQ23" s="22">
        <f ca="1">X_G</f>
        <v>0</v>
      </c>
      <c r="AR23" s="185" t="str">
        <f t="shared" ca="1" si="9"/>
        <v/>
      </c>
      <c r="AS23" s="188">
        <f ca="1">OCULTOS!AJ$29</f>
        <v>0</v>
      </c>
      <c r="AT23" s="196" t="str">
        <f ca="1">IF(AR23="","",IF(Ver_Resultados=_NO,_Arriba&amp;AR23,IF(AS23&gt;0,_Arriba,_Abajo)&amp;" "&amp;FIXED(ABS(AS23),2)&amp;" kN"))</f>
        <v/>
      </c>
      <c r="AU23" s="185" t="str">
        <f t="shared" ca="1" si="6"/>
        <v/>
      </c>
      <c r="AV23" s="188">
        <f t="shared" ca="1" si="10"/>
        <v>0</v>
      </c>
      <c r="AW23" s="199" t="str">
        <f ca="1">IF(AU23="","",IF(Ver_Resultados=_NO,_Derecha&amp;AU23,IF(AV23&gt;0,_Derecha,_Izquierda)&amp;" "&amp;FIXED(ABS(AV23),2)&amp;" kN"))</f>
        <v/>
      </c>
      <c r="AX23" s="193" t="str">
        <f t="shared" ca="1" si="1"/>
        <v/>
      </c>
      <c r="AY23" s="285" cm="1">
        <f t="array" aca="1" ref="AY23" ca="1">IFERROR(IF(AX23="",0,  IF(Art=0, - BA23, - BA23 + INDIRECT("RFV_"&amp;Ap_2)  * Ap_Distancia  )),0)</f>
        <v>0</v>
      </c>
      <c r="AZ23" s="196" t="str">
        <f ca="1">IF(AX23="","",IF(Ver_Resultados=_NO,_M_Pos&amp;" M"&amp;Y23,IF(AY23&gt;0,_M_Pos,_M_Neg)&amp;" "&amp;FIXED(ABS(AY23),2)&amp;" kNm"))</f>
        <v/>
      </c>
      <c r="BA23" s="190">
        <f ca="1" xml:space="preserve"> - q_AB*L_AB*(L_AB/2+L_BC+L_CE_v-L_GJ) - q_BC*L_BC*(L_BC/2+L_CE_v-L_GJ)    -    F_qCE_h*(L_CE_v/2-L_GJ)
   + q_GJ*L_GJ*(+L_GJ/2)  -  q_JK*L_JK*(L_JK/2)    + q_MO*L_MO * (-L_JK-L_MO/2)
- (Fh_A + RFh_A) *  (L_AB+L_BC+L_CE_v-L_GJ)  -  (Fh_B + RFh_B) * (L_BC+L_CE_v-L_GJ) -  (Fh_C + RFh_C) * (L_CE_v-L_GJ) -  (Fh_D1) * (L_CE_v/2 - L_GJ)
+ (Fh_D+Fh_E+Fh_F+Fh_G+Fh_H+Fh_I + RFh_D+RFh_E+RFh_F+RFh_G+RFh_H+RFh_I) * (L_GJ)
+ (Fh_J + RFh_J)   *  (0) +  (Fh_K+Fh_L+Fh_M+Fh_N + RFh_K+RFh_L+RFh_M+RFh_N) * (-L_JK)
+ (Fh_O + RFh_O) * (-L_JK-L_MO)  +                                                                        SUM(Momentos)  -  (
   - F_qCE_v * (L_DE/2+L_EF+L_FG)  - q_EF * L_EF * (L_EF/2+L_FG) - q_FG * L_FG*(L_FG/2)
    +  q_GH * L_GH * (L_GH/2)  +  q_HI * L_HI * (L_GH+L_HI/2)
    + q_KL  * L_KL*(L_KL/2)  +  q_LM * L_LM * (L_KL+L_LM/2)  +  q_MN * L_MN * (L_KL+L_LM+L_MN/2)
- Fv_D1 * (L_DE/2+L_EF+L_FG)  -  (Fv_A+Fv_B+Fv_C+Fv_D) * (L_DE+L_EF+L_FG)
- Fv_E * (L_EF+L_FG)  - Fv_F * L_FG +  (Fv_G+Fv_J+Fv_K) * (0)
+ Fv_H * (L_GH)  +  Fv_I  * (L_GH+L_HI)
+ Fv_L * (L_KL)  +  (Fv_M+Fv_O) * (L_KL+L_LM) + (Fv_N ) * (L_KL+L_LM+L_MN)  )</f>
        <v>0</v>
      </c>
      <c r="BB23" s="190">
        <f ca="1" xml:space="preserve"> - q_AB*L_AB*(L_AB/2+L_BC+L_CE_v-L_GJ) - q_BC*L_BC*(L_BC/2+L_CE_v-L_GJ)    -    F_qCE_h*(L_CE_v/2-L_GJ)
   + q_GJ*L_GJ*(+L_GJ/2)
- (Fh_A + RFh_A) *  (L_AB+L_BC+L_CE_v-L_GJ)  -  (Fh_B + RFh_B) * (L_BC+L_CE_v-L_GJ) -  (Fh_C + RFh_C) * (L_CE_v-L_GJ) -  (Fh_D1) * (L_CE_v/2 - L_GJ)
+ (Fh_D+Fh_E+Fh_F+Fh_G+Fh_H+Fh_I + RFh_D+RFh_E+RFh_F+RFh_G+RFh_H+RFh_I) * (L_GJ)
+   ( Mz_A+Mz_B+Mz_C+Mz_D+Mz_D1+Mz_E+Mz_F+Mz_G+Mz_H+Mz_I )  -  (
   - F_qCE_v * (L_DE/2+L_EF+L_FG)  - q_EF * L_EF * (L_EF/2+L_FG) - q_FG * L_FG*(L_FG/2)
    +  q_GH * L_GH * (L_GH/2)  +  q_HI * L_HI * (L_GH+L_HI/2)
- Fv_D1 * (L_DE/2+L_EF+L_FG)  -  (Fv_A+Fv_B+Fv_C+Fv_D) * (L_DE+L_EF+L_FG)
- Fv_E * (L_EF+L_FG)  - Fv_F * L_FG + Fv_H * (L_GH)  +  Fv_I  * (L_GH+L_HI) )</f>
        <v>0</v>
      </c>
      <c r="BC23" s="190">
        <f t="shared" ca="1" si="2"/>
        <v>0</v>
      </c>
      <c r="BD23" s="253" t="str">
        <f t="shared" ca="1" si="3"/>
        <v/>
      </c>
      <c r="BE23" s="235" t="str">
        <f t="shared" si="4"/>
        <v>J</v>
      </c>
      <c r="BF23" t="str">
        <f ca="1">IF(BE23&lt;Ap_1,_Derecha,_Izquierda)</f>
        <v>←</v>
      </c>
      <c r="BG23" s="235"/>
    </row>
    <row r="24" spans="1:59" ht="15.7" hidden="1" outlineLevel="1">
      <c r="A24" s="75" t="str">
        <f t="shared" ca="1" si="14"/>
        <v/>
      </c>
      <c r="B24" s="72" t="str" cm="1">
        <f t="array" aca="1" ref="B24" ca="1">IF(INDIRECT(A$11&amp;$M24)=0,"",FIXED(INDIRECT(A$11&amp;$M24),2)&amp;B$11&amp;Tab)&amp;IF(INDIRECT(A$11&amp;$M24)=0,"",
 IF(MOD(ROW(A23)-ROW($A$14)+1-COUNTIF($A$14:A23,"")+1,5)&lt;&gt;0,"",IF(COUNTA(O25:$O$28)-COUNTIF(O25:$O$28,"")=0,"",Salto&amp;Tab_4)))</f>
        <v/>
      </c>
      <c r="C24" s="75" t="str">
        <f t="shared" ca="1" si="5"/>
        <v/>
      </c>
      <c r="D24" s="72" t="str" cm="1">
        <f t="array" aca="1" ref="D24" ca="1">IF(OR(INDIRECT(C$11&amp;$Y24)="",INDIRECT(C$11&amp;$Y24)=0),"",
  ABS(INDIRECT(C$11&amp;$Y24))&amp;D$11&amp;IF(INDIRECT(C$11&amp;$Y24)&gt;0,_Arriba&amp;Tab,_Abajo&amp;Tab)&amp;Tab&amp;
 IF(MOD(ROW(C23)-ROW($C$14)+1-COUNTIF($C$14:C23,"")+1,4)&lt;&gt;0,"",
 IF(COUNTA(Q25:$Q$29)-COUNTIF(Q25:$Q$29,"")=0,"",Salto&amp;Tab_4)))</f>
        <v/>
      </c>
      <c r="E24" s="75" t="str">
        <f t="shared" ca="1" si="8"/>
        <v/>
      </c>
      <c r="F24" s="73" t="str" cm="1">
        <f t="array" aca="1" ref="F24" ca="1">IF(OR(INDIRECT(E$11&amp;$Y24)="",INDIRECT(E$11&amp;$Y24)=0),"",ABS(INDIRECT(E$11&amp;$Y24))&amp;F$11&amp;
   IF(INDIRECT(E$11&amp;$Y24)&gt;0,_Derecha&amp;Tab,_Izquierda&amp;Tab)&amp;Tab&amp;
   IF(MOD(ROW(E23)-ROW($E$14)+1-COUNTIF($E$14:E23,"")+1,4)&lt;&gt;0,"",
   IF(COUNTA(S25:$S$29)-COUNTIF(S25:$S$29,"")=0,"",Salto&amp;Tab_4)))</f>
        <v/>
      </c>
      <c r="G24" s="75" t="str">
        <f t="shared" ca="1" si="12"/>
        <v/>
      </c>
      <c r="H24" s="74" t="str" cm="1">
        <f t="array" aca="1" ref="H24" ca="1">IF(OR(INDIRECT(G$11&amp;$Y24)="",INDIRECT(G$11&amp;$Y24)=0),"",
  ABS(INDIRECT(G$11&amp;$Y24))&amp;H$11&amp;IF(INDIRECT(G$11&amp;$Y24)&gt;0,_M_Pos&amp;Tab,_M_Neg&amp;Tab)&amp;Tab&amp;
  IF(MOD(ROW(G23)-ROW($G$14)+1-COUNTIF($G$14:G23,"")+1,4)&lt;&gt;0,"",
  IF(COUNTA(U25:$U$29)-COUNTIF(U25:$U$29,"")=0,"",Salto&amp;Tab_4)))</f>
        <v/>
      </c>
      <c r="I24" s="75" t="str">
        <f t="shared" ca="1" si="13"/>
        <v/>
      </c>
      <c r="J24" s="76" t="str" cm="1">
        <f t="array" aca="1" ref="J24" ca="1">IF(OR(INDIRECT(I$11&amp;$M24)="",INDIRECT(I$11&amp;$M24)=0),"",ABS(INDIRECT(I$11&amp;$M24))&amp;J$11&amp;IF(K24="h",
                           IF(INDIRECT(I$11&amp;$M24)&gt;0,_Dcha_q   &amp;Tab,_Izda_q     &amp;Tab),
                           IF(INDIRECT(I$11&amp;$M24)&gt;0,_Arriba_q &amp;Tab,_Abajo_q    &amp;Tab))&amp;Tab&amp;
                IF(MOD(IF(INDIRECT(I$11&amp;$M24)=0,0,COUNTIF($K$14:K24,K24)),4)&lt;&gt;0,"",Salto&amp;Tab_4))</f>
        <v/>
      </c>
      <c r="K24" s="77" t="str" cm="1">
        <f t="array" aca="1" ref="K24" ca="1">IF(INDIRECT(I$11&amp;$M24)=0,"","h")</f>
        <v/>
      </c>
      <c r="M24" s="221" t="s">
        <v>135</v>
      </c>
      <c r="N24" s="68" t="s">
        <v>52</v>
      </c>
      <c r="O24" s="202" t="str" cm="1">
        <f t="array" aca="1" ref="O24" ca="1">IF(INDIRECT("L_"&amp;M24)=0,"",IF(Ver_Datos=_NO,M24,FIXED(INDIRECT("L_"&amp;M24),2)&amp;" m"))</f>
        <v/>
      </c>
      <c r="P24" s="68" t="s">
        <v>67</v>
      </c>
      <c r="Q24" s="69" t="str">
        <f ca="1">IF(PROBLEMA!AI25=0,"",IF(Ver_Datos=_NO,REPLACE(P24,3,1," "),ABS(PROBLEMA!AI25)&amp;" kN"))</f>
        <v/>
      </c>
      <c r="R24" s="68" t="s">
        <v>82</v>
      </c>
      <c r="S24" s="70" t="str">
        <f ca="1">IF(PROBLEMA!AL25=0,"",IF(Ver_Datos=_NO,REPLACE(R24,3,1," "),ABS(PROBLEMA!AL25)&amp;" kN"))</f>
        <v/>
      </c>
      <c r="T24" s="68" t="s">
        <v>97</v>
      </c>
      <c r="U24" s="71" t="str">
        <f ca="1">IF(PROBLEMA!AO25=0,"",IF(Ver_Datos=_NO,REPLACE(T24,3,1," "),ABS(PROBLEMA!AO25)&amp;" kNm"))</f>
        <v/>
      </c>
      <c r="V24" s="150" t="s">
        <v>113</v>
      </c>
      <c r="W24" s="148" t="str" cm="1">
        <f t="array" aca="1" ref="W24" ca="1">IF(INDIRECT(V24)=0,"",IF(Ver_Datos=_NO,REPLACE(V24,2,1," "),ABS(PROBLEMA!AR25)&amp;" kN/m"))</f>
        <v/>
      </c>
      <c r="Y24" s="160" t="s">
        <v>413</v>
      </c>
      <c r="Z24" s="166" t="s">
        <v>432</v>
      </c>
      <c r="AA24" s="169"/>
      <c r="AB24" s="158"/>
      <c r="AC24" s="158"/>
      <c r="AD24" s="158"/>
      <c r="AE24" s="158"/>
      <c r="AF24" s="158"/>
      <c r="AG24" s="158"/>
      <c r="AH24" s="158"/>
      <c r="AI24" s="158"/>
      <c r="AJ24" s="158"/>
      <c r="AK24" s="226">
        <f ca="1">IF($Z$12=$Y24,   - SUM(Fuerzas_V)
  - SUMPRODUCT(PROBLEMA!$AR$20:$AR$23,PROBLEMA!$X$20:$X$23)   - F_qCE_v
  - SUMPRODUCT(PROBLEMA!$AR$26:$AR$28,PROBLEMA!$X$26:$X$28)   - SUM(AL24:$AO24),0)</f>
        <v>0</v>
      </c>
      <c r="AL24" s="158" cm="1">
        <f t="array" aca="1" ref="AL24" ca="1">IF(AND($Z$12=$Y24,$Z$13=AL$13),IFERROR(IF(Art=0, INDIRECT("SM_"&amp;$Y24) / ( L_KL ), RFv_Ap_2 ),0),0)</f>
        <v>0</v>
      </c>
      <c r="AM24" s="158" cm="1">
        <f t="array" aca="1" ref="AM24" ca="1">IF(AND($Z$12=$Y24,$Z$13=AM$13),IFERROR(IF(Art=0, INDIRECT("SM_"&amp;$Y24) / ( L_KL+L_LM ), RFv_Ap_2 ),0),0)</f>
        <v>0</v>
      </c>
      <c r="AN24" s="158" cm="1">
        <f t="array" aca="1" ref="AN24" ca="1">IF(AND($Z$12=$Y24,$Z$13=AN$13),IFERROR(IF(Art=0, INDIRECT("SM_"&amp;$Y24) / ( L_KL+L_LM+L_MN ), RFv_Ap_2 ),0),0)</f>
        <v>0</v>
      </c>
      <c r="AO24" s="170" cm="1">
        <f t="array" aca="1" ref="AO24" ca="1">IF(AND($Z$12=$Y24,$Z$13=AO$13),IFERROR(IF(Art=0, INDIRECT("SM_"&amp;$Y24) / ( L_KL+L_LM ), RFv_Ap_2 ),0),0)</f>
        <v>0</v>
      </c>
      <c r="AP24" s="164">
        <f t="shared" ca="1" si="0"/>
        <v>0</v>
      </c>
      <c r="AQ24" s="22">
        <f ca="1">X_J</f>
        <v>0</v>
      </c>
      <c r="AR24" s="185" t="str">
        <f t="shared" ca="1" si="9"/>
        <v/>
      </c>
      <c r="AS24" s="188">
        <f ca="1">OCULTOS!AK$29</f>
        <v>0</v>
      </c>
      <c r="AT24" s="196" t="str">
        <f ca="1">IF(AR24="","",IF(Ver_Resultados=_NO,AR24&amp;" "&amp;_Arriba,FIXED(ABS(AS24),2)&amp;" kN "&amp;IF(AS24&gt;0,_Arriba,_Abajo)))</f>
        <v/>
      </c>
      <c r="AU24" s="185" t="str">
        <f t="shared" ca="1" si="6"/>
        <v/>
      </c>
      <c r="AV24" s="188">
        <f t="shared" ca="1" si="10"/>
        <v>0</v>
      </c>
      <c r="AW24" s="199" t="str">
        <f ca="1">IF(AU24="","",IF(Ver_Resultados=_NO,AU24&amp;" "&amp;_Derecha,FIXED(ABS(AV24),2)&amp;" kN "&amp;IF(AV24&gt;0,_Derecha,_Izquierda)))</f>
        <v/>
      </c>
      <c r="AX24" s="193" t="str">
        <f t="shared" ca="1" si="1"/>
        <v/>
      </c>
      <c r="AY24" s="285" cm="1">
        <f t="array" aca="1" ref="AY24" ca="1">IFERROR(IF(AX24="",0,  IF(Art=0, - BA24, - BA24 + INDIRECT("RFV_"&amp;Ap_2)  * Ap_Distancia  )),0)</f>
        <v>0</v>
      </c>
      <c r="AZ24" s="196" t="str">
        <f ca="1">IF(AX24="","",IF(Ver_Resultados=_NO,"M"&amp;Y24&amp;" "&amp;_M_Pos,FIXED(ABS(AY24),2)&amp;" kNm "&amp;IF(AY24&gt;0,_M_Pos,_M_Neg)))</f>
        <v/>
      </c>
      <c r="BA24" s="190">
        <f ca="1" xml:space="preserve"> - q_AB*L_AB*(L_AB/2+L_BC+L_CE_v-L_GJ-L_JK) - q_BC*L_BC*(L_BC/2+L_CE_v-L_GJ-L_JK)    -    F_qCE_h*(L_CE_v/2-L_GJ-L_JK)
   + q_GJ*L_GJ*(+L_GJ/2+L_JK)  +  q_JK*L_JK*(L_JK/2)    + q_MO*L_MO * (-L_MO/2)
- (Fh_A + RFh_A) *  (L_AB+L_BC+L_CE_v-L_GJ-L_JK)  -  (Fh_B + RFh_B) * (L_BC+L_CE_v-L_GJ-L_JK) -  (Fh_C + RFh_C) * (L_CE_v-L_GJ-L_JK) -  (Fh_D1) * (L_CE_v/2 - L_GJ-L_JK)
+ (Fh_D+Fh_E+Fh_F+Fh_G+Fh_H+Fh_I + RFh_D+RFh_E+RFh_F+RFh_G+RFh_H+RFh_I) * (L_GJ+L_JK)
+ (Fh_J + RFh_J)   *  (L_JK) +  (Fh_K+Fh_L+Fh_M+Fh_N + RFh_K+RFh_L+RFh_M+RFh_N) * (0)
+ (Fh_O + RFh_O) * (-L_MO)  +                                                                        SUM(Momentos)  -  (
   - F_qCE_v * (L_DE/2+L_EF+L_FG)  - q_EF * L_EF * (L_EF/2+L_FG) - q_FG * L_FG*(L_FG/2)
    +  q_GH * L_GH * (L_GH/2)  +  q_HI * L_HI * (L_GH+L_HI/2)
    + q_KL  * L_KL*(L_KL/2)  +  q_LM * L_LM * (L_KL+L_LM/2)  +  q_MN * L_MN * (L_KL+L_LM+L_MN/2)
- Fv_D1 * (L_DE/2+L_EF+L_FG)  -  (Fv_A+Fv_B+Fv_C+Fv_D) * (L_DE+L_EF+L_FG)
- Fv_E * (L_EF+L_FG)  - Fv_F * L_FG +  (Fv_G+Fv_J+Fv_K) * (0)
+ Fv_H * (L_GH)  +  Fv_I  * (L_GH+L_HI)
+ Fv_L * (L_KL)  +  (Fv_M+Fv_O) * (L_KL+L_LM) + (Fv_N ) * (L_KL+L_LM+L_MN)  )</f>
        <v>0</v>
      </c>
      <c r="BB24" s="190">
        <f ca="1" xml:space="preserve"> - q_AB*L_AB*(L_AB/2+L_BC+L_CE_v-L_GJ-L_JK) - q_BC*L_BC*(L_BC/2+L_CE_v-L_GJ-L_JK)    -    F_qCE_h*(L_CE_v/2-L_GJ-L_JK)
   + q_GJ*L_GJ*(+L_GJ/2+L_JK)  +  q_JK*L_JK*(L_JK/2)
- (Fh_A + RFh_A) *  (L_AB+L_BC+L_CE_v-L_GJ-L_JK)  -  (Fh_B + RFh_B) * (L_BC+L_CE_v-L_GJ-L_JK) -  (Fh_C + RFh_C) * (L_CE_v-L_GJ-L_JK) -  (Fh_D1) * (L_CE_v/2 - L_GJ-L_JK)
+ (Fh_D+Fh_E+Fh_F+Fh_G+Fh_H+Fh_I + RFh_D+RFh_E+RFh_F+RFh_G+RFh_H+RFh_I) * (L_GJ+L_JK)
+ (Fh_J + RFh_J)   *  (L_JK) +  ( SUM(Momentos) - ( Mz_K+Mz_L+Mz_M+Mz_N+Mz_O) )  -  (
   - F_qCE_v * (L_DE/2+L_EF+L_FG)  - q_EF * L_EF * (L_EF/2+L_FG) - q_FG * L_FG*(L_FG/2)
    +  q_GH * L_GH * (L_GH/2)  +  q_HI * L_HI * (L_GH+L_HI/2)
- Fv_D1 * (L_DE/2+L_EF+L_FG)  -  (Fv_A+Fv_B+Fv_C+Fv_D) * (L_DE+L_EF+L_FG)
- Fv_E * (L_EF+L_FG)  - Fv_F * L_FG + Fv_H * (L_GH)  +  Fv_I  * (L_GH+L_HI) )</f>
        <v>0</v>
      </c>
      <c r="BC24" s="190">
        <f t="shared" ca="1" si="2"/>
        <v>0</v>
      </c>
      <c r="BD24" s="253" t="str">
        <f t="shared" ca="1" si="3"/>
        <v/>
      </c>
      <c r="BE24" s="235" t="str">
        <f t="shared" si="4"/>
        <v>K</v>
      </c>
      <c r="BF24" t="str">
        <f ca="1">IF(BE24&lt;Ap_1,_Derecha,_Izquierda)</f>
        <v>←</v>
      </c>
      <c r="BG24" s="235"/>
    </row>
    <row r="25" spans="1:59" ht="15.7" hidden="1" outlineLevel="1">
      <c r="A25" s="75" t="str">
        <f t="shared" ca="1" si="14"/>
        <v/>
      </c>
      <c r="B25" s="72" t="str" cm="1">
        <f t="array" aca="1" ref="B25" ca="1">IF(INDIRECT(A$11&amp;$M25)=0,"",FIXED(INDIRECT(A$11&amp;$M25),2)&amp;B$11&amp;Tab)&amp;IF(INDIRECT(A$11&amp;$M25)=0,"",
 IF(MOD(ROW(A24)-ROW($A$14)+1-COUNTIF($A$14:A24,"")+1,5)&lt;&gt;0,"",IF(COUNTA(O26:$O$28)-COUNTIF(O26:$O$28,"")=0,"",Salto&amp;Tab_4)))</f>
        <v/>
      </c>
      <c r="C25" s="75" t="str">
        <f t="shared" ca="1" si="5"/>
        <v/>
      </c>
      <c r="D25" s="72" t="str" cm="1">
        <f t="array" aca="1" ref="D25" ca="1">IF(OR(INDIRECT(C$11&amp;$Y25)="",INDIRECT(C$11&amp;$Y25)=0),"",
  ABS(INDIRECT(C$11&amp;$Y25))&amp;D$11&amp;IF(INDIRECT(C$11&amp;$Y25)&gt;0,_Arriba&amp;Tab,_Abajo&amp;Tab)&amp;Tab&amp;
 IF(MOD(ROW(C24)-ROW($C$14)+1-COUNTIF($C$14:C24,"")+1,4)&lt;&gt;0,"",
 IF(COUNTA(Q26:$Q$29)-COUNTIF(Q26:$Q$29,"")=0,"",Salto&amp;Tab_4)))</f>
        <v/>
      </c>
      <c r="E25" s="75" t="str">
        <f t="shared" ca="1" si="8"/>
        <v/>
      </c>
      <c r="F25" s="73" t="str" cm="1">
        <f t="array" aca="1" ref="F25" ca="1">IF(OR(INDIRECT(E$11&amp;$Y25)="",INDIRECT(E$11&amp;$Y25)=0),"",ABS(INDIRECT(E$11&amp;$Y25))&amp;F$11&amp;
   IF(INDIRECT(E$11&amp;$Y25)&gt;0,_Derecha&amp;Tab,_Izquierda&amp;Tab)&amp;Tab&amp;
   IF(MOD(ROW(E24)-ROW($E$14)+1-COUNTIF($E$14:E24,"")+1,4)&lt;&gt;0,"",
   IF(COUNTA(S26:$S$29)-COUNTIF(S26:$S$29,"")=0,"",Salto&amp;Tab_4)))</f>
        <v/>
      </c>
      <c r="G25" s="75" t="str">
        <f t="shared" ca="1" si="12"/>
        <v/>
      </c>
      <c r="H25" s="74" t="str" cm="1">
        <f t="array" aca="1" ref="H25" ca="1">IF(OR(INDIRECT(G$11&amp;$Y25)="",INDIRECT(G$11&amp;$Y25)=0),"",
  ABS(INDIRECT(G$11&amp;$Y25))&amp;H$11&amp;IF(INDIRECT(G$11&amp;$Y25)&gt;0,_M_Pos&amp;Tab,_M_Neg&amp;Tab)&amp;Tab&amp;
  IF(MOD(ROW(G24)-ROW($G$14)+1-COUNTIF($G$14:G24,"")+1,4)&lt;&gt;0,"",
  IF(COUNTA(U26:$U$29)-COUNTIF(U26:$U$29,"")=0,"",Salto&amp;Tab_4)))</f>
        <v/>
      </c>
      <c r="I25" s="75" t="str">
        <f t="shared" ca="1" si="13"/>
        <v/>
      </c>
      <c r="J25" s="76" t="str" cm="1">
        <f t="array" aca="1" ref="J25" ca="1">IF(OR(INDIRECT(I$11&amp;$M25)="",INDIRECT(I$11&amp;$M25)=0),"",ABS(INDIRECT(I$11&amp;$M25))&amp;J$11&amp;IF(K25="h",
                           IF(INDIRECT(I$11&amp;$M25)&gt;0,_Dcha_q   &amp;Tab,_Izda_q     &amp;Tab),
                           IF(INDIRECT(I$11&amp;$M25)&gt;0,_Arriba_q &amp;Tab,_Abajo_q    &amp;Tab))&amp;Tab&amp;
                IF(MOD(IF(INDIRECT(I$11&amp;$M25)=0,0,COUNTIF($K$14:K25,K25)),4)&lt;&gt;0,"",Salto&amp;Tab_4))</f>
        <v/>
      </c>
      <c r="K25" s="77" t="str" cm="1">
        <f t="array" aca="1" ref="K25" ca="1">IF(INDIRECT(I$11&amp;$M25)=0,"","v")</f>
        <v/>
      </c>
      <c r="M25" s="221" t="s">
        <v>136</v>
      </c>
      <c r="N25" s="68" t="s">
        <v>53</v>
      </c>
      <c r="O25" s="202" t="str" cm="1">
        <f t="array" aca="1" ref="O25" ca="1">IF(INDIRECT("L_"&amp;M25)=0,"",IF(Ver_Datos=_NO,M25,FIXED(INDIRECT("L_"&amp;M25),2)&amp;" m"))</f>
        <v/>
      </c>
      <c r="P25" s="68" t="s">
        <v>68</v>
      </c>
      <c r="Q25" s="69" t="str">
        <f ca="1">IF(PROBLEMA!AI26=0,"",IF(Ver_Datos=_NO,REPLACE(P25,3,1," "),ABS(PROBLEMA!AI26)&amp;" kN"))</f>
        <v/>
      </c>
      <c r="R25" s="68" t="s">
        <v>83</v>
      </c>
      <c r="S25" s="70" t="str">
        <f ca="1">IF(PROBLEMA!AL26=0,"",IF(Ver_Datos=_NO,REPLACE(R25,3,1," "),ABS(PROBLEMA!AL26)&amp;" kN"))</f>
        <v/>
      </c>
      <c r="T25" s="68" t="s">
        <v>98</v>
      </c>
      <c r="U25" s="71" t="str">
        <f ca="1">IF(PROBLEMA!AO26=0,"",IF(Ver_Datos=_NO,REPLACE(T25,3,1," "),ABS(PROBLEMA!AO26)&amp;" kNm"))</f>
        <v/>
      </c>
      <c r="V25" s="150" t="s">
        <v>114</v>
      </c>
      <c r="W25" s="148" t="str" cm="1">
        <f t="array" aca="1" ref="W25" ca="1">IF(INDIRECT(V25)=0,"",IF(Ver_Datos=_NO,REPLACE(V25,2,1," "),ABS(PROBLEMA!AR26)&amp;" kN/m"))</f>
        <v/>
      </c>
      <c r="Y25" s="160" t="s">
        <v>418</v>
      </c>
      <c r="Z25" s="166" t="s">
        <v>433</v>
      </c>
      <c r="AA25" s="169"/>
      <c r="AB25" s="158"/>
      <c r="AC25" s="158"/>
      <c r="AD25" s="158"/>
      <c r="AE25" s="158"/>
      <c r="AF25" s="158"/>
      <c r="AG25" s="158"/>
      <c r="AH25" s="158"/>
      <c r="AI25" s="158"/>
      <c r="AJ25" s="158"/>
      <c r="AK25" s="158"/>
      <c r="AL25" s="226">
        <f ca="1">IF($Z$12=$Y25,   - SUM(Fuerzas_V)
  - SUMPRODUCT(PROBLEMA!$AR$20:$AR$23,PROBLEMA!$X$20:$X$23)   - F_qCE_v
  - SUMPRODUCT(PROBLEMA!$AR$26:$AR$28,PROBLEMA!$X$26:$X$28)   - SUM(AM25:$AO25),0)</f>
        <v>0</v>
      </c>
      <c r="AM25" s="158" cm="1">
        <f t="array" aca="1" ref="AM25" ca="1">IF(AND($Z$12=$Y25,$Z$13=AM$13),IFERROR(IF(Art=0, INDIRECT("SM_"&amp;$Y25) / ( L_LM ), RFv_Ap_2 ),0),0)</f>
        <v>0</v>
      </c>
      <c r="AN25" s="158" cm="1">
        <f t="array" aca="1" ref="AN25" ca="1">IF(AND($Z$12=$Y25,$Z$13=AN$13),IFERROR(IF(Art=0, INDIRECT("SM_"&amp;$Y25) / ( L_LM+L_MN ), RFv_Ap_2 ),0),0)</f>
        <v>0</v>
      </c>
      <c r="AO25" s="170" cm="1">
        <f t="array" aca="1" ref="AO25" ca="1">IF(AND($Z$12=$Y25,$Z$13=AO$13),IFERROR(IF(Art=0, INDIRECT("SM_"&amp;$Y25) / ( L_LM ), RFv_Ap_2 ),0),0)</f>
        <v>0</v>
      </c>
      <c r="AP25" s="164">
        <f t="shared" ca="1" si="0"/>
        <v>0</v>
      </c>
      <c r="AQ25" s="22">
        <f ca="1">X_K+L_KL</f>
        <v>0</v>
      </c>
      <c r="AR25" s="185" t="str">
        <f t="shared" ca="1" si="9"/>
        <v/>
      </c>
      <c r="AS25" s="188">
        <f ca="1">OCULTOS!AL$29</f>
        <v>0</v>
      </c>
      <c r="AT25" s="196" t="str">
        <f ca="1">IF(AR25="","",IF(Ver_Resultados=_NO,_Arriba&amp;AR25,IF(AS25&gt;0,_Arriba,_Abajo)&amp;" "&amp;FIXED(ABS(AS25),2)&amp;" kN"))</f>
        <v/>
      </c>
      <c r="AU25" s="185" t="str">
        <f t="shared" ca="1" si="6"/>
        <v/>
      </c>
      <c r="AV25" s="188">
        <f t="shared" ca="1" si="10"/>
        <v>0</v>
      </c>
      <c r="AW25" s="199" t="str">
        <f ca="1">IF(AU25="","",IF(Ver_Resultados=_NO,_Derecha&amp;AU25,IF(AV25&gt;0,_Derecha,_Izquierda)&amp;" "&amp;FIXED(ABS(AV25),2)&amp;" kN"))</f>
        <v/>
      </c>
      <c r="AX25" s="193" t="str">
        <f t="shared" ca="1" si="1"/>
        <v/>
      </c>
      <c r="AY25" s="285" cm="1">
        <f t="array" aca="1" ref="AY25" ca="1">IFERROR(IF(AX25="",0,  IF(Art=0, - BA25, - BA25 + INDIRECT("RFV_"&amp;Ap_2)  * Ap_Distancia  )),0)</f>
        <v>0</v>
      </c>
      <c r="AZ25" s="196" t="str">
        <f ca="1">IF(AX25="","",IF(Ver_Resultados=_NO,_M_Pos&amp;" M"&amp;Y25,IF(AY25&gt;0,_M_Pos,_M_Neg)&amp;" "&amp;FIXED(ABS(AY25),2)&amp;" kNm"))</f>
        <v/>
      </c>
      <c r="BA25" s="190">
        <f ca="1" xml:space="preserve"> - q_AB*L_AB*(L_AB/2+L_BC+L_CE_v-L_GJ-L_JK) - q_BC*L_BC*(L_BC/2+L_CE_v-L_GJ-L_JK)    -    F_qCE_h*(L_CE_v/2-L_GJ-L_JK)
   + q_GJ*L_GJ*(+L_GJ/2+L_JK)    +    q_JK*L_JK*(L_JK/2)    + q_MO*L_MO * (-L_MO/2)
- (Fh_A + RFh_A) *  (L_AB+L_BC+L_CE_v-L_GJ-L_JK)  -  (Fh_B + RFh_B) * (L_BC+L_CE_v-L_GJ-L_JK) -  (Fh_C + RFh_C) * (L_CE_v-L_GJ-L_JK) -  (Fh_D1) * (L_CE_v/2 - L_GJ-L_JK)
+ (Fh_D+Fh_E+Fh_F+Fh_G+Fh_H+Fh_I + RFh_D+RFh_E+RFh_F+RFh_G+RFh_H+RFh_I) * (L_GJ+L_JK)
+ (Fh_J + RFh_J)   *  (L_JK) +  (Fh_K+Fh_L+Fh_M+Fh_N + RFh_K+RFh_L+RFh_M+RFh_N) * (0)
+ (Fh_O + RFh_O) * (-L_MO)  +                                                                                SUM(Momentos)  -  (
  - F_qCE_v * (L_DE/2+L_EF+L_FG+L_KL)  - q_EF * L_EF * (L_EF/2+L_FG+L_KL) - q_FG * L_FG*(L_FG/2+L_KL)
    +  q_GH * L_GH * (L_GH/2-L_KL)  +  q_HI * L_HI * (L_GH+L_HI/2-L_KL)
    - q_KL  * L_KL*(L_KL/2)  +  q_LM * L_LM * (L_LM/2)  +  q_MN * L_MN * (L_LM+L_MN/2)
- Fv_D1 * (L_DE/2+L_EF+L_FG+L_KL)  -  (Fv_A+Fv_B+Fv_C+Fv_D) * (L_DE+L_EF+L_FG+L_KL)
- Fv_E * (L_EF+L_FG+L_KL)  - Fv_F * (L_FG+L_KL) -  (Fv_G+Fv_J+Fv_K) * (L_KL)
+ Fv_H * (L_GH-L_KL)  +  Fv_I  * (L_GH+L_HI-L_KL)
+ Fv_L * (0)  +  (Fv_M+Fv_O) * (L_LM) + (Fv_N ) * (L_LM+L_MN)  )</f>
        <v>0</v>
      </c>
      <c r="BB25" s="190">
        <f ca="1" xml:space="preserve"> - q_AB*L_AB*(L_AB/2+L_BC+L_CE_v-L_GJ-L_JK) - q_BC*L_BC*(L_BC/2+L_CE_v-L_GJ-L_JK)    -    F_qCE_h*(L_CE_v/2-L_GJ-L_JK)
   + q_GJ*L_GJ*(+L_GJ/2+L_JK)    +    q_JK*L_JK*(L_JK/2)
- (Fh_A + RFh_A) *  (L_AB+L_BC+L_CE_v-L_GJ-L_JK)  -  (Fh_B + RFh_B) * (L_BC+L_CE_v-L_GJ-L_JK) -  (Fh_C + RFh_C) * (L_CE_v-L_GJ-L_JK) -  (Fh_D1) * (L_CE_v/2 - L_GJ-L_JK)
+ (Fh_D+Fh_E+Fh_F+Fh_G+Fh_H+Fh_I + RFh_D+RFh_E+RFh_F+RFh_G+RFh_H+RFh_I) * (L_GJ+L_JK)
+ (Fh_J + RFh_J)   *  (L_JK) + (  SUM(Momentos) -  ( Mz_L+Mz_M+Mz_N+Mz_O )   )  -  (
  - F_qCE_v * (L_DE/2+L_EF+L_FG+L_KL)  - q_EF * L_EF * (L_EF/2+L_FG+L_KL) - q_FG * L_FG*(L_FG/2+L_KL)
    +  q_GH * L_GH * (L_GH/2-L_KL)  +  q_HI * L_HI * (L_GH+L_HI/2-L_KL)
    - q_KL  * L_KL*(L_KL/2)
- Fv_D1 * (L_DE/2+L_EF+L_FG+L_KL)  -  (Fv_A+Fv_B+Fv_C+Fv_D) * (L_DE+L_EF+L_FG+L_KL)
- Fv_E * (L_EF+L_FG+L_KL)  - Fv_F * (L_FG+L_KL) -  (Fv_G+Fv_J+Fv_K) * (L_KL)
+ Fv_H * (L_GH-L_KL)  +  Fv_I  * (L_GH+L_HI-L_KL) )</f>
        <v>0</v>
      </c>
      <c r="BC25" s="190">
        <f t="shared" ca="1" si="2"/>
        <v>0</v>
      </c>
      <c r="BD25" s="253" t="str">
        <f t="shared" ca="1" si="3"/>
        <v/>
      </c>
      <c r="BE25" s="235" t="str">
        <f t="shared" si="4"/>
        <v>L</v>
      </c>
      <c r="BF25" t="str">
        <f ca="1">IF(BE25&lt;Ap_1,_Derecha,_Izquierda)</f>
        <v>←</v>
      </c>
      <c r="BG25" s="235"/>
    </row>
    <row r="26" spans="1:59" ht="15.7" hidden="1" outlineLevel="1">
      <c r="A26" s="75" t="str">
        <f t="shared" ca="1" si="14"/>
        <v/>
      </c>
      <c r="B26" s="72" t="str" cm="1">
        <f t="array" aca="1" ref="B26" ca="1">IF(INDIRECT(A$11&amp;$M26)=0,"",FIXED(INDIRECT(A$11&amp;$M26),2)&amp;B$11&amp;Tab)&amp;IF(INDIRECT(A$11&amp;$M26)=0,"",
 IF(MOD(ROW(A25)-ROW($A$14)+1-COUNTIF($A$14:A25,"")+1,5)&lt;&gt;0,"",IF(COUNTA(O27:$O$28)-COUNTIF(O27:$O$28,"")=0,"",Salto&amp;Tab_4)))</f>
        <v/>
      </c>
      <c r="C26" s="75" t="str">
        <f t="shared" ca="1" si="5"/>
        <v/>
      </c>
      <c r="D26" s="72" t="str" cm="1">
        <f t="array" aca="1" ref="D26" ca="1">IF(OR(INDIRECT(C$11&amp;$Y26)="",INDIRECT(C$11&amp;$Y26)=0),"",
  ABS(INDIRECT(C$11&amp;$Y26))&amp;D$11&amp;IF(INDIRECT(C$11&amp;$Y26)&gt;0,_Arriba&amp;Tab,_Abajo&amp;Tab)&amp;Tab&amp;
 IF(MOD(ROW(C25)-ROW($C$14)+1-COUNTIF($C$14:C25,"")+1,4)&lt;&gt;0,"",
 IF(COUNTA(Q27:$Q$29)-COUNTIF(Q27:$Q$29,"")=0,"",Salto&amp;Tab_4)))</f>
        <v/>
      </c>
      <c r="E26" s="75" t="str">
        <f t="shared" ca="1" si="8"/>
        <v/>
      </c>
      <c r="F26" s="73" t="str" cm="1">
        <f t="array" aca="1" ref="F26" ca="1">IF(OR(INDIRECT(E$11&amp;$Y26)="",INDIRECT(E$11&amp;$Y26)=0),"",ABS(INDIRECT(E$11&amp;$Y26))&amp;F$11&amp;
   IF(INDIRECT(E$11&amp;$Y26)&gt;0,_Derecha&amp;Tab,_Izquierda&amp;Tab)&amp;Tab&amp;
   IF(MOD(ROW(E25)-ROW($E$14)+1-COUNTIF($E$14:E25,"")+1,4)&lt;&gt;0,"",
   IF(COUNTA(S27:$S$29)-COUNTIF(S27:$S$29,"")=0,"",Salto&amp;Tab_4)))</f>
        <v/>
      </c>
      <c r="G26" s="75" t="str">
        <f t="shared" ca="1" si="12"/>
        <v/>
      </c>
      <c r="H26" s="74" t="str" cm="1">
        <f t="array" aca="1" ref="H26" ca="1">IF(OR(INDIRECT(G$11&amp;$Y26)="",INDIRECT(G$11&amp;$Y26)=0),"",
  ABS(INDIRECT(G$11&amp;$Y26))&amp;H$11&amp;IF(INDIRECT(G$11&amp;$Y26)&gt;0,_M_Pos&amp;Tab,_M_Neg&amp;Tab)&amp;Tab&amp;
  IF(MOD(ROW(G25)-ROW($G$14)+1-COUNTIF($G$14:G25,"")+1,4)&lt;&gt;0,"",
  IF(COUNTA(U27:$U$29)-COUNTIF(U27:$U$29,"")=0,"",Salto&amp;Tab_4)))</f>
        <v/>
      </c>
      <c r="I26" s="75" t="str">
        <f t="shared" ca="1" si="13"/>
        <v/>
      </c>
      <c r="J26" s="76" t="str" cm="1">
        <f t="array" aca="1" ref="J26" ca="1">IF(OR(INDIRECT(I$11&amp;$M26)="",INDIRECT(I$11&amp;$M26)=0),"",ABS(INDIRECT(I$11&amp;$M26))&amp;J$11&amp;IF(K26="h",
                           IF(INDIRECT(I$11&amp;$M26)&gt;0,_Dcha_q   &amp;Tab,_Izda_q     &amp;Tab),
                           IF(INDIRECT(I$11&amp;$M26)&gt;0,_Arriba_q &amp;Tab,_Abajo_q    &amp;Tab))&amp;Tab&amp;
                IF(MOD(IF(INDIRECT(I$11&amp;$M26)=0,0,COUNTIF($K$14:K26,K26)),4)&lt;&gt;0,"",Salto&amp;Tab_4))</f>
        <v/>
      </c>
      <c r="K26" s="77" t="str" cm="1">
        <f t="array" aca="1" ref="K26" ca="1">IF(INDIRECT(I$11&amp;$M26)=0,"","v")</f>
        <v/>
      </c>
      <c r="M26" s="221" t="s">
        <v>137</v>
      </c>
      <c r="N26" s="68" t="s">
        <v>54</v>
      </c>
      <c r="O26" s="202" t="str" cm="1">
        <f t="array" aca="1" ref="O26" ca="1">IF(INDIRECT("L_"&amp;M26)=0,"",IF(Ver_Datos=_NO,M26,FIXED(INDIRECT("L_"&amp;M26),2)&amp;" m"))</f>
        <v/>
      </c>
      <c r="P26" s="68" t="s">
        <v>69</v>
      </c>
      <c r="Q26" s="69" t="str">
        <f ca="1">IF(PROBLEMA!AI27=0,"",IF(Ver_Datos=_NO,REPLACE(P26,3,1," "),ABS(PROBLEMA!AI27)&amp;" kN"))</f>
        <v/>
      </c>
      <c r="R26" s="68" t="s">
        <v>84</v>
      </c>
      <c r="S26" s="70" t="str">
        <f ca="1">IF(PROBLEMA!AL27=0,"",IF(Ver_Datos=_NO,REPLACE(R26,3,1," "),ABS(PROBLEMA!AL27)&amp;" kN"))</f>
        <v/>
      </c>
      <c r="T26" s="68" t="s">
        <v>99</v>
      </c>
      <c r="U26" s="71" t="str">
        <f ca="1">IF(PROBLEMA!AO27=0,"",IF(Ver_Datos=_NO,REPLACE(T26,3,1," "),ABS(PROBLEMA!AO27)&amp;" kNm"))</f>
        <v/>
      </c>
      <c r="V26" s="150" t="s">
        <v>115</v>
      </c>
      <c r="W26" s="148" t="str" cm="1">
        <f t="array" aca="1" ref="W26" ca="1">IF(INDIRECT(V26)=0,"",IF(Ver_Datos=_NO,REPLACE(V26,2,1," "),ABS(PROBLEMA!AR27)&amp;" kN/m"))</f>
        <v/>
      </c>
      <c r="Y26" s="160" t="s">
        <v>196</v>
      </c>
      <c r="Z26" s="166" t="s">
        <v>434</v>
      </c>
      <c r="AA26" s="169"/>
      <c r="AB26" s="158"/>
      <c r="AC26" s="158"/>
      <c r="AD26" s="158"/>
      <c r="AE26" s="158"/>
      <c r="AF26" s="158"/>
      <c r="AG26" s="158"/>
      <c r="AH26" s="158"/>
      <c r="AI26" s="158"/>
      <c r="AJ26" s="158"/>
      <c r="AK26" s="158"/>
      <c r="AL26" s="158"/>
      <c r="AM26" s="226">
        <f ca="1">IF($Z$12=$Y26,   - SUM(Fuerzas_V)
  - SUMPRODUCT(PROBLEMA!$AR$20:$AR$23,PROBLEMA!$X$20:$X$23)   - F_qCE_v
  - SUMPRODUCT(PROBLEMA!$AR$26:$AR$28,PROBLEMA!$X$26:$X$28)   - SUM(AN26:$AO26),0)</f>
        <v>0</v>
      </c>
      <c r="AN26" s="158" cm="1">
        <f t="array" aca="1" ref="AN26" ca="1">IF(AND($Z$12=$Y26,$Z$13=AN$13),IFERROR(IF(Art=0, INDIRECT("SM_"&amp;$Y26) / ( L_MN ), RFv_Ap_2 ),0),0)</f>
        <v>0</v>
      </c>
      <c r="AO26" s="245">
        <v>0</v>
      </c>
      <c r="AP26" s="164">
        <f t="shared" ca="1" si="0"/>
        <v>0</v>
      </c>
      <c r="AQ26" s="22">
        <f ca="1">X_L+L_LM</f>
        <v>0</v>
      </c>
      <c r="AR26" s="185" t="str">
        <f t="shared" ca="1" si="9"/>
        <v/>
      </c>
      <c r="AS26" s="188">
        <f ca="1">OCULTOS!AM$29</f>
        <v>0</v>
      </c>
      <c r="AT26" s="196" t="str">
        <f ca="1">IF(AR26="","",IF(Ver_Resultados=_NO,_Arriba&amp;AR26,IF(AS26&gt;0,_Arriba,_Abajo)&amp;" "&amp;FIXED(ABS(AS26),2)&amp;" kN"))</f>
        <v/>
      </c>
      <c r="AU26" s="185" t="str">
        <f t="shared" ca="1" si="6"/>
        <v/>
      </c>
      <c r="AV26" s="188">
        <f t="shared" ca="1" si="10"/>
        <v>0</v>
      </c>
      <c r="AW26" s="199" t="str">
        <f ca="1">IF(AU26="","",IF(Ver_Resultados=_NO,_Derecha&amp;AU26,IF(AV26&gt;0,_Derecha,_Izquierda)&amp;" "&amp;FIXED(ABS(AV26),2)&amp;" kN"))</f>
        <v/>
      </c>
      <c r="AX26" s="193" t="str">
        <f t="shared" ca="1" si="1"/>
        <v/>
      </c>
      <c r="AY26" s="285" cm="1">
        <f t="array" aca="1" ref="AY26" ca="1">IFERROR(IF(AX26="",0,  IF(Art=0, - BA26, - BA26 + INDIRECT("RFV_"&amp;Ap_2)  * Ap_Distancia  )),0)</f>
        <v>0</v>
      </c>
      <c r="AZ26" s="196" t="str">
        <f ca="1">IF(AX26="","",IF(Ver_Resultados=_NO,_M_Pos&amp;" M"&amp;Y26,IF(AY26&gt;0,_M_Pos,_M_Neg)&amp;" "&amp;FIXED(ABS(AY26),2)&amp;" kNm"))</f>
        <v/>
      </c>
      <c r="BA26" s="190">
        <f ca="1" xml:space="preserve"> - q_AB*L_AB*(L_AB/2+L_BC+L_CE_v-L_GJ-L_JK) - q_BC*L_BC*(L_BC/2+L_CE_v-L_GJ-L_JK)    -    F_qCE_h*(L_CE_v/2-L_GJ-L_JK)
   + q_GJ*L_GJ*(+L_GJ/2+L_JK)    +    q_JK*L_JK*(L_JK/2)    + q_MO*L_MO * (-L_MO/2)
- (Fh_A + RFh_A) *  (L_AB+L_BC+L_CE_v-L_GJ-L_JK)  -  (Fh_B + RFh_B) * (L_BC+L_CE_v-L_GJ-L_JK) -  (Fh_C + RFh_C) * (L_CE_v-L_GJ-L_JK)  -  (Fh_D1) * (L_CE_v/2 - L_GJ-L_JK)
+ (Fh_D+Fh_E+Fh_F+Fh_G+Fh_H+Fh_I + RFh_D+RFh_E+RFh_F+RFh_G+RFh_H+RFh_I) * (L_GJ+L_JK)
+ (Fh_J + RFh_J)   *  (L_JK) +  (Fh_K+Fh_L+Fh_M+Fh_N + RFh_K+RFh_L+RFh_M+RFh_N) * (0)
+ (Fh_O + RFh_O) * (-L_MO)  +                                                                                SUM(Momentos)  -  (
  - F_qCE_v * (L_DE/2+L_EF+L_FG+L_KL+L_LM)  - q_EF * L_EF * (L_EF/2+L_FG+L_KL+L_LM) - q_FG * L_FG*(L_FG/2+L_KL+L_LM)
    +  q_GH * L_GH * (L_GH/2-L_KL-L_LM)  +  q_HI * L_HI * (L_GH+L_HI/2-L_KL-L_LM)
    - q_KL  * L_KL*(L_KL/2+L_LM)  -  q_LM * L_LM * (L_LM/2)  +  q_MN * L_MN * (L_MN/2)
- Fv_D1 * (L_DE/2+L_EF+L_FG+L_KL+L_LM)  -  (Fv_A+Fv_B+Fv_C+Fv_D) * (L_DE+L_EF+L_FG+L_KL+L_LM)
- Fv_E * (L_EF+L_FG+L_KL+L_LM)  - Fv_F * (L_FG+L_KL+L_LM) -  (Fv_G+Fv_J+Fv_K) * (L_KL+L_LM)
+ Fv_H * (L_GH-L_KL-L_LM)  +  Fv_I  * (L_GH+L_HI-L_KL-L_LM)
- Fv_L * (L_LM)  +  (Fv_M+Fv_O) * (0) + (Fv_N ) * (L_MN)  )</f>
        <v>0</v>
      </c>
      <c r="BB26" s="190">
        <f ca="1" xml:space="preserve"> - q_AB*L_AB*(L_AB/2+L_BC+L_CE_v-L_GJ-L_JK) - q_BC*L_BC*(L_BC/2+L_CE_v-L_GJ-L_JK)    -    F_qCE_h*(L_CE_v/2-L_GJ-L_JK)
   + q_GJ*L_GJ*(+L_GJ/2+L_JK)    +    q_JK*L_JK*(L_JK/2)
- (Fh_A + RFh_A) *  (L_AB+L_BC+L_CE_v-L_GJ-L_JK)  -  (Fh_B + RFh_B) * (L_BC+L_CE_v-L_GJ-L_JK) -  (Fh_C + RFh_C) * (L_CE_v-L_GJ-L_JK)  -  (Fh_D1) * (L_CE_v/2 - L_GJ-L_JK)
+ (Fh_D+Fh_E+Fh_F+Fh_G+Fh_H+Fh_I + RFh_D+RFh_E+RFh_F+RFh_G+RFh_H+RFh_I) * (L_GJ+L_JK)
+ (Fh_J + RFh_J)   *  (L_JK)  +  ( SUM(Momentos) - ( Mz_M+Mz_N+Mz_O )  ) -  (
  - F_qCE_v * (L_DE/2+L_EF+L_FG+L_KL+L_LM)  - q_EF * L_EF * (L_EF/2+L_FG+L_KL+L_LM) - q_FG * L_FG*(L_FG/2+L_KL+L_LM)
    +  q_GH * L_GH * (L_GH/2-L_KL-L_LM)  +  q_HI * L_HI * (L_GH+L_HI/2-L_KL-L_LM)
    - q_KL  * L_KL*(L_KL/2+L_LM)  -  q_LM * L_LM * (L_LM/2)
- Fv_D1 * (L_DE/2+L_EF+L_FG+L_KL+L_LM)  -  (Fv_A+Fv_B+Fv_C+Fv_D) * (L_DE+L_EF+L_FG+L_KL+L_LM)
- Fv_E * (L_EF+L_FG+L_KL+L_LM)  - Fv_F * (L_FG+L_KL+L_LM)   -  (Fv_G+Fv_J+Fv_K) * (L_KL+L_LM)
+ Fv_H * (L_GH-L_KL-L_LM)  +  Fv_I  * (L_GH+L_HI-L_KL-L_LM) - Fv_L * (L_LM)   )</f>
        <v>0</v>
      </c>
      <c r="BC26" s="190">
        <f t="shared" ca="1" si="2"/>
        <v>0</v>
      </c>
      <c r="BD26" s="253" t="str">
        <f t="shared" ca="1" si="3"/>
        <v/>
      </c>
      <c r="BE26" s="235" t="str">
        <f t="shared" si="4"/>
        <v>M</v>
      </c>
      <c r="BF26" t="str">
        <f ca="1">IF(BE26&lt;Ap_1,_Derecha,_Izquierda)</f>
        <v>←</v>
      </c>
      <c r="BG26" s="235"/>
    </row>
    <row r="27" spans="1:59" ht="15.7" hidden="1" outlineLevel="1">
      <c r="A27" s="75" t="str">
        <f t="shared" ca="1" si="14"/>
        <v/>
      </c>
      <c r="B27" s="72" t="str" cm="1">
        <f t="array" aca="1" ref="B27" ca="1">IF(INDIRECT(A$11&amp;$M27)=0,"",FIXED(INDIRECT(A$11&amp;$M27),2)&amp;B$11&amp;Tab)&amp;IF(INDIRECT(A$11&amp;$M27)=0,"",
 IF(MOD(ROW(A26)-ROW($A$14)+1-COUNTIF($A$14:A26,"")+1,5)&lt;&gt;0,"",IF(COUNTA(O28:$O$28)-COUNTIF(O28:$O$28,"")=0,"",Salto&amp;Tab_4)))</f>
        <v/>
      </c>
      <c r="C27" s="75" t="str">
        <f t="shared" ca="1" si="5"/>
        <v/>
      </c>
      <c r="D27" s="72" t="str" cm="1">
        <f t="array" aca="1" ref="D27" ca="1">IF(OR(INDIRECT(C$11&amp;$Y27)="",INDIRECT(C$11&amp;$Y27)=0),"",
  ABS(INDIRECT(C$11&amp;$Y27))&amp;D$11&amp;IF(INDIRECT(C$11&amp;$Y27)&gt;0,_Arriba&amp;Tab,_Abajo&amp;Tab)&amp;Tab&amp;
 IF(MOD(ROW(C26)-ROW($C$14)+1-COUNTIF($C$14:C26,"")+1,4)&lt;&gt;0,"",
 IF(COUNTA(Q28:$Q$29)-COUNTIF(Q28:$Q$29,"")=0,"",Salto&amp;Tab_4)))</f>
        <v/>
      </c>
      <c r="E27" s="75" t="str">
        <f t="shared" ca="1" si="8"/>
        <v/>
      </c>
      <c r="F27" s="73" t="str" cm="1">
        <f t="array" aca="1" ref="F27" ca="1">IF(OR(INDIRECT(E$11&amp;$Y27)="",INDIRECT(E$11&amp;$Y27)=0),"",ABS(INDIRECT(E$11&amp;$Y27))&amp;F$11&amp;
   IF(INDIRECT(E$11&amp;$Y27)&gt;0,_Derecha&amp;Tab,_Izquierda&amp;Tab)&amp;Tab&amp;
   IF(MOD(ROW(E26)-ROW($E$14)+1-COUNTIF($E$14:E26,"")+1,4)&lt;&gt;0,"",
   IF(COUNTA(S28:$S$29)-COUNTIF(S28:$S$29,"")=0,"",Salto&amp;Tab_4)))</f>
        <v/>
      </c>
      <c r="G27" s="75" t="str">
        <f t="shared" ca="1" si="12"/>
        <v/>
      </c>
      <c r="H27" s="74" t="str" cm="1">
        <f t="array" aca="1" ref="H27" ca="1">IF(OR(INDIRECT(G$11&amp;$Y27)="",INDIRECT(G$11&amp;$Y27)=0),"",
  ABS(INDIRECT(G$11&amp;$Y27))&amp;H$11&amp;IF(INDIRECT(G$11&amp;$Y27)&gt;0,_M_Pos&amp;Tab,_M_Neg&amp;Tab)&amp;Tab&amp;
  IF(MOD(ROW(G26)-ROW($G$14)+1-COUNTIF($G$14:G26,"")+1,4)&lt;&gt;0,"",
  IF(COUNTA(U28:$U$29)-COUNTIF(U28:$U$29,"")=0,"",Salto&amp;Tab_4)))</f>
        <v/>
      </c>
      <c r="I27" s="75" t="str">
        <f t="shared" ca="1" si="13"/>
        <v/>
      </c>
      <c r="J27" s="76" t="str" cm="1">
        <f t="array" aca="1" ref="J27" ca="1">IF(OR(INDIRECT(I$11&amp;$M27)="",INDIRECT(I$11&amp;$M27)=0),"",ABS(INDIRECT(I$11&amp;$M27))&amp;J$11&amp;IF(K27="h",
                           IF(INDIRECT(I$11&amp;$M27)&gt;0,_Dcha_q   &amp;Tab,_Izda_q     &amp;Tab),
                           IF(INDIRECT(I$11&amp;$M27)&gt;0,_Arriba_q &amp;Tab,_Abajo_q    &amp;Tab))&amp;Tab&amp;
                IF(MOD(IF(INDIRECT(I$11&amp;$M27)=0,0,COUNTIF($K$14:K27,K27)),4)&lt;&gt;0,"",Salto&amp;Tab_4))</f>
        <v/>
      </c>
      <c r="K27" s="77" t="str" cm="1">
        <f t="array" aca="1" ref="K27" ca="1">IF(INDIRECT(I$11&amp;$M27)=0,"","v")</f>
        <v/>
      </c>
      <c r="M27" s="221" t="s">
        <v>138</v>
      </c>
      <c r="N27" s="68" t="s">
        <v>55</v>
      </c>
      <c r="O27" s="202" t="str" cm="1">
        <f t="array" aca="1" ref="O27" ca="1">IF(INDIRECT("L_"&amp;M27)=0,"",IF(Ver_Datos=_NO,M27,FIXED(INDIRECT("L_"&amp;M27),2)&amp;" m"))</f>
        <v/>
      </c>
      <c r="P27" s="68" t="s">
        <v>70</v>
      </c>
      <c r="Q27" s="69" t="str">
        <f ca="1">IF(PROBLEMA!AI28=0,"",IF(Ver_Datos=_NO,REPLACE(P27,3,1," "),ABS(PROBLEMA!AI28)&amp;" kN"))</f>
        <v/>
      </c>
      <c r="R27" s="68" t="s">
        <v>85</v>
      </c>
      <c r="S27" s="70" t="str">
        <f ca="1">IF(PROBLEMA!AL28=0,"",IF(Ver_Datos=_NO,REPLACE(R27,3,1," "),ABS(PROBLEMA!AL28)&amp;" kN"))</f>
        <v/>
      </c>
      <c r="T27" s="68" t="s">
        <v>100</v>
      </c>
      <c r="U27" s="71" t="str">
        <f ca="1">IF(PROBLEMA!AO28=0,"",IF(Ver_Datos=_NO,REPLACE(T27,3,1," "),ABS(PROBLEMA!AO28)&amp;" kNm"))</f>
        <v/>
      </c>
      <c r="V27" s="150" t="s">
        <v>116</v>
      </c>
      <c r="W27" s="148" t="str" cm="1">
        <f t="array" aca="1" ref="W27" ca="1">IF(INDIRECT(V27)=0,"",IF(Ver_Datos=_NO,REPLACE(V27,2,1," "),ABS(PROBLEMA!AR28)&amp;" kN/m"))</f>
        <v/>
      </c>
      <c r="Y27" s="160" t="s">
        <v>193</v>
      </c>
      <c r="Z27" s="166" t="s">
        <v>435</v>
      </c>
      <c r="AA27" s="169"/>
      <c r="AB27" s="158"/>
      <c r="AC27" s="158"/>
      <c r="AD27" s="158"/>
      <c r="AE27" s="158"/>
      <c r="AF27" s="158"/>
      <c r="AG27" s="158"/>
      <c r="AH27" s="158"/>
      <c r="AI27" s="158"/>
      <c r="AJ27" s="158"/>
      <c r="AK27" s="158"/>
      <c r="AL27" s="158"/>
      <c r="AM27" s="158"/>
      <c r="AN27" s="226">
        <f ca="1">IF($Z$12=$Y27,   - SUM(Fuerzas_V)
  - SUMPRODUCT(PROBLEMA!$AR$20:$AR$23,PROBLEMA!$X$20:$X$23)   - F_qCE_v
  - SUMPRODUCT(PROBLEMA!$AR$26:$AR$28,PROBLEMA!$X$26:$X$28)   - SUM(AO27:$AO27),0)</f>
        <v>0</v>
      </c>
      <c r="AO27" s="170" cm="1">
        <f t="array" aca="1" ref="AO27" ca="1">IF(AND($Z$12=$Y27,$Z$13=AO$13),IFERROR(IF(Art=0, INDIRECT("SM_"&amp;$Y27) / ( -L_LM ), RFv_Ap_2 ),0),0)</f>
        <v>0</v>
      </c>
      <c r="AP27" s="164">
        <f t="shared" ca="1" si="0"/>
        <v>0</v>
      </c>
      <c r="AQ27" s="22">
        <f ca="1">X_M+L_MN</f>
        <v>0</v>
      </c>
      <c r="AR27" s="185" t="str">
        <f t="shared" ca="1" si="9"/>
        <v/>
      </c>
      <c r="AS27" s="188">
        <f ca="1">OCULTOS!AN$29</f>
        <v>0</v>
      </c>
      <c r="AT27" s="196" t="str">
        <f ca="1">IF(AR27="","",IF(Ver_Resultados=_NO,_Arriba&amp;AR27,IF(AS27&gt;0,_Arriba,_Abajo)&amp;" "&amp;FIXED(ABS(AS27),2)&amp;" kN"))</f>
        <v/>
      </c>
      <c r="AU27" s="185" t="str">
        <f t="shared" ca="1" si="6"/>
        <v/>
      </c>
      <c r="AV27" s="188">
        <f t="shared" ca="1" si="10"/>
        <v>0</v>
      </c>
      <c r="AW27" s="199" t="str">
        <f ca="1">IF(AU27="","",IF(Ver_Resultados=_NO,_Derecha&amp;AU27,IF(AV27&gt;0,_Derecha,_Izquierda)&amp;" "&amp;FIXED(ABS(AV27),2)&amp;" kN"))</f>
        <v/>
      </c>
      <c r="AX27" s="193" t="str">
        <f t="shared" ca="1" si="1"/>
        <v/>
      </c>
      <c r="AY27" s="285" cm="1">
        <f t="array" aca="1" ref="AY27" ca="1">IFERROR(IF(AX27="",0,  IF(Art=0, - BA27, - BA27 + INDIRECT("RFV_"&amp;Ap_2)  * Ap_Distancia  )),0)</f>
        <v>0</v>
      </c>
      <c r="AZ27" s="196" t="str">
        <f ca="1">IF(AX27="","",IF(Ver_Resultados=_NO,_M_Pos&amp;" M"&amp;Y27,IF(AY27&gt;0,_M_Pos,_M_Neg)&amp;" "&amp;FIXED(ABS(AY27),2)&amp;" kNm"))</f>
        <v/>
      </c>
      <c r="BA27" s="190">
        <f ca="1" xml:space="preserve"> - q_AB*L_AB*(L_AB/2+L_BC+L_CE_v-L_GJ-L_JK) - q_BC*L_BC*(L_BC/2+L_CE_v-L_GJ-L_JK)    -    F_qCE_h*(L_CE_v/2-L_GJ-L_JK)
   + q_GJ*L_GJ*(+L_GJ/2+L_JK)    +    q_JK*L_JK*(L_JK/2)    + q_MO*L_MO * (-L_MO/2)
- (Fh_A + RFh_A) *  (L_AB+L_BC+L_CE_v-L_GJ-L_JK)  -  (Fh_B + RFh_B) * (L_BC+L_CE_v-L_GJ-L_JK) -  (Fh_C + RFh_C) * (L_CE_v-L_GJ-L_JK)  -  (Fh_D1) * (L_CE_v/2 - L_GJ-L_JK)
+ (Fh_D+Fh_E+Fh_F+Fh_G+Fh_H+Fh_I + RFh_D+RFh_E+RFh_F+RFh_G+RFh_H+RFh_I) * (L_GJ+L_JK)
+ (Fh_J + RFh_J)   *  (L_JK) +  (Fh_K+Fh_L+Fh_M+Fh_N + RFh_K+RFh_L+RFh_M+RFh_N) * (0)
+ (Fh_O + RFh_O) * (-L_MO)  +                                                                                SUM(Momentos)  -  (
  - F_qCE_v * (L_DE/2+L_EF+L_FG+L_KL+L_LM+L_MN)  - q_EF * L_EF * (L_EF/2+L_FG+L_KL+L_LM+L_MN) - q_FG * L_FG*(L_FG/2+L_KL+L_LM+L_MN)
    +  q_GH * L_GH * (L_GH/2-L_KL-L_LM-L_MN)  +  q_HI * L_HI * (L_GH+L_HI/2-L_KL-L_LM-L_MN)
    - q_KL  * L_KL*(L_KL/2+L_LM+L_MN)  -  q_LM * L_LM * (L_LM/2+L_MN)  -  q_MN * L_MN * (L_MN/2)
- Fv_D1 * (L_DE/2+L_EF+L_FG+L_KL+L_LM+L_MN)  -  (Fv_A+Fv_B+Fv_C+Fv_D) * (L_DE+L_EF+L_FG+L_KL+L_LM+L_MN)
- Fv_E * (L_EF+L_FG+L_KL+L_LM+L_MN)  - Fv_F * (L_FG+L_KL+L_LM+L_MN) -  (Fv_G+Fv_J+Fv_K) * (L_KL+L_LM+L_MN)
+ Fv_H * (L_GH-L_KL-L_LM-L_MN)  +  Fv_I  * (L_GH+L_HI-L_KL-L_LM-L_MN)
- Fv_L * (L_LM+L_MN)  -  (Fv_M+Fv_O) * (L_MN) + (Fv_N ) * (0)  )</f>
        <v>0</v>
      </c>
      <c r="BB27" s="190">
        <f ca="1">SM_N</f>
        <v>0</v>
      </c>
      <c r="BC27" s="248">
        <f t="shared" ca="1" si="2"/>
        <v>0</v>
      </c>
      <c r="BD27" s="253" t="str">
        <f t="shared" ca="1" si="3"/>
        <v/>
      </c>
      <c r="BE27" s="235" t="str">
        <f t="shared" si="4"/>
        <v>N</v>
      </c>
      <c r="BG27" s="235"/>
    </row>
    <row r="28" spans="1:59" ht="16" hidden="1" outlineLevel="1" thickBot="1">
      <c r="A28" s="82" t="str">
        <f t="shared" ca="1" si="14"/>
        <v/>
      </c>
      <c r="B28" s="79" t="str" cm="1">
        <f t="array" aca="1" ref="B28" ca="1">IF(INDIRECT(A$11&amp;$M28)=0,"",FIXED(INDIRECT(A$11&amp;$M28),2)&amp;B$11&amp;Tab)</f>
        <v/>
      </c>
      <c r="C28" s="82" t="str">
        <f t="shared" ca="1" si="5"/>
        <v/>
      </c>
      <c r="D28" s="79" t="str" cm="1">
        <f t="array" aca="1" ref="D28" ca="1">IF(OR(INDIRECT(C$11&amp;$Y28)="",INDIRECT(C$11&amp;$Y28)=0),"",
  ABS(INDIRECT(C$11&amp;$Y28))&amp;D$11&amp;IF(INDIRECT(C$11&amp;$Y28)&gt;0,_Arriba&amp;Tab,_Abajo&amp;Tab)&amp;Tab)</f>
        <v/>
      </c>
      <c r="E28" s="82" t="str">
        <f t="shared" ca="1" si="8"/>
        <v/>
      </c>
      <c r="F28" s="80" t="str" cm="1">
        <f t="array" aca="1" ref="F28" ca="1">IF(OR(INDIRECT(E$11&amp;$Y28)="",INDIRECT(E$11&amp;$Y28)=0),"",
  ABS(INDIRECT(E$11&amp;$Y28))&amp;F$11&amp;IF(INDIRECT(E$11&amp;$Y28)&gt;0,_Derecha&amp;Tab,_Izquierda&amp;Tab)&amp;Tab)</f>
        <v/>
      </c>
      <c r="G28" s="82" t="str">
        <f t="shared" ca="1" si="12"/>
        <v/>
      </c>
      <c r="H28" s="81" t="str" cm="1">
        <f t="array" aca="1" ref="H28" ca="1">IF(OR(INDIRECT(G$11&amp;$Y28)="",INDIRECT(G$11&amp;$Y28)=0),"",
  ABS(INDIRECT(G$11&amp;$Y28))&amp;H$11&amp;IF(INDIRECT(G$11&amp;$Y28)&gt;0,_M_Pos&amp;Tab,_M_Neg&amp;Tab)&amp;Tab)</f>
        <v/>
      </c>
      <c r="I28" s="82" t="str">
        <f t="shared" ca="1" si="13"/>
        <v/>
      </c>
      <c r="J28" s="83" t="str" cm="1">
        <f t="array" aca="1" ref="J28" ca="1">IF(OR(INDIRECT(I$11&amp;$M28)="",INDIRECT(I$11&amp;$M28)=0),"",ABS(INDIRECT(I$11&amp;$M28))&amp;J$11&amp;IF(K28="h",
                           IF(INDIRECT(I$11&amp;$M28)&gt;0,_Dcha_q   &amp;Tab,_Izda_q     &amp;Tab),
                           IF(INDIRECT(I$11&amp;$M28)&gt;0,_Arriba_q &amp;Tab,_Abajo_q    &amp;Tab))&amp;Tab)</f>
        <v/>
      </c>
      <c r="K28" s="84" t="str" cm="1">
        <f t="array" aca="1" ref="K28" ca="1">IF(INDIRECT(I$11&amp;$M28)=0,"","h")</f>
        <v/>
      </c>
      <c r="M28" s="222" t="s">
        <v>139</v>
      </c>
      <c r="N28" s="68" t="s">
        <v>56</v>
      </c>
      <c r="O28" s="202" t="str" cm="1">
        <f t="array" aca="1" ref="O28" ca="1">IF(INDIRECT("L_"&amp;M28)=0,"",IF(Ver_Datos=_NO,M28,FIXED(INDIRECT("L_"&amp;M28),2)&amp;" m"))</f>
        <v/>
      </c>
      <c r="P28" s="68" t="s">
        <v>71</v>
      </c>
      <c r="Q28" s="69" t="str">
        <f ca="1">IF(PROBLEMA!AI29=0,"",IF(Ver_Datos=_NO,REPLACE(P28,3,1," "),ABS(PROBLEMA!AI29)&amp;" kN"))</f>
        <v/>
      </c>
      <c r="R28" s="68" t="s">
        <v>86</v>
      </c>
      <c r="S28" s="70" t="str">
        <f ca="1">IF(PROBLEMA!AL29=0,"",IF(Ver_Datos=_NO,REPLACE(R28,3,1," "),ABS(PROBLEMA!AL29)&amp;" kN"))</f>
        <v/>
      </c>
      <c r="T28" s="68" t="s">
        <v>101</v>
      </c>
      <c r="U28" s="71" t="str">
        <f ca="1">IF(PROBLEMA!AO29=0,"",IF(Ver_Datos=_NO,REPLACE(T28,3,1," "),ABS(PROBLEMA!AO29)&amp;" kNm"))</f>
        <v/>
      </c>
      <c r="V28" s="150" t="s">
        <v>117</v>
      </c>
      <c r="W28" s="148" t="str" cm="1">
        <f t="array" aca="1" ref="W28" ca="1">IF(INDIRECT(V28)=0,"",IF(Ver_Datos=_NO,REPLACE(V28,2,1," "),ABS(PROBLEMA!AR29)&amp;" kN/m"))</f>
        <v/>
      </c>
      <c r="Y28" s="171" t="s">
        <v>118</v>
      </c>
      <c r="Z28" s="172" t="s">
        <v>436</v>
      </c>
      <c r="AA28" s="227"/>
      <c r="AB28" s="228"/>
      <c r="AC28" s="228"/>
      <c r="AD28" s="228"/>
      <c r="AE28" s="228"/>
      <c r="AF28" s="228"/>
      <c r="AG28" s="228"/>
      <c r="AH28" s="228"/>
      <c r="AI28" s="228"/>
      <c r="AJ28" s="228"/>
      <c r="AK28" s="228"/>
      <c r="AL28" s="228"/>
      <c r="AM28" s="228"/>
      <c r="AN28" s="228"/>
      <c r="AO28" s="229">
        <f ca="1">IF($Z$12=$Y28,   - SUM(Fuerzas_V)
  - SUMPRODUCT(PROBLEMA!$AR$20:$AR$23,PROBLEMA!$X$20:$X$23)   - F_qCE_v
  - SUMPRODUCT(PROBLEMA!$AR$26:$AR$28,PROBLEMA!$X$26:$X$28),0)</f>
        <v>0</v>
      </c>
      <c r="AP28" s="164">
        <f t="shared" ca="1" si="0"/>
        <v>0</v>
      </c>
      <c r="AQ28" s="22">
        <f ca="1">X_M</f>
        <v>0</v>
      </c>
      <c r="AR28" s="186" t="str">
        <f t="shared" ca="1" si="9"/>
        <v/>
      </c>
      <c r="AS28" s="187">
        <f ca="1">OCULTOS!AO$29</f>
        <v>0</v>
      </c>
      <c r="AT28" s="197" t="str">
        <f ca="1">IF(AR28="","",IF(Ver_Resultados=_NO,AR28&amp;" "&amp;_Arriba,FIXED(ABS(AS28),2)&amp;" kN "&amp;IF(AS28&gt;0,_Arriba,_Abajo)))</f>
        <v/>
      </c>
      <c r="AU28" s="186" t="str">
        <f t="shared" ca="1" si="6"/>
        <v/>
      </c>
      <c r="AV28" s="187">
        <f t="shared" ca="1" si="10"/>
        <v>0</v>
      </c>
      <c r="AW28" s="200" t="str">
        <f ca="1">IF(AU28="","",IF(Ver_Resultados=_NO,AU28&amp;" "&amp;_Derecha,FIXED(ABS(AV28),2)&amp;" kN "&amp;IF(AV28&gt;0,_Derecha,_Izquierda)))</f>
        <v/>
      </c>
      <c r="AX28" s="194" t="str">
        <f t="shared" ca="1" si="1"/>
        <v/>
      </c>
      <c r="AY28" s="286" cm="1">
        <f t="array" aca="1" ref="AY28" ca="1">IFERROR(IF(AX28="",0,  IF(Art=0, - BA28, - BA28 + INDIRECT("RFV_"&amp;Ap_2)  * Ap_Distancia  )),0)</f>
        <v>0</v>
      </c>
      <c r="AZ28" s="197" t="str">
        <f ca="1">IF(AX28="","",IF(Ver_Resultados=_NO,_M_Pos&amp;" M"&amp;Y28,IF(AY28&gt;0,_M_Pos,_M_Neg)&amp;" "&amp;FIXED(ABS(AY28),2)&amp;" kNm"))</f>
        <v/>
      </c>
      <c r="BA28" s="191">
        <f ca="1" xml:space="preserve"> - q_AB*L_AB*(L_AB/2+L_BC+L_CE_v-L_GJ-L_JK-L_MO) - q_BC*L_BC*(L_BC/2+L_CE_v-L_GJ-L_JK-L_MO)    -    F_qCE_h*(L_CE_v/2-L_GJ-L_JK-L_MO)
   + q_GJ*L_GJ*(+L_GJ/2+L_JK+L_MO)    +    q_JK*L_JK*(L_JK/2+L_MO)    + q_MO*L_MO * (L_MO/2)
- (Fh_A + RFh_A) *  (L_AB+L_BC+L_CE_v-L_GJ-L_JK-L_MO)  -  (Fh_B + RFh_B) * (L_BC+L_CE_v-L_GJ-L_JK-L_MO) -  (Fh_C + RFh_C) * (L_CE_v-L_GJ-L_JK-L_MO)  -  (Fh_D1) * (L_CE_v/2 - L_GJ-L_JK-L_MO)
+ (Fh_D+Fh_E+Fh_F+Fh_G+Fh_H+Fh_I + RFh_D+RFh_E+RFh_F+RFh_G+RFh_H+RFh_I) * (L_GJ+L_JK+L_MO)
+ (Fh_J + RFh_J)   *  (L_JK+L_MO) +  (Fh_K+Fh_L+Fh_M+Fh_N + RFh_K+RFh_L+RFh_M+RFh_N) * (L_MO)
+ (Fh_O + RFh_O) * (0)  +                                                                                SUM(Momentos)  -  (
  - F_qCE_v * (L_DE/2+L_EF+L_FG+L_KL+L_LM)  - q_EF * L_EF * (L_EF/2+L_FG+L_KL+L_LM) - q_FG * L_FG*(L_FG/2+L_KL+L_LM)
    +  q_GH * L_GH * (L_GH/2-L_KL-L_LM)  +  q_HI * L_HI * (L_GH+L_HI/2-L_KL-L_LM)
    - q_KL  * L_KL*(L_KL/2+L_LM)  -  q_LM * L_LM * (L_LM/2)  +  q_MN * L_MN * (L_MN/2)
- Fv_D1 * (L_DE/2+L_EF+L_FG+L_KL+L_LM)  -  (Fv_A+Fv_B+Fv_C+Fv_D) * (L_DE+L_EF+L_FG+L_KL+L_LM)
- Fv_E * (L_EF+L_FG+L_KL+L_LM)  - Fv_F * (L_FG+L_KL+L_LM) -  (Fv_G+Fv_J+Fv_K) * (L_KL+L_LM)
+ Fv_H * (L_GH-L_KL-L_LM)  +  Fv_I  * (L_GH+L_HI-L_KL-L_LM)
- Fv_L * (L_LM)  +  (Fv_M+Fv_O) * (0) + (Fv_N ) * (L_MN)  )</f>
        <v>0</v>
      </c>
      <c r="BB28" s="191">
        <f ca="1">SM_O</f>
        <v>0</v>
      </c>
      <c r="BC28" s="251">
        <f t="shared" ca="1" si="2"/>
        <v>0</v>
      </c>
      <c r="BD28" s="254" t="str">
        <f t="shared" ca="1" si="3"/>
        <v/>
      </c>
      <c r="BE28" s="235" t="str">
        <f t="shared" si="4"/>
        <v>O</v>
      </c>
      <c r="BG28" s="235"/>
    </row>
    <row r="29" spans="1:59" ht="15" hidden="1" outlineLevel="1" thickBot="1">
      <c r="A29" s="336" t="str">
        <f ca="1" xml:space="preserve">                       A14&amp;B14&amp;A15&amp;B15&amp;A16&amp;B16&amp;A17&amp;B17&amp;A18&amp;B18&amp;A19&amp;B19&amp;A20&amp;B20&amp;
A21&amp;B21&amp;A22&amp;B22&amp;A23&amp;B23&amp;A24&amp;B24&amp;A25&amp;B25&amp;A26&amp;B26&amp;A27&amp;B27&amp;A28&amp;B28</f>
        <v xml:space="preserve"> </v>
      </c>
      <c r="C29" s="336" t="str">
        <f ca="1" xml:space="preserve">                       C14&amp;D14&amp;C15&amp;D15&amp;C16&amp;D16&amp;C17&amp;D17&amp;C18&amp;D18&amp;C19&amp;D19&amp;C20&amp;D20&amp;
C21&amp;D21&amp;C22&amp;D22&amp;C23&amp;D23&amp;C24&amp;D24&amp;C25&amp;D25&amp;C26&amp;D26&amp;C27&amp;D27&amp;C28&amp;D28</f>
        <v/>
      </c>
      <c r="E29" s="336" t="str">
        <f ca="1" xml:space="preserve">                       E14&amp;F14&amp;E15&amp;F15&amp;E16&amp;F16&amp;E17&amp;F17&amp;E18&amp;F18&amp;E19&amp;F19&amp;E20&amp;F20&amp;
E21&amp;F21&amp;E22&amp;F22&amp;E23&amp;F23&amp;E24&amp;F24&amp;E25&amp;F25&amp;E26&amp;F26&amp;E27&amp;F27&amp;E28&amp;F28</f>
        <v/>
      </c>
      <c r="G29" s="336" t="str">
        <f ca="1" xml:space="preserve">                       G14&amp;H14&amp;G15&amp;H15&amp;G16&amp;H16&amp;G17&amp;H17&amp;G18&amp;H18&amp;G19&amp;H19&amp;G20&amp;H20&amp;
G21&amp;H21&amp;G22&amp;H22&amp;G23&amp;H23&amp;G24&amp;H24&amp;G25&amp;H25&amp;G26&amp;H26&amp;G27&amp;H27&amp;G28&amp;H28</f>
        <v/>
      </c>
      <c r="I29" s="336" t="str">
        <f ca="1" xml:space="preserve">                       I14&amp;J14&amp;I15&amp;J15&amp;I16&amp;J16&amp;I17&amp;J17&amp;I18&amp;J18&amp;I19&amp;J19&amp;I20&amp;J20&amp;
I21&amp;J21&amp;I22&amp;J22&amp;I23&amp;J23&amp;I24&amp;J24&amp;I25&amp;J25&amp;I26&amp;J26&amp;I27&amp;J27&amp;I28&amp;J28</f>
        <v/>
      </c>
      <c r="J29" s="37" t="str">
        <f ca="1">I14&amp;J14&amp;I15&amp;J15&amp;I16&amp;J16&amp;IF(K18="h",I18&amp;J18,"")&amp;I23&amp;J23&amp;I24&amp;J24&amp;I28&amp;J28</f>
        <v/>
      </c>
      <c r="K29" t="str">
        <f ca="1">I17&amp;J17&amp;IF(K18="v",I18&amp;J18,"")&amp;I19&amp;J19&amp;I20&amp;J20&amp;I21&amp;J21&amp;I22&amp;J22&amp;I25&amp;J25&amp;I26&amp;J26&amp;I27&amp;J27</f>
        <v/>
      </c>
      <c r="N29" s="85" t="s">
        <v>140</v>
      </c>
      <c r="O29" s="86" t="str">
        <f ca="1">IF(PROBLEMA!X30=0,"",IF(Ver_Datos=_NO,MID(N29,3,2),PROBLEMA!X30&amp;"°"))</f>
        <v/>
      </c>
      <c r="P29" s="143" t="s">
        <v>72</v>
      </c>
      <c r="Q29" s="144" t="str">
        <f ca="1">IF(PROBLEMA!AI30=0,"",IF(Ver_Datos=_NO,REPLACE(P29,3,1," "),ABS(PROBLEMA!AI30)&amp;" kN"))</f>
        <v/>
      </c>
      <c r="R29" s="143" t="s">
        <v>87</v>
      </c>
      <c r="S29" s="145" t="str">
        <f ca="1">IF(PROBLEMA!AL30=0,"",IF(Ver_Datos=_NO,REPLACE(R29,3,1," "),ABS(PROBLEMA!AL30)&amp;" kN"))</f>
        <v/>
      </c>
      <c r="T29" s="143" t="s">
        <v>102</v>
      </c>
      <c r="U29" s="146" t="str">
        <f ca="1">IF(PROBLEMA!AO30=0,"",IF(Ver_Datos=_NO,REPLACE(T29,3,1," "),ABS(PROBLEMA!AO30)&amp;" kNm"))</f>
        <v/>
      </c>
      <c r="V29" s="35"/>
      <c r="W29" s="26"/>
      <c r="Y29" s="173"/>
      <c r="Z29" s="174" t="s">
        <v>420</v>
      </c>
      <c r="AA29" s="175">
        <f ca="1">SUM(AA14:AA28)</f>
        <v>0</v>
      </c>
      <c r="AB29" s="176">
        <f t="shared" ref="AB29:AP29" ca="1" si="15">SUM(AB14:AB28)</f>
        <v>0</v>
      </c>
      <c r="AC29" s="176">
        <f t="shared" ca="1" si="15"/>
        <v>0</v>
      </c>
      <c r="AD29" s="176">
        <f t="shared" ca="1" si="15"/>
        <v>0</v>
      </c>
      <c r="AE29" s="176">
        <f t="shared" ca="1" si="15"/>
        <v>0</v>
      </c>
      <c r="AF29" s="176">
        <f t="shared" ca="1" si="15"/>
        <v>0</v>
      </c>
      <c r="AG29" s="176">
        <f t="shared" ca="1" si="15"/>
        <v>0</v>
      </c>
      <c r="AH29" s="176">
        <f t="shared" ca="1" si="15"/>
        <v>0</v>
      </c>
      <c r="AI29" s="176">
        <f t="shared" ca="1" si="15"/>
        <v>0</v>
      </c>
      <c r="AJ29" s="176">
        <f t="shared" ca="1" si="15"/>
        <v>0</v>
      </c>
      <c r="AK29" s="176">
        <f t="shared" ca="1" si="15"/>
        <v>0</v>
      </c>
      <c r="AL29" s="176">
        <f t="shared" ca="1" si="15"/>
        <v>0</v>
      </c>
      <c r="AM29" s="176">
        <f t="shared" ca="1" si="15"/>
        <v>0</v>
      </c>
      <c r="AN29" s="176">
        <f t="shared" ca="1" si="15"/>
        <v>0</v>
      </c>
      <c r="AO29" s="177">
        <f t="shared" ca="1" si="15"/>
        <v>0</v>
      </c>
      <c r="AP29" s="178">
        <f t="shared" ca="1" si="15"/>
        <v>0</v>
      </c>
      <c r="BD29" s="256">
        <f ca="1" xml:space="preserve"> IF(Ap_1&gt;Ap_2, AH11 - SUM(BD14:BD28),SUM(BD14:BD28) )</f>
        <v>0</v>
      </c>
    </row>
    <row r="30" spans="1:59" collapsed="1">
      <c r="A30" s="336"/>
      <c r="C30" s="336"/>
      <c r="E30" s="336"/>
      <c r="G30" s="336"/>
      <c r="I30" s="336"/>
      <c r="J30" s="37"/>
      <c r="N30" s="366"/>
      <c r="O30" s="367"/>
      <c r="P30" s="368"/>
      <c r="Q30" s="369"/>
      <c r="R30" s="368"/>
      <c r="S30" s="370"/>
      <c r="T30" s="368"/>
      <c r="U30" s="371"/>
      <c r="Z30" s="372"/>
      <c r="AA30" s="373"/>
      <c r="AB30" s="373"/>
      <c r="AC30" s="373"/>
      <c r="AD30" s="373"/>
      <c r="AE30" s="373"/>
      <c r="AF30" s="373"/>
      <c r="AG30" s="373"/>
      <c r="AH30" s="373"/>
      <c r="AI30" s="373"/>
      <c r="AJ30" s="373"/>
      <c r="AK30" s="373"/>
      <c r="AL30" s="373"/>
      <c r="AM30" s="373"/>
      <c r="AN30" s="373"/>
      <c r="AO30" s="373"/>
      <c r="AP30" s="17"/>
      <c r="BD30" s="256"/>
    </row>
    <row r="31" spans="1:59">
      <c r="A31" s="4" t="s">
        <v>756</v>
      </c>
    </row>
    <row r="32" spans="1:59">
      <c r="A32" t="s">
        <v>568</v>
      </c>
      <c r="B32" s="22" t="s">
        <v>641</v>
      </c>
      <c r="C32" s="22" t="s">
        <v>640</v>
      </c>
      <c r="D32" s="22" t="s">
        <v>644</v>
      </c>
      <c r="E32" s="22" t="s">
        <v>642</v>
      </c>
      <c r="F32" s="22" t="s">
        <v>643</v>
      </c>
      <c r="G32" s="22" t="s">
        <v>645</v>
      </c>
      <c r="H32" s="22" t="s">
        <v>647</v>
      </c>
      <c r="I32" s="22" t="s">
        <v>636</v>
      </c>
      <c r="J32" s="22" t="s">
        <v>637</v>
      </c>
      <c r="K32" s="22" t="s">
        <v>677</v>
      </c>
      <c r="L32" s="22" t="s">
        <v>639</v>
      </c>
      <c r="M32" s="22" t="s">
        <v>678</v>
      </c>
      <c r="N32" t="s">
        <v>678</v>
      </c>
    </row>
    <row r="33" spans="1:13">
      <c r="A33" s="21" t="s">
        <v>759</v>
      </c>
      <c r="B33" s="381" t="str" cm="1">
        <f t="array" aca="1" ref="B33" ca="1">INDIRECT(B$52&amp;RANDBETWEEN(ROW(B34),ROW(B37)))</f>
        <v>O</v>
      </c>
      <c r="C33" s="381" t="str" cm="1">
        <f t="array" aca="1" ref="C33" ca="1">INDIRECT(C$52&amp;RANDBETWEEN(ROW(C34),ROW(C37)))</f>
        <v>N</v>
      </c>
      <c r="D33" s="381" t="str" cm="1">
        <f t="array" aca="1" ref="D33" ca="1">INDIRECT(D$52&amp;RANDBETWEEN(ROW(D36),ROW(D37)))</f>
        <v>B</v>
      </c>
      <c r="E33" s="381" t="str" cm="1">
        <f t="array" aca="1" ref="E33" ca="1">INDIRECT(E$52&amp;RANDBETWEEN(ROW(E35),ROW(E37)))</f>
        <v>K</v>
      </c>
      <c r="F33" s="381" t="str" cm="1">
        <f t="array" aca="1" ref="F33" ca="1">INDIRECT(F$52&amp;RANDBETWEEN(ROW(F36),ROW(F37)))</f>
        <v>A</v>
      </c>
      <c r="G33" s="381" t="str" cm="1">
        <f t="array" aca="1" ref="G33" ca="1">INDIRECT(G$52&amp;RANDBETWEEN(ROW(G36),ROW(G37)))</f>
        <v>N</v>
      </c>
      <c r="H33" s="381" t="str" cm="1">
        <f t="array" aca="1" ref="H33" ca="1">INDIRECT(H$52&amp;RANDBETWEEN(ROW(H36),ROW(H37)))</f>
        <v>E</v>
      </c>
      <c r="I33" s="381" t="str" cm="1">
        <f t="array" aca="1" ref="I33" ca="1">INDIRECT(I$52&amp;RANDBETWEEN(ROW(I36),ROW(I37)))</f>
        <v>K</v>
      </c>
      <c r="J33" s="381" t="str" cm="1">
        <f t="array" aca="1" ref="J33" ca="1">INDIRECT(J$52&amp;RANDBETWEEN(ROW(J35),ROW(J37)))</f>
        <v>H</v>
      </c>
      <c r="K33" s="381" t="str" cm="1">
        <f t="array" aca="1" ref="K33" ca="1">INDIRECT(K$52&amp;RANDBETWEEN(ROW(K36),ROW(K37)))</f>
        <v>C</v>
      </c>
      <c r="L33" s="381" t="str" cm="1">
        <f t="array" aca="1" ref="L33" ca="1">INDIRECT(L$52&amp;RANDBETWEEN(ROW(L36),ROW(L37)))</f>
        <v>O</v>
      </c>
      <c r="M33" s="381" t="str" cm="1">
        <f t="array" aca="1" ref="M33" ca="1">INDIRECT(M$52&amp;RANDBETWEEN(ROW(M34),ROW(M37)))</f>
        <v>E</v>
      </c>
    </row>
    <row r="34" spans="1:13" hidden="1" outlineLevel="1">
      <c r="A34" s="631" t="s">
        <v>396</v>
      </c>
      <c r="B34" s="295" t="s">
        <v>193</v>
      </c>
      <c r="C34" s="295" t="s">
        <v>193</v>
      </c>
      <c r="D34" s="295"/>
      <c r="E34" s="295"/>
      <c r="F34" s="295"/>
      <c r="G34" s="295"/>
      <c r="H34" s="295"/>
      <c r="I34" s="295"/>
      <c r="J34" s="295"/>
      <c r="K34" s="295"/>
      <c r="L34" s="295"/>
      <c r="M34" s="295" t="s">
        <v>193</v>
      </c>
    </row>
    <row r="35" spans="1:13" hidden="1" outlineLevel="1">
      <c r="A35" s="632"/>
      <c r="B35" s="296" t="s">
        <v>118</v>
      </c>
      <c r="C35" s="296" t="s">
        <v>118</v>
      </c>
      <c r="D35" s="296"/>
      <c r="E35" s="296" t="s">
        <v>413</v>
      </c>
      <c r="F35" s="296"/>
      <c r="G35" s="296"/>
      <c r="H35" s="296"/>
      <c r="I35" s="296"/>
      <c r="J35" s="296" t="s">
        <v>413</v>
      </c>
      <c r="K35" s="296"/>
      <c r="L35" s="296"/>
      <c r="M35" s="296" t="s">
        <v>118</v>
      </c>
    </row>
    <row r="36" spans="1:13" hidden="1" outlineLevel="1">
      <c r="A36" s="632"/>
      <c r="B36" s="296" t="s">
        <v>412</v>
      </c>
      <c r="C36" s="296" t="s">
        <v>412</v>
      </c>
      <c r="D36" s="296" t="s">
        <v>34</v>
      </c>
      <c r="E36" s="296" t="s">
        <v>412</v>
      </c>
      <c r="F36" s="296" t="s">
        <v>12</v>
      </c>
      <c r="G36" s="296" t="s">
        <v>34</v>
      </c>
      <c r="H36" s="296" t="s">
        <v>36</v>
      </c>
      <c r="I36" s="296" t="s">
        <v>36</v>
      </c>
      <c r="J36" s="296" t="s">
        <v>40</v>
      </c>
      <c r="K36" s="296" t="s">
        <v>36</v>
      </c>
      <c r="L36" s="296" t="s">
        <v>38</v>
      </c>
      <c r="M36" s="296" t="s">
        <v>412</v>
      </c>
    </row>
    <row r="37" spans="1:13" ht="14.7" hidden="1" outlineLevel="1" thickBot="1">
      <c r="A37" s="633"/>
      <c r="B37" s="374" t="s">
        <v>12</v>
      </c>
      <c r="C37" s="374" t="s">
        <v>12</v>
      </c>
      <c r="D37" s="297" t="s">
        <v>413</v>
      </c>
      <c r="E37" s="297" t="s">
        <v>12</v>
      </c>
      <c r="F37" s="297" t="s">
        <v>412</v>
      </c>
      <c r="G37" s="297" t="s">
        <v>193</v>
      </c>
      <c r="H37" s="297" t="s">
        <v>38</v>
      </c>
      <c r="I37" s="297" t="s">
        <v>413</v>
      </c>
      <c r="J37" s="297" t="s">
        <v>36</v>
      </c>
      <c r="K37" s="297" t="s">
        <v>196</v>
      </c>
      <c r="L37" s="297" t="s">
        <v>118</v>
      </c>
      <c r="M37" s="374" t="s">
        <v>38</v>
      </c>
    </row>
    <row r="38" spans="1:13" hidden="1" outlineLevel="1">
      <c r="A38" s="631" t="s">
        <v>755</v>
      </c>
      <c r="B38" s="376" t="s">
        <v>38</v>
      </c>
      <c r="C38" s="376" t="s">
        <v>38</v>
      </c>
      <c r="D38" s="377" t="s">
        <v>38</v>
      </c>
      <c r="E38" s="377" t="s">
        <v>416</v>
      </c>
      <c r="F38" s="377" t="s">
        <v>38</v>
      </c>
      <c r="G38" s="377" t="s">
        <v>38</v>
      </c>
      <c r="H38" s="377"/>
      <c r="I38" s="377" t="s">
        <v>416</v>
      </c>
      <c r="J38" s="377" t="s">
        <v>416</v>
      </c>
      <c r="K38" s="377" t="s">
        <v>416</v>
      </c>
      <c r="L38" s="377" t="s">
        <v>416</v>
      </c>
      <c r="M38" s="378" t="s">
        <v>416</v>
      </c>
    </row>
    <row r="39" spans="1:13" hidden="1" outlineLevel="1">
      <c r="A39" s="632"/>
      <c r="B39" s="375" t="s">
        <v>416</v>
      </c>
      <c r="C39" s="375" t="s">
        <v>416</v>
      </c>
      <c r="D39" s="363" t="s">
        <v>416</v>
      </c>
      <c r="E39" s="363" t="s">
        <v>40</v>
      </c>
      <c r="F39" s="363" t="s">
        <v>416</v>
      </c>
      <c r="G39" s="363" t="s">
        <v>416</v>
      </c>
      <c r="H39" s="363"/>
      <c r="I39" s="363"/>
      <c r="J39" s="363"/>
      <c r="K39" s="363" t="s">
        <v>413</v>
      </c>
      <c r="L39" s="363" t="s">
        <v>413</v>
      </c>
      <c r="M39" s="296" t="s">
        <v>418</v>
      </c>
    </row>
    <row r="40" spans="1:13" hidden="1" outlineLevel="1">
      <c r="A40" s="632"/>
      <c r="B40" s="363" t="s">
        <v>418</v>
      </c>
      <c r="C40" s="363" t="s">
        <v>418</v>
      </c>
      <c r="D40" s="363"/>
      <c r="E40" s="363"/>
      <c r="F40" s="363" t="s">
        <v>409</v>
      </c>
      <c r="G40" s="363" t="s">
        <v>413</v>
      </c>
      <c r="H40" s="363"/>
      <c r="I40" s="363"/>
      <c r="J40" s="363"/>
      <c r="K40" s="363" t="s">
        <v>418</v>
      </c>
      <c r="L40" s="363" t="s">
        <v>418</v>
      </c>
      <c r="M40" s="296" t="s">
        <v>40</v>
      </c>
    </row>
    <row r="41" spans="1:13" ht="14.7" hidden="1" outlineLevel="1" thickBot="1">
      <c r="A41" s="633"/>
      <c r="B41" s="380" t="s">
        <v>40</v>
      </c>
      <c r="C41" s="380" t="s">
        <v>40</v>
      </c>
      <c r="D41" s="380"/>
      <c r="E41" s="380"/>
      <c r="F41" s="380" t="s">
        <v>40</v>
      </c>
      <c r="G41" s="380" t="s">
        <v>418</v>
      </c>
      <c r="H41" s="380"/>
      <c r="I41" s="380"/>
      <c r="J41" s="380"/>
      <c r="K41" s="380"/>
      <c r="L41" s="380"/>
      <c r="M41" s="297"/>
    </row>
    <row r="42" spans="1:13" ht="14.7" collapsed="1" thickBot="1">
      <c r="A42" s="379" t="s">
        <v>757</v>
      </c>
      <c r="B42" s="382" t="str" cm="1">
        <f t="array" aca="1" ref="B42" ca="1">INDIRECT(B$52&amp;RANDBETWEEN(ROW(B34),ROW(B41)))</f>
        <v>N</v>
      </c>
      <c r="C42" s="382" t="str" cm="1">
        <f t="array" aca="1" ref="C42" ca="1">INDIRECT(C$52&amp;RANDBETWEEN(ROW(C34),ROW(C41)))</f>
        <v>F</v>
      </c>
      <c r="D42" s="382" t="str" cm="1">
        <f t="array" aca="1" ref="D42" ca="1">INDIRECT(D$52&amp;RANDBETWEEN(ROW(D36),ROW(D39)))</f>
        <v>K</v>
      </c>
      <c r="E42" s="382" t="str" cm="1">
        <f t="array" aca="1" ref="E42" ca="1">INDIRECT(E$52&amp;RANDBETWEEN(ROW(E35),ROW(E39)))</f>
        <v>A</v>
      </c>
      <c r="F42" s="382" t="str" cm="1">
        <f t="array" aca="1" ref="F42" ca="1">INDIRECT(F$52&amp;RANDBETWEEN(ROW(F36),ROW(F41)))</f>
        <v>G</v>
      </c>
      <c r="G42" s="382" t="str" cm="1">
        <f t="array" aca="1" ref="G42" ca="1">INDIRECT(G$52&amp;RANDBETWEEN(ROW(G36),ROW(G41)))</f>
        <v>E</v>
      </c>
      <c r="H42" s="382" t="str" cm="1">
        <f t="array" aca="1" ref="H42" ca="1">INDIRECT(H$52&amp;RANDBETWEEN(ROW(H36),ROW(H37)))</f>
        <v>C</v>
      </c>
      <c r="I42" s="382" t="str" cm="1">
        <f t="array" aca="1" ref="I42" ca="1">INDIRECT(I$52&amp;RANDBETWEEN(ROW(I36),ROW(I38)))</f>
        <v>K</v>
      </c>
      <c r="J42" s="382" t="str" cm="1">
        <f t="array" aca="1" ref="J42" ca="1">INDIRECT(J$52&amp;RANDBETWEEN(ROW(J35),ROW(J38)))</f>
        <v>K</v>
      </c>
      <c r="K42" s="382" t="str" cm="1">
        <f t="array" aca="1" ref="K42" ca="1">INDIRECT(K$52&amp;RANDBETWEEN(ROW(K36),ROW(K40)))</f>
        <v>C</v>
      </c>
      <c r="L42" s="382" t="str" cm="1">
        <f t="array" aca="1" ref="L42" ca="1">INDIRECT(L$52&amp;RANDBETWEEN(ROW(L36),ROW(L40)))</f>
        <v>F</v>
      </c>
      <c r="M42" s="383" t="str" cm="1">
        <f t="array" aca="1" ref="M42" ca="1">INDIRECT(M$52&amp;RANDBETWEEN(ROW(M34),ROW(M40)))</f>
        <v>I</v>
      </c>
    </row>
    <row r="43" spans="1:13">
      <c r="A43" s="21" t="s">
        <v>758</v>
      </c>
      <c r="B43" s="384" t="str" cm="1">
        <f t="array" aca="1" ref="B43" ca="1">IF(OR(B42="H",B42="I",B42="L",B42="N",B42="O"),
       INDIRECT(B$52&amp;RANDBETWEEN(ROW(B37),ROW(B39))),
       INDIRECT(B$52&amp;RANDBETWEEN(ROW(B44),ROW(B44)+COUNTA(B44:B51)-1)))</f>
        <v>F</v>
      </c>
      <c r="C43" s="384" t="str" cm="1">
        <f t="array" aca="1" ref="C43" ca="1">IF(OR(C42="H",C42="I",C42="L",C42="N",C42="O"),
       INDIRECT(C$52&amp;RANDBETWEEN(ROW(C37),ROW(C39))),
       INDIRECT(C$52&amp;RANDBETWEEN(ROW(C44),ROW(C44)+COUNTA(C44:C51)-1)))</f>
        <v>E</v>
      </c>
      <c r="D43" s="384" t="str" cm="1">
        <f t="array" aca="1" ref="D43" ca="1">INDIRECT(D$52&amp;RANDBETWEEN(ROW(D44),ROW(D44)+COUNTA(D44:D51)-1))</f>
        <v>B</v>
      </c>
      <c r="E43" s="384" t="str" cm="1">
        <f t="array" aca="1" ref="E43" ca="1">INDIRECT(E$52&amp;RANDBETWEEN(ROW(E44),ROW(E44)+COUNTA(E44:E51)-1))</f>
        <v>F</v>
      </c>
      <c r="F43" s="384" t="str" cm="1">
        <f t="array" aca="1" ref="F43" ca="1">INDIRECT(F$52&amp;RANDBETWEEN(ROW(F44),ROW(F44)+COUNTA(F44:F51)-1))</f>
        <v>A</v>
      </c>
      <c r="G43" s="384" t="str" cm="1">
        <f t="array" aca="1" ref="G43" ca="1">INDIRECT(G$52&amp;RANDBETWEEN(ROW(G44),ROW(G44)+COUNTA(G44:G51)-1))</f>
        <v>L</v>
      </c>
      <c r="H43" s="384" t="str" cm="1">
        <f t="array" aca="1" ref="H43" ca="1">INDIRECT(H$52&amp;RANDBETWEEN(ROW(H44),ROW(H44)+COUNTA(H44:H51)-1))</f>
        <v>E</v>
      </c>
      <c r="I43" s="384" t="str" cm="1">
        <f t="array" aca="1" ref="I43" ca="1">INDIRECT(I$52&amp;RANDBETWEEN(ROW(I44),ROW(I44)+COUNTA(I44:I51)-1))</f>
        <v>C</v>
      </c>
      <c r="J43" s="384" t="str" cm="1">
        <f t="array" aca="1" ref="J43" ca="1">INDIRECT(J$52&amp;RANDBETWEEN(ROW(J44),ROW(J44)+COUNTA(J44:J51)-1))</f>
        <v>C</v>
      </c>
      <c r="K43" s="384" t="str" cm="1">
        <f t="array" aca="1" ref="K43" ca="1">INDIRECT(K$52&amp;RANDBETWEEN(ROW(K44),ROW(K44)+COUNTA(K44:K51)-1))</f>
        <v>M</v>
      </c>
      <c r="L43" s="384" t="str" cm="1">
        <f t="array" aca="1" ref="L43" ca="1">INDIRECT(L$52&amp;RANDBETWEEN(ROW(L44),ROW(L44)+COUNTA(L44:L51)-1))</f>
        <v>O</v>
      </c>
      <c r="M43" s="384" t="str" cm="1">
        <f t="array" aca="1" ref="M43" ca="1">IF(OR(M42="H",M42="I",M42="L",M42="N",M42="O"),
       INDIRECT(M$52&amp;RANDBETWEEN(ROW(M37),ROW(M38))),
       INDIRECT(M$52&amp;RANDBETWEEN(ROW(M44),ROW(M44)+COUNTA(M44:M51)-1)))</f>
        <v>F</v>
      </c>
    </row>
    <row r="44" spans="1:13" hidden="1" outlineLevel="1">
      <c r="A44" s="631" t="s">
        <v>675</v>
      </c>
      <c r="B44" s="295" t="str" cm="1">
        <f t="array" aca="1" ref="B44:B51" ca="1">SUBSTITUTE(B34:B41,B42,IF(B42=B34,B37,B34))</f>
        <v>A</v>
      </c>
      <c r="C44" s="295" t="str" cm="1">
        <f t="array" aca="1" ref="C44:C51" ca="1">SUBSTITUTE(C34:C41,C42,IF(C42=C34,C37,C34))</f>
        <v>N</v>
      </c>
      <c r="D44" s="295" t="str" cm="1">
        <f t="array" aca="1" ref="D44:D47" ca="1">SUBSTITUTE(D36:D39,D42,IF(D42=D36,D37,D36))</f>
        <v>B</v>
      </c>
      <c r="E44" s="295" t="str" cm="1">
        <f t="array" aca="1" ref="E44:E48" ca="1">SUBSTITUTE(E35:E39,E42,IF(E42=E35,E36,E35))</f>
        <v>K</v>
      </c>
      <c r="F44" s="295" t="str" cm="1">
        <f t="array" aca="1" ref="F44:F49" ca="1">SUBSTITUTE(F36:F41,F42,IF(F42=F36,F37,F36))</f>
        <v>A</v>
      </c>
      <c r="G44" s="295" t="str" cm="1">
        <f t="array" aca="1" ref="G44:G49" ca="1">SUBSTITUTE(G36:G41,G42,IF(G42=G36,G37,G36))</f>
        <v>B</v>
      </c>
      <c r="H44" s="295" t="str" cm="1">
        <f t="array" aca="1" ref="H44:H45" ca="1">SUBSTITUTE(H36:H37,H42,IF(H42=H36,H37,H36))</f>
        <v>E</v>
      </c>
      <c r="I44" s="295" t="str" cm="1">
        <f t="array" aca="1" ref="I44:I46" ca="1">SUBSTITUTE(I36:I38,I42,IF(I42=I36,I37,I36))</f>
        <v>C</v>
      </c>
      <c r="J44" s="295" t="str" cm="1">
        <f t="array" aca="1" ref="J44:J47" ca="1">SUBSTITUTE(J35:J38,J42,IF(J42=J36,J37,J36))</f>
        <v>H</v>
      </c>
      <c r="K44" s="295" t="str" cm="1">
        <f t="array" aca="1" ref="K44:K48" ca="1">SUBSTITUTE(K36:K40,K42,IF(K42=K36,K37,K36))</f>
        <v>M</v>
      </c>
      <c r="L44" s="295" t="str" cm="1">
        <f t="array" aca="1" ref="L44:L48" ca="1">SUBSTITUTE(L36:L40,L42,IF(L42=L36,L37,L36))</f>
        <v>E</v>
      </c>
      <c r="M44" s="295" t="str" cm="1">
        <f t="array" aca="1" ref="M44:M50" ca="1">SUBSTITUTE(M34:M40,M42,IF(M42=M34,M37,M34))</f>
        <v>N</v>
      </c>
    </row>
    <row r="45" spans="1:13" hidden="1" outlineLevel="1">
      <c r="A45" s="632"/>
      <c r="B45" s="296" t="str">
        <f ca="1"/>
        <v>O</v>
      </c>
      <c r="C45" s="296" t="str">
        <f ca="1"/>
        <v>O</v>
      </c>
      <c r="D45" s="296" t="str">
        <f ca="1"/>
        <v>B</v>
      </c>
      <c r="E45" s="296" t="str">
        <f ca="1"/>
        <v>I</v>
      </c>
      <c r="F45" s="296" t="str">
        <f ca="1"/>
        <v>I</v>
      </c>
      <c r="G45" s="296" t="str">
        <f ca="1"/>
        <v>N</v>
      </c>
      <c r="H45" s="296" t="str">
        <f ca="1"/>
        <v>E</v>
      </c>
      <c r="I45" s="296" t="str">
        <f ca="1"/>
        <v>C</v>
      </c>
      <c r="J45" s="296" t="str">
        <f ca="1"/>
        <v>H</v>
      </c>
      <c r="K45" s="296" t="str">
        <f ca="1"/>
        <v>M</v>
      </c>
      <c r="L45" s="296" t="str">
        <f ca="1"/>
        <v>O</v>
      </c>
      <c r="M45" s="296" t="str">
        <f ca="1"/>
        <v>O</v>
      </c>
    </row>
    <row r="46" spans="1:13" hidden="1" outlineLevel="1">
      <c r="A46" s="632"/>
      <c r="B46" s="296" t="str">
        <f ca="1"/>
        <v>I</v>
      </c>
      <c r="C46" s="296" t="str">
        <f ca="1"/>
        <v>I</v>
      </c>
      <c r="D46" s="296" t="str">
        <f ca="1"/>
        <v>E</v>
      </c>
      <c r="E46" s="296" t="str">
        <f ca="1"/>
        <v>K</v>
      </c>
      <c r="F46" s="296" t="str">
        <f ca="1"/>
        <v>E</v>
      </c>
      <c r="G46" s="296" t="str">
        <f ca="1"/>
        <v>B</v>
      </c>
      <c r="H46" s="296"/>
      <c r="I46" s="296" t="str">
        <f ca="1"/>
        <v>F</v>
      </c>
      <c r="J46" s="296" t="str">
        <f ca="1"/>
        <v>C</v>
      </c>
      <c r="K46" s="296" t="str">
        <f ca="1"/>
        <v>F</v>
      </c>
      <c r="L46" s="296" t="str">
        <f ca="1"/>
        <v>E</v>
      </c>
      <c r="M46" s="296" t="str">
        <f ca="1"/>
        <v>N</v>
      </c>
    </row>
    <row r="47" spans="1:13" hidden="1" outlineLevel="1">
      <c r="A47" s="632"/>
      <c r="B47" s="296" t="str">
        <f ca="1"/>
        <v>A</v>
      </c>
      <c r="C47" s="296" t="str">
        <f ca="1"/>
        <v>A</v>
      </c>
      <c r="D47" s="296" t="str">
        <f ca="1"/>
        <v>F</v>
      </c>
      <c r="E47" s="296" t="str">
        <f ca="1"/>
        <v>F</v>
      </c>
      <c r="F47" s="296" t="str">
        <f ca="1"/>
        <v>F</v>
      </c>
      <c r="G47" s="296" t="str">
        <f ca="1"/>
        <v>F</v>
      </c>
      <c r="H47" s="296"/>
      <c r="I47" s="296"/>
      <c r="J47" s="296" t="str">
        <f ca="1"/>
        <v>F</v>
      </c>
      <c r="K47" s="296" t="str">
        <f ca="1"/>
        <v>K</v>
      </c>
      <c r="L47" s="296" t="str">
        <f ca="1"/>
        <v>K</v>
      </c>
      <c r="M47" s="296" t="str">
        <f ca="1"/>
        <v>E</v>
      </c>
    </row>
    <row r="48" spans="1:13" hidden="1" outlineLevel="1">
      <c r="A48" s="632"/>
      <c r="B48" s="296" t="str">
        <f ca="1"/>
        <v>E</v>
      </c>
      <c r="C48" s="296" t="str">
        <f ca="1"/>
        <v>E</v>
      </c>
      <c r="D48" s="296"/>
      <c r="E48" s="296" t="str">
        <f ca="1"/>
        <v>H</v>
      </c>
      <c r="F48" s="296" t="str">
        <f ca="1"/>
        <v>A</v>
      </c>
      <c r="G48" s="296" t="str">
        <f ca="1"/>
        <v>K</v>
      </c>
      <c r="H48" s="296"/>
      <c r="I48" s="296"/>
      <c r="J48" s="296"/>
      <c r="K48" s="296" t="str">
        <f ca="1"/>
        <v>L</v>
      </c>
      <c r="L48" s="296" t="str">
        <f ca="1"/>
        <v>L</v>
      </c>
      <c r="M48" s="296" t="str">
        <f ca="1"/>
        <v>F</v>
      </c>
    </row>
    <row r="49" spans="1:13" hidden="1" outlineLevel="1">
      <c r="A49" s="632"/>
      <c r="B49" s="296" t="str">
        <f ca="1"/>
        <v>F</v>
      </c>
      <c r="C49" s="296" t="str">
        <f ca="1"/>
        <v>N</v>
      </c>
      <c r="D49" s="296"/>
      <c r="E49" s="296"/>
      <c r="F49" s="296" t="str">
        <f ca="1"/>
        <v>H</v>
      </c>
      <c r="G49" s="296" t="str">
        <f ca="1"/>
        <v>L</v>
      </c>
      <c r="H49" s="296"/>
      <c r="I49" s="296"/>
      <c r="J49" s="296"/>
      <c r="K49" s="296"/>
      <c r="L49" s="296"/>
      <c r="M49" s="296" t="str">
        <f ca="1"/>
        <v>L</v>
      </c>
    </row>
    <row r="50" spans="1:13" hidden="1" outlineLevel="1">
      <c r="A50" s="632"/>
      <c r="B50" s="296" t="str">
        <f ca="1"/>
        <v>L</v>
      </c>
      <c r="C50" s="296" t="str">
        <f ca="1"/>
        <v>L</v>
      </c>
      <c r="D50" s="296"/>
      <c r="E50" s="296"/>
      <c r="F50" s="296"/>
      <c r="G50" s="296"/>
      <c r="H50" s="296"/>
      <c r="I50" s="296"/>
      <c r="J50" s="296"/>
      <c r="K50" s="296"/>
      <c r="L50" s="296"/>
      <c r="M50" s="296" t="str">
        <f ca="1"/>
        <v>H</v>
      </c>
    </row>
    <row r="51" spans="1:13" ht="14.7" hidden="1" outlineLevel="1" thickBot="1">
      <c r="A51" s="633"/>
      <c r="B51" s="297" t="str">
        <f ca="1"/>
        <v>H</v>
      </c>
      <c r="C51" s="297" t="str">
        <f ca="1"/>
        <v>H</v>
      </c>
      <c r="D51" s="297"/>
      <c r="E51" s="297"/>
      <c r="F51" s="297"/>
      <c r="G51" s="297"/>
      <c r="H51" s="297"/>
      <c r="I51" s="297"/>
      <c r="J51" s="297"/>
      <c r="K51" s="297"/>
      <c r="L51" s="297"/>
      <c r="M51" s="297"/>
    </row>
    <row r="52" spans="1:13" ht="14.7" hidden="1" outlineLevel="1" collapsed="1" thickBot="1">
      <c r="A52" s="385" t="s">
        <v>760</v>
      </c>
      <c r="B52" s="380" t="s">
        <v>34</v>
      </c>
      <c r="C52" s="380" t="s">
        <v>36</v>
      </c>
      <c r="D52" s="380" t="s">
        <v>37</v>
      </c>
      <c r="E52" s="380" t="s">
        <v>38</v>
      </c>
      <c r="F52" s="380" t="s">
        <v>416</v>
      </c>
      <c r="G52" s="380" t="s">
        <v>409</v>
      </c>
      <c r="H52" s="380" t="s">
        <v>40</v>
      </c>
      <c r="I52" s="380" t="s">
        <v>412</v>
      </c>
      <c r="J52" s="380" t="s">
        <v>417</v>
      </c>
      <c r="K52" s="380" t="s">
        <v>413</v>
      </c>
      <c r="L52" s="380" t="s">
        <v>418</v>
      </c>
      <c r="M52" s="297" t="s">
        <v>196</v>
      </c>
    </row>
    <row r="53" spans="1:13" collapsed="1"/>
  </sheetData>
  <sheetProtection algorithmName="SHA-512" hashValue="cgiwLnUodBTR4ImQmGqdlRLXeq7mNE73Mh8LUiXjZY3ZHd+Y7uyZBCxtcG0G1egjduD2hv/cHoxr6kJdAyqpnQ==" saltValue="8gWHwh+sT0O5184ftiMjmw==" spinCount="100000" sheet="1" objects="1" scenarios="1" selectLockedCells="1"/>
  <mergeCells count="15">
    <mergeCell ref="A34:A37"/>
    <mergeCell ref="A44:A51"/>
    <mergeCell ref="N1:V1"/>
    <mergeCell ref="AR13:AZ13"/>
    <mergeCell ref="AA12:AO12"/>
    <mergeCell ref="A12:K12"/>
    <mergeCell ref="A13:B13"/>
    <mergeCell ref="C13:K13"/>
    <mergeCell ref="N13:O13"/>
    <mergeCell ref="P13:Q13"/>
    <mergeCell ref="R13:S13"/>
    <mergeCell ref="T13:U13"/>
    <mergeCell ref="V13:W13"/>
    <mergeCell ref="N12:W12"/>
    <mergeCell ref="A38:A41"/>
  </mergeCells>
  <conditionalFormatting sqref="P3">
    <cfRule type="cellIs" dxfId="47" priority="3" operator="equal">
      <formula>0</formula>
    </cfRule>
  </conditionalFormatting>
  <conditionalFormatting sqref="AA14:AP30">
    <cfRule type="cellIs" dxfId="46" priority="4" operator="greaterThan">
      <formula>0</formula>
    </cfRule>
  </conditionalFormatting>
  <conditionalFormatting sqref="B43:M43">
    <cfRule type="cellIs" dxfId="45" priority="1" operator="equal">
      <formula>B$42</formula>
    </cfRule>
  </conditionalFormatting>
  <pageMargins left="0.7" right="0.7" top="0.75" bottom="0.75" header="0.3" footer="0.3"/>
  <pageSetup paperSize="9" orientation="portrait" horizontalDpi="4294967295" verticalDpi="4294967295"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d_Resultados_FTP">
    <tabColor rgb="FF005877"/>
  </sheetPr>
  <dimension ref="A1:V92"/>
  <sheetViews>
    <sheetView showGridLines="0" showRowColHeaders="0" zoomScaleNormal="100" workbookViewId="0">
      <pane xSplit="20" ySplit="42" topLeftCell="U43" activePane="bottomRight" state="frozen"/>
      <selection pane="topRight" activeCell="U1" sqref="U1"/>
      <selection pane="bottomLeft" activeCell="A43" sqref="A43"/>
      <selection pane="bottomRight" activeCell="O42" sqref="O42"/>
    </sheetView>
  </sheetViews>
  <sheetFormatPr baseColWidth="10" defaultColWidth="0" defaultRowHeight="14.35" zeroHeight="1" outlineLevelRow="1"/>
  <cols>
    <col min="1" max="1" width="6.64453125" customWidth="1"/>
    <col min="2" max="12" width="8.87890625" customWidth="1"/>
    <col min="13" max="13" width="8" customWidth="1"/>
    <col min="14" max="14" width="4.17578125" customWidth="1"/>
    <col min="15" max="15" width="6.17578125" customWidth="1"/>
    <col min="16" max="16" width="11.234375" customWidth="1"/>
    <col min="17" max="17" width="11.1171875" customWidth="1"/>
    <col min="18" max="18" width="10.3515625" customWidth="1"/>
    <col min="19" max="19" width="8.1171875" customWidth="1"/>
    <col min="20" max="20" width="7.3515625" customWidth="1"/>
    <col min="21" max="21" width="6.3515625" customWidth="1"/>
    <col min="22" max="22" width="2.64453125" customWidth="1"/>
    <col min="23" max="16384" width="10.76171875" hidden="1"/>
  </cols>
  <sheetData>
    <row r="1" spans="1:21" ht="14.7" thickBot="1">
      <c r="B1" s="667" t="str">
        <f>IFERROR(VLOOKUP(I1,T_DATOS_IMAGENES[],COLUMNS(T_DATOS_IMAGENES[]),0),"")</f>
        <v>&lt;img src="https://i.ibb.co/kysZMp4/Portico-TODO-Inclinado.png" height="200"&gt;</v>
      </c>
      <c r="C1" s="668"/>
      <c r="D1" s="668"/>
      <c r="E1" s="668"/>
      <c r="F1" s="668"/>
      <c r="G1" s="668"/>
      <c r="H1" s="669"/>
      <c r="I1" s="670" t="str">
        <f>IFERROR(VLOOKUP(Nombre_Lista,T_D_FIJOS[[NOMBRE]:[Nombre IMAGEN]],81,0), Tipo_Estructura)</f>
        <v>Portico-TODO-Inclinado</v>
      </c>
      <c r="J1" s="671"/>
      <c r="K1" s="671"/>
      <c r="L1" s="671"/>
      <c r="M1" s="671"/>
      <c r="N1" s="654" t="s">
        <v>810</v>
      </c>
      <c r="O1" s="654"/>
      <c r="P1" s="654"/>
      <c r="Q1" s="654"/>
      <c r="R1" s="654"/>
      <c r="S1" s="654"/>
    </row>
    <row r="2" spans="1:21" ht="28.7" hidden="1" outlineLevel="1">
      <c r="B2" s="680" t="s">
        <v>123</v>
      </c>
      <c r="C2" s="681"/>
      <c r="D2" s="681"/>
      <c r="E2" s="681"/>
      <c r="F2" s="681"/>
      <c r="G2" s="681"/>
      <c r="H2" s="681"/>
      <c r="I2" s="681"/>
      <c r="J2" s="681"/>
      <c r="K2" s="681"/>
      <c r="L2" s="681"/>
      <c r="M2" s="682"/>
      <c r="P2" s="350" t="s">
        <v>734</v>
      </c>
      <c r="Q2" s="350" t="s">
        <v>716</v>
      </c>
      <c r="R2" s="350" t="s">
        <v>717</v>
      </c>
    </row>
    <row r="3" spans="1:21" ht="14.45" hidden="1" customHeight="1" outlineLevel="1">
      <c r="B3" s="683" t="s">
        <v>189</v>
      </c>
      <c r="C3" s="684"/>
      <c r="D3" s="287" t="s">
        <v>190</v>
      </c>
      <c r="E3" s="683" t="s">
        <v>191</v>
      </c>
      <c r="F3" s="684"/>
      <c r="G3" s="287" t="s">
        <v>190</v>
      </c>
      <c r="H3" s="683" t="s">
        <v>448</v>
      </c>
      <c r="I3" s="684"/>
      <c r="J3" s="287" t="str">
        <f ca="1">"kN"&amp;IF(MID(H4,1,1)="F","","m")</f>
        <v>kNm</v>
      </c>
      <c r="K3" s="683" t="s">
        <v>649</v>
      </c>
      <c r="L3" s="684"/>
      <c r="M3" s="287" t="str">
        <f ca="1">"kN"&amp;IF(MID(K4,1,1)="F","","m")</f>
        <v>kNm</v>
      </c>
      <c r="P3" s="351" t="s">
        <v>718</v>
      </c>
      <c r="Q3" s="351" t="s">
        <v>719</v>
      </c>
      <c r="R3" s="351" t="s">
        <v>720</v>
      </c>
      <c r="S3" s="358" t="s">
        <v>736</v>
      </c>
      <c r="T3" s="346"/>
      <c r="U3" s="346"/>
    </row>
    <row r="4" spans="1:21" ht="14.45" hidden="1" customHeight="1" outlineLevel="1">
      <c r="A4" s="276"/>
      <c r="B4" s="289" t="str">
        <f ca="1">"Fv "&amp;Ap_1</f>
        <v xml:space="preserve">Fv </v>
      </c>
      <c r="C4" s="290">
        <f ca="1">RFv</f>
        <v>0</v>
      </c>
      <c r="D4" s="291" t="str">
        <f ca="1">IFERROR(B4&amp;": {"&amp;$O$42&amp;":NM:"&amp;$P$3&amp;ABS(C4)&amp;":"&amp;ABS(C4)*$P$42&amp;"#"&amp;Retro_MuyBien
                               &amp;$Q$3&amp;ABS(C4)&amp;":"&amp;ABS(C4)*$Q$42&amp;"#"&amp;Retro_Bien
                               &amp;$R$3&amp;ABS(C4)&amp;":"&amp;ABS(C4)*$R$42&amp;"#"&amp;Retro_Mal&amp;"} "&amp;D$3&amp;" 
               {"&amp;$O$43&amp;":MCS:"&amp;$P$3 &amp;    IF(C4=0, No_Reacc, IF(C4&gt;0,  _Arriba,_Abajo)) &amp;"#"&amp;Retro_MuyBien
                          &amp;"~%"&amp;$R$43&amp;"%"&amp;                   IF(C4&lt;0,  _Arriba,_Abajo)  &amp;"#"&amp;Retro_Mal
                          &amp;"~%"&amp;$R$43&amp;"%"&amp;IF(C4&lt;&gt;0,No_Reacc, IF(C4&lt;=0, _Arriba,_Abajo)) &amp;"#"&amp;Retro_Mal&amp;"}","")</f>
        <v>Fv : {3:NM:%100%0:0#¡Muy bien!~%95%0:0#Cuidado al redondear.~%-10%0:0#Incorrecto.} kN 
               {1:MCS:%100%--#¡Muy bien!~%-33%↓#Incorrecto.~%-33%↑#Incorrecto.}</v>
      </c>
      <c r="E4" s="289" t="str">
        <f ca="1">"Fh "&amp;Ap_1</f>
        <v xml:space="preserve">Fh </v>
      </c>
      <c r="F4" s="290">
        <f ca="1">RFh</f>
        <v>0</v>
      </c>
      <c r="G4" s="291" t="str">
        <f ca="1">IFERROR(E4&amp;": {"&amp;$O$42&amp;":NM:"&amp;$P$3&amp;ABS(F4)&amp;":"&amp;ABS(F4)*$P$42&amp;"#"&amp;Retro_MuyBien
                               &amp;$Q$3&amp;ABS(F4)&amp;":"&amp;ABS(F4)*$Q$42&amp;"#"&amp;Retro_Bien
                               &amp;$R$3&amp;ABS(F4)&amp;":"&amp;ABS(F4)*$R$42&amp;"#"&amp;Retro_Mal&amp;"} "&amp;G$3&amp;" 
               {"&amp;$O$43&amp;":MCS:"&amp;$P$3 &amp;    IF(F4=0,No_Reacc,  IF(F4&gt;0,  _Derecha, _Izquierda))&amp;"#"&amp;Retro_MuyBien
                          &amp;"~%"&amp;$R$43&amp;"%"&amp;                   IF(F4&lt;0,  _Derecha, _Izquierda)   &amp;"#"&amp;Retro_Mal
                          &amp;"~%"&amp;$R$43&amp;"%"&amp;IF(F4&lt;&gt;0,No_Reacc, IF(F4&lt;=0, _Derecha, _Izquierda))  &amp;"#"&amp;Retro_Mal&amp;"}","")</f>
        <v>Fh : {3:NM:%100%0:0#¡Muy bien!~%95%0:0#Cuidado al redondear.~%-10%0:0#Incorrecto.} kN 
               {1:MCS:%100%--#¡Muy bien!~%-33%←#Incorrecto.~%-33%→#Incorrecto.}</v>
      </c>
      <c r="H4" s="289" t="str">
        <f ca="1">IF(OR(Ap_2=0,Ap_2="",Ap_1=Ap_2),"M "&amp;Ap_1,"Fv "&amp;Ap_2)</f>
        <v xml:space="preserve">M </v>
      </c>
      <c r="I4" s="290">
        <f ca="1">RMFv_Ver</f>
        <v>0</v>
      </c>
      <c r="J4" s="291" t="str">
        <f ca="1">IFERROR(H4&amp;": {"&amp;$O$42&amp;":NM:"&amp;$P$3&amp;ABS(I4)&amp;":"&amp;ABS(I4)*$P$42&amp;"#"&amp;Retro_MuyBien
                               &amp;$Q$3&amp;ABS(I4)&amp;":"&amp;ABS(I4)*$Q$42&amp;"#"&amp;Retro_Bien
                               &amp;$R$3&amp;ABS(I4)&amp;":"&amp;ABS(I4)*$R$42&amp;"#"&amp;Retro_Mal&amp;"} "&amp;J$3&amp;" 
           {"&amp;$O$43&amp;":MCS:"&amp;$P$3&amp; IF(I4=0,No_Reacc,     IF(I4&gt;0, IF(MID(H4,1,1)="F", _Arriba,_M_Pos),
                                                                 IF(MID(H4,1,1)="F", _Abajo, _M_Neg)))&amp;"#"&amp;Retro_MuyBien
                      &amp;"~%"&amp;$R$43&amp;"%"&amp;                  IF(I4&lt;0, IF(MID(H4,1,1)="F", _Arriba,_M_Pos),
                                                                 IF(MID(H4,1,1)="F", _Abajo, _M_Neg)) &amp;"#"&amp;Retro_Mal
                      &amp;"~%"&amp;$R$43&amp;"%"&amp;IF(I4&lt;&gt;0,No_Reacc,IF(I4&lt;=0,IF(MID(H4,1,1)="F", _Arriba,_M_Pos),
                                                                 IF(MID(H4,1,1)="F", _Abajo, _M_Neg)))&amp;"#"&amp;Retro_Mal&amp;"}","")</f>
        <v>M : {3:NM:%100%0:0#¡Muy bien!~%95%0:0#Cuidado al redondear.~%-10%0:0#Incorrecto.} kNm 
           {1:MCS:%100%--#¡Muy bien!~%-33%↺#Incorrecto.~%-33%↻#Incorrecto.}</v>
      </c>
      <c r="K4" s="289" t="str">
        <f ca="1">IF(Art=0,"",REPLACE(MID(PROBLEMA!AC37,2,3),2,1," ")&amp;" ")</f>
        <v/>
      </c>
      <c r="L4" s="290" t="str">
        <f ca="1">RM_Ver</f>
        <v/>
      </c>
      <c r="M4" s="291" t="str">
        <f ca="1">IFERROR(K4&amp;": {"&amp;$O$42&amp;":NM:"&amp;$P$3&amp;ABS(L4)&amp;":"&amp;ABS(L4)*$P$42&amp;"#"&amp;Retro_MuyBien
                               &amp;$Q$3&amp;ABS(L4)&amp;":"&amp;ABS(L4)*$Q$42&amp;"#"&amp;Retro_Bien
                               &amp;$R$3&amp;ABS(L4)&amp;":"&amp;ABS(L4)*$R$42&amp;"#"&amp;Retro_Mal&amp;"} "&amp;M$3&amp;" 
           {"&amp;$O$43&amp;":MCS:"&amp;$P$3&amp; IF(L4=0,No_Reacc,     IF(L4&gt;0, IF(MID(K4,1,1)="F", _Arriba,_M_Pos),
                                                                 IF(MID(K4,1,1)="F", _Abajo, _M_Neg)))&amp;"#"&amp;Retro_MuyBien
                      &amp;"~%"&amp;$R$43&amp;"%"&amp;                  IF(L4&lt;0, IF(MID(K4,1,1)="F", _Arriba,_M_Pos),
                                                                 IF(MID(K4,1,1)="F", _Abajo, _M_Neg)) &amp;"#"&amp;Retro_Mal
                      &amp;"~%"&amp;$R$43&amp;"%"&amp;IF(L4&lt;&gt;0,No_Reacc,IF(L4&lt;=0,IF(MID(K4,1,1)="F", _Arriba,_M_Pos),
                                                                 IF(MID(K4,1,1)="F", _Abajo, _M_Neg)))&amp;"#"&amp;Retro_Mal&amp;"}","")</f>
        <v/>
      </c>
      <c r="P4" s="346" t="s">
        <v>192</v>
      </c>
      <c r="Q4" s="346" t="s">
        <v>730</v>
      </c>
      <c r="R4" s="346" t="s">
        <v>731</v>
      </c>
      <c r="S4" s="358" t="s">
        <v>735</v>
      </c>
      <c r="T4" s="358"/>
      <c r="U4" s="358"/>
    </row>
    <row r="5" spans="1:21" hidden="1" outlineLevel="1">
      <c r="A5" s="203"/>
      <c r="B5" s="672" t="s">
        <v>143</v>
      </c>
      <c r="C5" s="673"/>
      <c r="D5" s="673"/>
      <c r="E5" s="673"/>
      <c r="F5" s="673"/>
      <c r="G5" s="673"/>
      <c r="H5" s="673"/>
      <c r="I5" s="673"/>
      <c r="J5" s="673"/>
    </row>
    <row r="6" spans="1:21" hidden="1" outlineLevel="1">
      <c r="A6" s="203"/>
      <c r="B6" s="99" t="s">
        <v>193</v>
      </c>
      <c r="C6" s="100" t="s">
        <v>194</v>
      </c>
      <c r="D6" s="101" t="s">
        <v>190</v>
      </c>
      <c r="E6" s="101" t="s">
        <v>13</v>
      </c>
      <c r="F6" s="100" t="s">
        <v>195</v>
      </c>
      <c r="G6" s="101" t="s">
        <v>190</v>
      </c>
      <c r="H6" s="101" t="s">
        <v>196</v>
      </c>
      <c r="I6" s="100" t="s">
        <v>197</v>
      </c>
      <c r="J6" s="101" t="s">
        <v>198</v>
      </c>
      <c r="L6" s="39"/>
      <c r="M6" s="4"/>
      <c r="N6" s="4"/>
    </row>
    <row r="7" spans="1:21" hidden="1" outlineLevel="1" collapsed="1">
      <c r="A7" t="s">
        <v>199</v>
      </c>
      <c r="B7" t="s">
        <v>200</v>
      </c>
      <c r="C7" t="s">
        <v>194</v>
      </c>
      <c r="D7" t="s">
        <v>201</v>
      </c>
      <c r="E7" t="s">
        <v>202</v>
      </c>
      <c r="F7" t="s">
        <v>195</v>
      </c>
      <c r="G7" t="s">
        <v>203</v>
      </c>
      <c r="H7" t="s">
        <v>204</v>
      </c>
      <c r="I7" t="s">
        <v>197</v>
      </c>
      <c r="J7" t="s">
        <v>205</v>
      </c>
      <c r="K7" t="s">
        <v>144</v>
      </c>
      <c r="L7" t="s">
        <v>206</v>
      </c>
      <c r="M7" t="s">
        <v>207</v>
      </c>
      <c r="N7" t="s">
        <v>208</v>
      </c>
      <c r="O7" t="s">
        <v>209</v>
      </c>
      <c r="P7" t="s">
        <v>570</v>
      </c>
      <c r="Q7" t="s">
        <v>571</v>
      </c>
      <c r="R7" t="s">
        <v>651</v>
      </c>
      <c r="S7" t="s">
        <v>193</v>
      </c>
      <c r="T7" t="s">
        <v>13</v>
      </c>
      <c r="U7" t="s">
        <v>196</v>
      </c>
    </row>
    <row r="8" spans="1:21" hidden="1" outlineLevel="1">
      <c r="A8" s="88" t="str">
        <f>PROBLEMA!W34</f>
        <v>AB i</v>
      </c>
      <c r="B8" s="3" t="str">
        <f>B$6&amp;" "&amp;$A8</f>
        <v>N AB i</v>
      </c>
      <c r="C8" s="102" cm="1">
        <f t="array" aca="1" ref="C8" ca="1">ROUND(INDIRECT(B$6&amp;"_"&amp;REPLACE($A8,3,1,"_")),2)</f>
        <v>0</v>
      </c>
      <c r="D8" t="str" cm="1">
        <f t="array" aca="1" ref="D8" ca="1">IF(INDIRECT("L_"&amp;MID($A8,1,2))&lt;&gt;0,IF(MID($A8,4,1)="i",MID($A8,1,1)&amp;Tab,"    ")&amp;
  " {"&amp;$O$45&amp;":NM:"&amp;$P$3&amp;ABS(C8)&amp;":"&amp;ABS(C8)*$P$45&amp;"#"&amp;Retro_MuyBien&amp;$Q$3&amp;ABS(C8)&amp;":"&amp;ABS(C8)*$Q$45&amp;"#"&amp;Retro_Bien&amp;$R$3&amp;ABS(C8)&amp;":"&amp;ABS(C8)*$R$45&amp;"#"&amp;Retro_Mal&amp;"}"&amp;IF(RIGHT($A8,1)="i",IFERROR(VLOOKUP(M8,'ENLACES DIAGRAMAS'!$B:$I,8,0),No_Diagrama),IF(MID($A8,1,1)="M",Tab&amp;MID($A8,2,1)&amp;Salto,IF(OR(MOD(COUNTA($A$8:$A8),4)=0,D9="")," "&amp;
                                    MID($A8,2,1)&amp;Salto,Tab))),"")</f>
        <v/>
      </c>
      <c r="E8" s="3" t="str">
        <f>E$6&amp;" "&amp;$A8</f>
        <v>V AB i</v>
      </c>
      <c r="F8" s="102" cm="1">
        <f t="array" aca="1" ref="F8" ca="1">ROUND(INDIRECT(E$6&amp;"_"&amp;REPLACE($A8,3,1,"_")),2)</f>
        <v>0</v>
      </c>
      <c r="G8" t="str" cm="1">
        <f t="array" aca="1" ref="G8" ca="1">IF(INDIRECT("L_"&amp;MID($A8,1,2))&lt;&gt;0,IF(MID($A8,4,1)="i",MID($A8,1,1)&amp;Tab,"    ")&amp;
  " {"&amp;$O$45&amp;":NM:"&amp;$P$3&amp;ABS(F8)&amp;":"&amp;ABS(F8)*$P$45&amp;"#"&amp;Retro_MuyBien&amp;$Q$3&amp;ABS(F8)&amp;":"&amp;ABS(F8)*$Q$45&amp;"#"&amp;Retro_Bien&amp;$R$3&amp;ABS(F8)&amp;":"&amp;ABS(F8)*$R$45&amp;"#"&amp;Retro_Mal&amp;"}"&amp;IF(RIGHT($A8,1)="i",IFERROR(VLOOKUP(N8,'ENLACES DIAGRAMAS'!$B:$I,8,0),No_Diagrama),IF(MID($A8,1,1)="M",Tab&amp;MID($A8,2,1)&amp;Salto,IF(OR(MOD(COUNTA($A$8:$A8),4)=0,G9="")," "&amp;
                                    MID($A8,2,1)&amp;Salto,Tab))),"")</f>
        <v/>
      </c>
      <c r="H8" s="3" t="str">
        <f>H$6&amp;" "&amp;$A8</f>
        <v>M AB i</v>
      </c>
      <c r="I8" s="102" cm="1">
        <f t="array" aca="1" ref="I8" ca="1">ROUND(INDIRECT(H$6&amp;"_"&amp;REPLACE($A8,3,1,"_")),2)</f>
        <v>0</v>
      </c>
      <c r="J8" t="str" cm="1">
        <f t="array" aca="1" ref="J8" ca="1">IF(INDIRECT("L_"&amp;MID($A8,1,2))&lt;&gt;0,IF(MID($A8,4,1)="i",MID($A8,1,1)&amp;Tab,"    ")&amp;
  " {"&amp;$O$45&amp;":NM:"&amp;$P$3&amp;ABS(I8)&amp;":"&amp;ABS(I8)*$P$45&amp;"#"&amp;Retro_MuyBien&amp;$Q$3&amp;ABS(I8)&amp;":"&amp;ABS(I8)*$Q$45&amp;"#"&amp;Retro_Bien&amp;$R$3&amp;ABS(I8)&amp;":"&amp;ABS(I8)*$R$45&amp;"#"&amp;Retro_Mal&amp;"}"&amp;IF(RIGHT($A8,1)="i",IFERROR(VLOOKUP(O8,'ENLACES DIAGRAMAS'!$B:$I,8,0),No_Diagrama),IF(MID($A8,1,1)="M",Tab&amp;MID($A8,2,1)&amp;Salto,IF(OR(MOD(COUNTA($A$8:$A8),4)=0,J9="")," "&amp;
                                    MID($A8,2,1)&amp;Salto,Tab))),"")</f>
        <v/>
      </c>
      <c r="K8" t="str">
        <f>IFERROR(IF(MID(T_Resultados_FTP[[#This Row],[Nudo]],4,1)="j","En la barra "&amp;MID(A7,1,2)&amp;" el momento es de 
       {"&amp;$O$42&amp;":NM:"&amp;$P$3&amp;ABS(ROUND(L8,2))&amp;":"&amp;ABS(ROUND(L8,2))*$P$51&amp;"#"&amp;Retro_MuyBien&amp;
                       $Q$3&amp;ABS(ROUND(L8,2))&amp;":"&amp;ABS(ROUND(L8,2))*$Q$51&amp;"#"&amp;Retro_Bien&amp;
                       $R$3&amp;ABS(ROUND(L8,2))&amp;":"&amp;ABS(ROUND(L8,2))*$R$51&amp;"#"&amp;Retro_Mal&amp;"} kNm, a 
       {"&amp;$O$43&amp;":NM:"&amp;$P$3&amp;ABS(ROUND(L7,0))&amp;":"&amp;ABS(ROUND(L7,2))*$P$51&amp;"#"&amp;Retro_MuyBien&amp;
                       $Q$3&amp;ABS(ROUND(L7,0))&amp;":"&amp;ABS(ROUND(L7,2))*$Q$51&amp;"#"&amp;Retro_Bien&amp;
                       $R$3&amp;ABS(ROUND(L7,0))&amp;":"&amp;ABS(ROUND(L7,2))*$R$51&amp;"#"&amp;Retro_Mal&amp;"} mm del nudo "&amp;MID(A7,1,1)&amp;". "&amp;Salto,""),"")</f>
        <v/>
      </c>
      <c r="L8" s="103" t="str">
        <f ca="1">PROBLEMA!R34</f>
        <v/>
      </c>
      <c r="M8" t="str" cm="1">
        <f t="array" aca="1" ref="M8" ca="1">IF(INDIRECT("L_"&amp;MID($A8,1,2))&lt;&gt;0,IF(  MID(A8,1,2)=MID(A9,1,2),  "N "&amp;
  IF(  C8=0,  "CERO ",         IF(  C8&gt;0,   "POS ",  "NEG " )) &amp;
  IF(  C9=0,  "CERO",          IF(  C9&gt;0,   "POS",  "NEG"  )) &amp;
  IF(AND(C8&lt;&gt;C9,C8&lt;&gt;0,C9&lt;&gt;0),    IF(C8&gt;C9, " MAX_MIN",  " MIN_MAX"),  ""),  ""),"")</f>
        <v/>
      </c>
      <c r="N8" t="str" cm="1">
        <f t="array" aca="1" ref="N8" ca="1">IF(INDIRECT("L_"&amp;MID($A8,1,2))&lt;&gt;0,IF(  MID(A8,1,2)=MID(A9,1,2),  "V "&amp;
IF(  F8=0,  "CERO ",  IF(  F8&gt;0,   "POS ",  "NEG " )) &amp;
IF(  F9=0,  "CERO",   IF(  F9&gt;0,   "POS",   "NEG"  )) &amp;
IF(AND(F8&lt;&gt;F9,F8&lt;&gt;0,F9&lt;&gt;0),   IF(F8&gt;F9,  " MAX_MIN", " MIN_MAX" ),  ""),  ""),"")</f>
        <v/>
      </c>
      <c r="O8" t="str" cm="1">
        <f t="array" aca="1" ref="O8" ca="1">IF(INDIRECT("L_"&amp;MID($A8,1,2))&lt;&gt;0,IF(  MID(A8,1,2)=MID(A9,1,2),  "M "&amp;
IF(   I8=0,  "CERO ",  IF(  I8&gt;0,   "POS ",  "NEG " )) &amp;
IF(   I9=0,  "CERO",  IF(  ROUND(I9,1)&gt;0,   "POS",  "NEG"  )) &amp;
IF(AND(I8&lt;&gt;I9,I8&lt;&gt;0,I9&lt;&gt;0),   IF(I8&gt;I9,  " MAX_MIN", " MIN_MAX" ),  "") &amp;
IF(OR(INDIRECT("q_"&amp;MID(A8,1,2))&lt;&gt;0,AND(OR(MID(T_Resultados_FTP[[#This Row],[Nudo]],1,2)="CD",MID(T_Resultados_FTP[[#This Row],[Nudo]],1,2)="DE"),q_CE&lt;&gt;0)),
IF(L9="", IF(ABS(F8)&lt;ABS(F9)," M_0"," M_L"),
IF(L9&gt;0,  " POS",  " NEG") &amp;  IF(L9&gt;MAX(I8:I9),  "_MAX", "_MIN" )&amp;
IF(F8=0," M_0",IF(F9=0," M_L",""))),    ""),  ""),"")</f>
        <v/>
      </c>
      <c r="P8" t="str" cm="1">
        <f t="array" aca="1" ref="P8" ca="1">IF(INDIRECT("L_"&amp;MID($A8,1,2))&lt;&gt;0,IF(MID($A8,4,1)="i","N{"&amp;MID($A8,1,1)&amp;"}N ","")&amp;
            " "&amp;ABS(C8)&amp;" "&amp;
                IF(RIGHT($A8,1)="i",IFERROR(VLOOKUP(M8,'ENLACES DIAGRAMAS'!$B:$I,4,0),No_Diagrama),
                   IF(MID($A8,1,1)="M","N{"&amp;MID($A8,2,1)&amp;"}N&lt;br&gt;",IF(OR(MOD(COUNTA($A$8:$A8),4)=0,D9=""),      " N{"&amp;MID($A8,2,1)&amp;"}N&lt;br&gt;",""))),"")</f>
        <v/>
      </c>
      <c r="Q8" t="str" cm="1">
        <f t="array" aca="1" ref="Q8" ca="1">IF(INDIRECT("L_"&amp;MID($A8,1,2))&lt;&gt;0,IF(MID($A8,4,1)="i","N{"&amp;MID($A8,1,1)&amp;"}N ","")&amp;
            " "&amp;ABS(F8)&amp;" "&amp;
                IF(RIGHT($A8,1)="i",IFERROR(VLOOKUP(N8,'ENLACES DIAGRAMAS'!$B:$I,4,0),No_Diagrama),
                   IF(MID($A8,1,1)="M","N{"&amp;MID($A8,2,1)&amp;"}N &lt;br&gt;",IF(OR(MOD(COUNTA($A$8:$A8),4)=0,G9=""),      " N{"&amp;MID($A8,2,1)&amp;"}N &lt;br&gt;",""))),"")</f>
        <v/>
      </c>
      <c r="R8" t="str" cm="1">
        <f t="array" aca="1" ref="R8" ca="1">IF(INDIRECT("L_"&amp;MID($A8,1,2))&lt;&gt;0,IF(MID($A8,4,1)="i","N{"&amp;MID($A8,1,1)&amp;"}N ","")&amp;
            " "&amp;ABS(I8)&amp;" "&amp;
                IF(RIGHT($A8,1)="i",IFERROR(VLOOKUP(O8,'ENLACES DIAGRAMAS'!$B:$I,4,0),No_Diagrama),
                   IF(MID($A8,1,1)="M","N{"&amp;MID($A8,2,1)&amp;"}N &lt;br&gt;",IF(OR(MOD(COUNTA($A$8:$A8),4)=0,J9=""),      " "&amp;"N{"&amp;MID($A8,2,1)&amp;"}N &lt;br&gt;",""))),"")</f>
        <v/>
      </c>
      <c r="S8" s="303" t="str">
        <f ca="1">IF(T_Resultados_FTP[[#This Row],[Codigo axil]]="","",ABS(T_Resultados_FTP[[#This Row],[Axiles]])&amp;" kN")</f>
        <v/>
      </c>
      <c r="T8" s="303" t="str">
        <f ca="1">IF(T_Resultados_FTP[[#This Row],[Codigo Cortante]]="","",ABS(T_Resultados_FTP[[#This Row],[Cortantes]])&amp;" kN")</f>
        <v/>
      </c>
      <c r="U8" s="303" t="str">
        <f ca="1">IF(T_Resultados_FTP[[#This Row],[Codigo Momentos]]="","",ABS(T_Resultados_FTP[[#This Row],[Momentos]])&amp;" kNm")</f>
        <v/>
      </c>
    </row>
    <row r="9" spans="1:21" hidden="1" outlineLevel="1">
      <c r="A9" s="88" t="str">
        <f>PROBLEMA!W35</f>
        <v>AB j</v>
      </c>
      <c r="B9" s="3" t="str">
        <f t="shared" ref="B9:B35" si="0">B$6&amp;" "&amp;$A9</f>
        <v>N AB j</v>
      </c>
      <c r="C9" s="102" cm="1">
        <f t="array" aca="1" ref="C9" ca="1">ROUND(INDIRECT(B$6&amp;"_"&amp;REPLACE($A9,3,1,"_")),2)</f>
        <v>0</v>
      </c>
      <c r="D9" t="str" cm="1">
        <f t="array" aca="1" ref="D9" ca="1">IF(INDIRECT("L_"&amp;MID($A9,1,2))&lt;&gt;0,IF(MID($A9,4,1)="i",MID($A9,1,1)&amp;Tab,"    ")&amp;
  " {"&amp;$O$45&amp;":NM:"&amp;$P$3&amp;ABS(C9)&amp;":"&amp;ABS(C9)*$P$45&amp;"#"&amp;Retro_MuyBien&amp;$Q$3&amp;ABS(C9)&amp;":"&amp;ABS(C9)*$Q$45&amp;"#"&amp;Retro_Bien&amp;$R$3&amp;ABS(C9)&amp;":"&amp;ABS(C9)*$R$45&amp;"#"&amp;Retro_Mal&amp;"}"&amp;IF(RIGHT($A9,1)="i",IFERROR(VLOOKUP(M9,'ENLACES DIAGRAMAS'!$B:$I,8,0),No_Diagrama),IF(MID($A9,1,1)="M",Tab&amp;MID($A9,2,1)&amp;Salto,IF(OR(MOD(COUNTA($A$8:$A9),4)=0,D10="")," "&amp;
                                    MID($A9,2,1)&amp;Salto,Tab))),"")</f>
        <v/>
      </c>
      <c r="E9" s="3" t="str">
        <f t="shared" ref="E9:E35" si="1">E$6&amp;" "&amp;$A9</f>
        <v>V AB j</v>
      </c>
      <c r="F9" s="102" cm="1">
        <f t="array" aca="1" ref="F9" ca="1">ROUND(INDIRECT(E$6&amp;"_"&amp;REPLACE($A9,3,1,"_")),2)</f>
        <v>0</v>
      </c>
      <c r="G9" t="str" cm="1">
        <f t="array" aca="1" ref="G9" ca="1">IF(INDIRECT("L_"&amp;MID($A9,1,2))&lt;&gt;0,IF(MID($A9,4,1)="i",MID($A9,1,1)&amp;Tab,"    ")&amp;
  " {"&amp;$O$45&amp;":NM:"&amp;$P$3&amp;ABS(F9)&amp;":"&amp;ABS(F9)*$P$45&amp;"#"&amp;Retro_MuyBien&amp;$Q$3&amp;ABS(F9)&amp;":"&amp;ABS(F9)*$Q$45&amp;"#"&amp;Retro_Bien&amp;$R$3&amp;ABS(F9)&amp;":"&amp;ABS(F9)*$R$45&amp;"#"&amp;Retro_Mal&amp;"}"&amp;IF(RIGHT($A9,1)="i",IFERROR(VLOOKUP(N9,'ENLACES DIAGRAMAS'!$B:$I,8,0),No_Diagrama),IF(MID($A9,1,1)="M",Tab&amp;MID($A9,2,1)&amp;Salto,IF(OR(MOD(COUNTA($A$8:$A9),4)=0,G10="")," "&amp;
                                    MID($A9,2,1)&amp;Salto,Tab))),"")</f>
        <v/>
      </c>
      <c r="H9" s="3" t="str">
        <f t="shared" ref="H9:H35" si="2">H$6&amp;" "&amp;$A9</f>
        <v>M AB j</v>
      </c>
      <c r="I9" s="102" cm="1">
        <f t="array" aca="1" ref="I9" ca="1">ROUND(INDIRECT(H$6&amp;"_"&amp;REPLACE($A9,3,1,"_")),2)</f>
        <v>0</v>
      </c>
      <c r="J9" t="str" cm="1">
        <f t="array" aca="1" ref="J9" ca="1">IF(INDIRECT("L_"&amp;MID($A9,1,2))&lt;&gt;0,IF(MID($A9,4,1)="i",MID($A9,1,1)&amp;Tab,"    ")&amp;
  " {"&amp;$O$45&amp;":NM:"&amp;$P$3&amp;ABS(I9)&amp;":"&amp;ABS(I9)*$P$45&amp;"#"&amp;Retro_MuyBien&amp;$Q$3&amp;ABS(I9)&amp;":"&amp;ABS(I9)*$Q$45&amp;"#"&amp;Retro_Bien&amp;$R$3&amp;ABS(I9)&amp;":"&amp;ABS(I9)*$R$45&amp;"#"&amp;Retro_Mal&amp;"}"&amp;IF(RIGHT($A9,1)="i",IFERROR(VLOOKUP(O9,'ENLACES DIAGRAMAS'!$B:$I,8,0),No_Diagrama),IF(MID($A9,1,1)="M",Tab&amp;MID($A9,2,1)&amp;Salto,IF(OR(MOD(COUNTA($A$8:$A9),4)=0,J10="")," "&amp;
                                    MID($A9,2,1)&amp;Salto,Tab))),"")</f>
        <v/>
      </c>
      <c r="K9" t="str">
        <f ca="1">IFERROR(IF(MID(T_Resultados_FTP[[#This Row],[Nudo]],4,1)="j","En la barra "&amp;MID(A8,1,2)&amp;" el momento es de 
       {"&amp;$O$42&amp;":NM:"&amp;$P$3&amp;ABS(ROUND(L9,2))&amp;":"&amp;ABS(ROUND(L9,2))*$P$51&amp;"#"&amp;Retro_MuyBien&amp;
                       $Q$3&amp;ABS(ROUND(L9,2))&amp;":"&amp;ABS(ROUND(L9,2))*$Q$51&amp;"#"&amp;Retro_Bien&amp;
                       $R$3&amp;ABS(ROUND(L9,2))&amp;":"&amp;ABS(ROUND(L9,2))*$R$51&amp;"#"&amp;Retro_Mal&amp;"} kNm, a 
       {"&amp;$O$43&amp;":NM:"&amp;$P$3&amp;ABS(ROUND(L8,0))&amp;":"&amp;ABS(ROUND(L8,2))*$P$51&amp;"#"&amp;Retro_MuyBien&amp;
                       $Q$3&amp;ABS(ROUND(L8,0))&amp;":"&amp;ABS(ROUND(L8,2))*$Q$51&amp;"#"&amp;Retro_Bien&amp;
                       $R$3&amp;ABS(ROUND(L8,0))&amp;":"&amp;ABS(ROUND(L8,2))*$R$51&amp;"#"&amp;Retro_Mal&amp;"} mm del nudo "&amp;MID(A8,1,1)&amp;". "&amp;Salto,""),"")</f>
        <v/>
      </c>
      <c r="L9" s="104" t="str">
        <f ca="1">PROBLEMA!R35</f>
        <v/>
      </c>
      <c r="M9" t="str" cm="1">
        <f t="array" aca="1" ref="M9" ca="1">IF(INDIRECT("L_"&amp;MID($A9,1,2))&lt;&gt;0,IF(  MID(A9,1,2)=MID(A10,1,2),  "N "&amp;
  IF(  C9=0,  "CERO ",         IF(  C9&gt;0,   "POS ",  "NEG " )) &amp;
  IF(  C10=0,  "CERO",          IF(  C10&gt;0,   "POS",  "NEG"  )) &amp;
  IF(AND(C9&lt;&gt;C10,C9&lt;&gt;0,C10&lt;&gt;0),    IF(C9&gt;C10, " MAX_MIN",  " MIN_MAX"),  ""),  ""),"")</f>
        <v/>
      </c>
      <c r="N9" t="str" cm="1">
        <f t="array" aca="1" ref="N9" ca="1">IF(INDIRECT("L_"&amp;MID($A9,1,2))&lt;&gt;0,IF(  MID(A9,1,2)=MID(A10,1,2),  "V "&amp;  IF(  F9=0,  "CERO ",  IF(  F9&gt;0,   "POS ",  "NEG " )) &amp;
                                                                                            IF(  F10=0,  "CERO",   IF(  F10&gt;0,   "POS",   "NEG"  )) &amp;
                                                  IF(AND(F9&lt;&gt;F10,F9&lt;&gt;0,F10&lt;&gt;0),   IF(F9&gt;F10,  " MAX_MIN", " MIN_MAX" ),  ""),  ""),"")</f>
        <v/>
      </c>
      <c r="O9" t="str" cm="1">
        <f t="array" aca="1" ref="O9" ca="1">IF(INDIRECT("L_"&amp;MID($A9,1,2))&lt;&gt;0,IF(  MID(A9,1,2)=MID(A10,1,2),  "M "&amp;
IF(   I9=0,  "CERO ",  IF(  I9&gt;0,   "POS ",  "NEG " )) &amp;
IF(   I10=0,  "CERO",  IF(  ROUND(I10,1)&gt;0,   "POS",  "NEG"  )) &amp;
IF(AND(I9&lt;&gt;I10,I9&lt;&gt;0,I10&lt;&gt;0),   IF(I9&gt;I10,  " MAX_MIN", " MIN_MAX" ),  "") &amp;
IF(OR(INDIRECT("q_"&amp;MID(A9,1,2))&lt;&gt;0,AND(OR(MID(T_Resultados_FTP[[#This Row],[Nudo]],1,2)="CD",MID(T_Resultados_FTP[[#This Row],[Nudo]],1,2)="DE"),q_CE&lt;&gt;0)),
IF(L10="", IF(ABS(F9)&lt;ABS(F10)," M_0"," M_L"),
IF(L10&gt;0,  " POS",  " NEG") &amp;  IF(L10&gt;MAX(I9:I10),  "_MAX", "_MIN" )&amp;
IF(F9=0," M_0",IF(F10=0," M_L",""))),    ""),  ""),"")</f>
        <v/>
      </c>
      <c r="P9" t="str" cm="1">
        <f t="array" aca="1" ref="P9" ca="1">IF(INDIRECT("L_"&amp;MID($A9,1,2))&lt;&gt;0,IF(MID($A9,4,1)="i","N{"&amp;MID($A9,1,1)&amp;"}N ","")&amp;
            " "&amp;ABS(C9)&amp;" "&amp;
                IF(RIGHT($A9,1)="i",IFERROR(VLOOKUP(M9,'ENLACES DIAGRAMAS'!$B:$I,4,0),No_Diagrama),
                   IF(MID($A9,1,1)="M","N{"&amp;MID($A9,2,1)&amp;"}N&lt;br&gt;",IF(OR(MOD(COUNTA($A$8:$A9),4)=0,D10=""),      " N{"&amp;MID($A9,2,1)&amp;"}N&lt;br&gt;",""))),"")</f>
        <v/>
      </c>
      <c r="Q9" t="str" cm="1">
        <f t="array" aca="1" ref="Q9" ca="1">IF(INDIRECT("L_"&amp;MID($A9,1,2))&lt;&gt;0,IF(MID($A9,4,1)="i","N{"&amp;MID($A9,1,1)&amp;"}N ","")&amp;
            " "&amp;ABS(F9)&amp;" "&amp;
                IF(RIGHT($A9,1)="i",IFERROR(VLOOKUP(N9,'ENLACES DIAGRAMAS'!$B:$I,4,0),No_Diagrama),
                   IF(MID($A9,1,1)="M","N{"&amp;MID($A9,2,1)&amp;"}N &lt;br&gt;",IF(OR(MOD(COUNTA($A$8:$A9),4)=0,G10=""),      " N{"&amp;MID($A9,2,1)&amp;"}N &lt;br&gt;",""))),"")</f>
        <v/>
      </c>
      <c r="R9" t="str" cm="1">
        <f t="array" aca="1" ref="R9" ca="1">IF(INDIRECT("L_"&amp;MID($A9,1,2))&lt;&gt;0,IF(MID($A9,4,1)="i","N{"&amp;MID($A9,1,1)&amp;"}N ","")&amp;
            " "&amp;ABS(I9)&amp;" "&amp;
                IF(RIGHT($A9,1)="i",IFERROR(VLOOKUP(O9,'ENLACES DIAGRAMAS'!$B:$I,4,0),No_Diagrama),
                   IF(MID($A9,1,1)="M","N{"&amp;MID($A9,2,1)&amp;"}N &lt;br&gt;",IF(OR(MOD(COUNTA($A$8:$A9),4)=0,J10=""),      " "&amp;"N{"&amp;MID($A9,2,1)&amp;"}N &lt;br&gt;",""))),"")</f>
        <v/>
      </c>
      <c r="S9" s="303" t="str">
        <f ca="1">IF(T_Resultados_FTP[[#This Row],[Codigo axil]]="","",ABS(T_Resultados_FTP[[#This Row],[Axiles]])&amp;" kN")</f>
        <v/>
      </c>
      <c r="T9" s="303" t="str">
        <f ca="1">IF(T_Resultados_FTP[[#This Row],[Codigo Cortante]]="","",ABS(T_Resultados_FTP[[#This Row],[Cortantes]])&amp;" kN")</f>
        <v/>
      </c>
      <c r="U9" s="303" t="str">
        <f ca="1">IF(T_Resultados_FTP[[#This Row],[Codigo Momentos]]="","",ABS(T_Resultados_FTP[[#This Row],[Momentos]])&amp;" kNm")</f>
        <v/>
      </c>
    </row>
    <row r="10" spans="1:21" hidden="1" outlineLevel="1">
      <c r="A10" s="88" t="str">
        <f>PROBLEMA!W36</f>
        <v>BC i</v>
      </c>
      <c r="B10" s="3" t="str">
        <f t="shared" si="0"/>
        <v>N BC i</v>
      </c>
      <c r="C10" s="102" cm="1">
        <f t="array" aca="1" ref="C10" ca="1">ROUND(INDIRECT(B$6&amp;"_"&amp;REPLACE($A10,3,1,"_")),2)</f>
        <v>0</v>
      </c>
      <c r="D10" t="str" cm="1">
        <f t="array" aca="1" ref="D10" ca="1">IF(INDIRECT("L_"&amp;MID($A10,1,2))&lt;&gt;0,IF(MID($A10,4,1)="i",MID($A10,1,1)&amp;Tab,"    ")&amp;
  " {"&amp;$O$45&amp;":NM:"&amp;$P$3&amp;ABS(C10)&amp;":"&amp;ABS(C10)*$P$45&amp;"#"&amp;Retro_MuyBien&amp;$Q$3&amp;ABS(C10)&amp;":"&amp;ABS(C10)*$Q$45&amp;"#"&amp;Retro_Bien&amp;$R$3&amp;ABS(C10)&amp;":"&amp;ABS(C10)*$R$45&amp;"#"&amp;Retro_Mal&amp;"}"&amp;IF(RIGHT($A10,1)="i",IFERROR(VLOOKUP(M10,'ENLACES DIAGRAMAS'!$B:$I,8,0),No_Diagrama),IF(MID($A10,1,1)="M",Tab&amp;MID($A10,2,1)&amp;Salto,IF(OR(MOD(COUNTA($A$8:$A10),4)=0,D11="")," "&amp;
                                    MID($A10,2,1)&amp;Salto,Tab))),"")</f>
        <v/>
      </c>
      <c r="E10" s="3" t="str">
        <f t="shared" si="1"/>
        <v>V BC i</v>
      </c>
      <c r="F10" s="102" cm="1">
        <f t="array" aca="1" ref="F10" ca="1">ROUND(INDIRECT(E$6&amp;"_"&amp;REPLACE($A10,3,1,"_")),2)</f>
        <v>0</v>
      </c>
      <c r="G10" t="str" cm="1">
        <f t="array" aca="1" ref="G10" ca="1">IF(INDIRECT("L_"&amp;MID($A10,1,2))&lt;&gt;0,IF(MID($A10,4,1)="i",MID($A10,1,1)&amp;Tab,"    ")&amp;
  " {"&amp;$O$45&amp;":NM:"&amp;$P$3&amp;ABS(F10)&amp;":"&amp;ABS(F10)*$P$45&amp;"#"&amp;Retro_MuyBien&amp;$Q$3&amp;ABS(F10)&amp;":"&amp;ABS(F10)*$Q$45&amp;"#"&amp;Retro_Bien&amp;$R$3&amp;ABS(F10)&amp;":"&amp;ABS(F10)*$R$45&amp;"#"&amp;Retro_Mal&amp;"}"&amp;IF(RIGHT($A10,1)="i",IFERROR(VLOOKUP(N10,'ENLACES DIAGRAMAS'!$B:$I,8,0),No_Diagrama),IF(MID($A10,1,1)="M",Tab&amp;MID($A10,2,1)&amp;Salto,IF(OR(MOD(COUNTA($A$8:$A10),4)=0,G11="")," "&amp;
                                    MID($A10,2,1)&amp;Salto,Tab))),"")</f>
        <v/>
      </c>
      <c r="H10" s="3" t="str">
        <f t="shared" si="2"/>
        <v>M BC i</v>
      </c>
      <c r="I10" s="102" cm="1">
        <f t="array" aca="1" ref="I10" ca="1">ROUND(INDIRECT(H$6&amp;"_"&amp;REPLACE($A10,3,1,"_")),2)</f>
        <v>0</v>
      </c>
      <c r="J10" t="str" cm="1">
        <f t="array" aca="1" ref="J10" ca="1">IF(INDIRECT("L_"&amp;MID($A10,1,2))&lt;&gt;0,IF(MID($A10,4,1)="i",MID($A10,1,1)&amp;Tab,"    ")&amp;
  " {"&amp;$O$45&amp;":NM:"&amp;$P$3&amp;ABS(I10)&amp;":"&amp;ABS(I10)*$P$45&amp;"#"&amp;Retro_MuyBien&amp;$Q$3&amp;ABS(I10)&amp;":"&amp;ABS(I10)*$Q$45&amp;"#"&amp;Retro_Bien&amp;$R$3&amp;ABS(I10)&amp;":"&amp;ABS(I10)*$R$45&amp;"#"&amp;Retro_Mal&amp;"}"&amp;IF(RIGHT($A10,1)="i",IFERROR(VLOOKUP(O10,'ENLACES DIAGRAMAS'!$B:$I,8,0),No_Diagrama),IF(MID($A10,1,1)="M",Tab&amp;MID($A10,2,1)&amp;Salto,IF(OR(MOD(COUNTA($A$8:$A10),4)=0,J11="")," "&amp;
                                    MID($A10,2,1)&amp;Salto,Tab))),"")</f>
        <v/>
      </c>
      <c r="K10" t="str">
        <f>IFERROR(IF(MID(T_Resultados_FTP[[#This Row],[Nudo]],4,1)="j","En la barra "&amp;MID(A9,1,2)&amp;" el momento es de 
       {"&amp;$O$42&amp;":NM:"&amp;$P$3&amp;ABS(ROUND(L10,2))&amp;":"&amp;ABS(ROUND(L10,2))*$P$51&amp;"#"&amp;Retro_MuyBien&amp;
                       $Q$3&amp;ABS(ROUND(L10,2))&amp;":"&amp;ABS(ROUND(L10,2))*$Q$51&amp;"#"&amp;Retro_Bien&amp;
                       $R$3&amp;ABS(ROUND(L10,2))&amp;":"&amp;ABS(ROUND(L10,2))*$R$51&amp;"#"&amp;Retro_Mal&amp;"} kNm, a 
       {"&amp;$O$43&amp;":NM:"&amp;$P$3&amp;ABS(ROUND(L9,0))&amp;":"&amp;ABS(ROUND(L9,2))*$P$51&amp;"#"&amp;Retro_MuyBien&amp;
                       $Q$3&amp;ABS(ROUND(L9,0))&amp;":"&amp;ABS(ROUND(L9,2))*$Q$51&amp;"#"&amp;Retro_Bien&amp;
                       $R$3&amp;ABS(ROUND(L9,0))&amp;":"&amp;ABS(ROUND(L9,2))*$R$51&amp;"#"&amp;Retro_Mal&amp;"} mm del nudo "&amp;MID(A9,1,1)&amp;". "&amp;Salto,""),"")</f>
        <v/>
      </c>
      <c r="L10" s="103" t="str">
        <f ca="1">PROBLEMA!R36</f>
        <v/>
      </c>
      <c r="M10" t="str" cm="1">
        <f t="array" aca="1" ref="M10" ca="1">IF(INDIRECT("L_"&amp;MID($A10,1,2))&lt;&gt;0,IF(  MID(A10,1,2)=MID(A11,1,2),  "N "&amp;
  IF(  C10=0,  "CERO ",         IF(  C10&gt;0,   "POS ",  "NEG " )) &amp;
  IF(  C11=0,  "CERO",          IF(  C11&gt;0,   "POS",  "NEG"  )) &amp;
  IF(AND(C10&lt;&gt;C11,C10&lt;&gt;0,C11&lt;&gt;0),    IF(C10&gt;C11, " MAX_MIN",  " MIN_MAX"),  ""),  ""),"")</f>
        <v/>
      </c>
      <c r="N10" t="str" cm="1">
        <f t="array" aca="1" ref="N10" ca="1">IF(INDIRECT("L_"&amp;MID($A10,1,2))&lt;&gt;0,IF(  MID(A10,1,2)=MID(A11,1,2),  "V "&amp;  IF(  F10=0,  "CERO ",  IF(  F10&gt;0,   "POS ",  "NEG " )) &amp;
                                                                                            IF(  F11=0,  "CERO",   IF(  F11&gt;0,   "POS",   "NEG"  )) &amp;
                                                  IF(AND(F10&lt;&gt;F11,F10&lt;&gt;0,F11&lt;&gt;0),   IF(F10&gt;F11,  " MAX_MIN", " MIN_MAX" ),  ""),  ""),"")</f>
        <v/>
      </c>
      <c r="O10" t="str" cm="1">
        <f t="array" aca="1" ref="O10" ca="1">IF(INDIRECT("L_"&amp;MID($A10,1,2))&lt;&gt;0,IF(  MID(A10,1,2)=MID(A11,1,2),  "M "&amp;
IF(   I10=0,  "CERO ",  IF(  I10&gt;0,   "POS ",  "NEG " )) &amp;
IF(   I11=0,  "CERO",  IF(  ROUND(I11,1)&gt;0,   "POS",  "NEG"  )) &amp;
IF(AND(I10&lt;&gt;I11,I10&lt;&gt;0,I11&lt;&gt;0),   IF(I10&gt;I11,  " MAX_MIN", " MIN_MAX" ),  "") &amp;
IF(OR(INDIRECT("q_"&amp;MID(A10,1,2))&lt;&gt;0,AND(OR(MID(T_Resultados_FTP[[#This Row],[Nudo]],1,2)="CD",MID(T_Resultados_FTP[[#This Row],[Nudo]],1,2)="DE"),q_CE&lt;&gt;0)),
IF(L11="", IF(ABS(F10)&lt;ABS(F11)," M_0"," M_L"),
IF(L11&gt;0,  " POS",  " NEG") &amp;  IF(L11&gt;MAX(I10:I11),  "_MAX", "_MIN" )&amp;
IF(F10=0," M_0",IF(F11=0," M_L",""))),    ""),  ""),"")</f>
        <v/>
      </c>
      <c r="P10" t="str" cm="1">
        <f t="array" aca="1" ref="P10" ca="1">IF(INDIRECT("L_"&amp;MID($A10,1,2))&lt;&gt;0,IF(MID($A10,4,1)="i","N{"&amp;MID($A10,1,1)&amp;"}N ","")&amp;
            " "&amp;ABS(C10)&amp;" "&amp;
                IF(RIGHT($A10,1)="i",IFERROR(VLOOKUP(M10,'ENLACES DIAGRAMAS'!$B:$I,4,0),No_Diagrama),
                   IF(MID($A10,1,1)="M","N{"&amp;MID($A10,2,1)&amp;"}N&lt;br&gt;",IF(OR(MOD(COUNTA($A$8:$A10),4)=0,D11=""),      " N{"&amp;MID($A10,2,1)&amp;"}N&lt;br&gt;",""))),"")</f>
        <v/>
      </c>
      <c r="Q10" t="str" cm="1">
        <f t="array" aca="1" ref="Q10" ca="1">IF(INDIRECT("L_"&amp;MID($A10,1,2))&lt;&gt;0,IF(MID($A10,4,1)="i","N{"&amp;MID($A10,1,1)&amp;"}N ","")&amp;
            " "&amp;ABS(F10)&amp;" "&amp;
                IF(RIGHT($A10,1)="i",IFERROR(VLOOKUP(N10,'ENLACES DIAGRAMAS'!$B:$I,4,0),No_Diagrama),
                   IF(MID($A10,1,1)="M","N{"&amp;MID($A10,2,1)&amp;"}N &lt;br&gt;",IF(OR(MOD(COUNTA($A$8:$A10),4)=0,G11=""),      " N{"&amp;MID($A10,2,1)&amp;"}N &lt;br&gt;",""))),"")</f>
        <v/>
      </c>
      <c r="R10" t="str" cm="1">
        <f t="array" aca="1" ref="R10" ca="1">IF(INDIRECT("L_"&amp;MID($A10,1,2))&lt;&gt;0,IF(MID($A10,4,1)="i","N{"&amp;MID($A10,1,1)&amp;"}N ","")&amp;
            " "&amp;ABS(I10)&amp;" "&amp;
                IF(RIGHT($A10,1)="i",IFERROR(VLOOKUP(O10,'ENLACES DIAGRAMAS'!$B:$I,4,0),No_Diagrama),
                   IF(MID($A10,1,1)="M","N{"&amp;MID($A10,2,1)&amp;"}N &lt;br&gt;",IF(OR(MOD(COUNTA($A$8:$A10),4)=0,J11=""),      " "&amp;"N{"&amp;MID($A10,2,1)&amp;"}N &lt;br&gt;",""))),"")</f>
        <v/>
      </c>
      <c r="S10" s="303" t="str">
        <f ca="1">IF(T_Resultados_FTP[[#This Row],[Codigo axil]]="","",ABS(T_Resultados_FTP[[#This Row],[Axiles]])&amp;" kN")</f>
        <v/>
      </c>
      <c r="T10" s="303" t="str">
        <f ca="1">IF(T_Resultados_FTP[[#This Row],[Codigo Cortante]]="","",ABS(T_Resultados_FTP[[#This Row],[Cortantes]])&amp;" kN")</f>
        <v/>
      </c>
      <c r="U10" s="303" t="str">
        <f ca="1">IF(T_Resultados_FTP[[#This Row],[Codigo Momentos]]="","",ABS(T_Resultados_FTP[[#This Row],[Momentos]])&amp;" kNm")</f>
        <v/>
      </c>
    </row>
    <row r="11" spans="1:21" hidden="1" outlineLevel="1">
      <c r="A11" s="88" t="str">
        <f>PROBLEMA!W37</f>
        <v>BC j</v>
      </c>
      <c r="B11" s="3" t="str">
        <f t="shared" si="0"/>
        <v>N BC j</v>
      </c>
      <c r="C11" s="102" cm="1">
        <f t="array" aca="1" ref="C11" ca="1">ROUND(INDIRECT(B$6&amp;"_"&amp;REPLACE($A11,3,1,"_")),2)</f>
        <v>0</v>
      </c>
      <c r="D11" t="str" cm="1">
        <f t="array" aca="1" ref="D11" ca="1">IF(INDIRECT("L_"&amp;MID($A11,1,2))&lt;&gt;0,IF(MID($A11,4,1)="i",MID($A11,1,1)&amp;Tab,"    ")&amp;
  " {"&amp;$O$45&amp;":NM:"&amp;$P$3&amp;ABS(C11)&amp;":"&amp;ABS(C11)*$P$45&amp;"#"&amp;Retro_MuyBien&amp;$Q$3&amp;ABS(C11)&amp;":"&amp;ABS(C11)*$Q$45&amp;"#"&amp;Retro_Bien&amp;$R$3&amp;ABS(C11)&amp;":"&amp;ABS(C11)*$R$45&amp;"#"&amp;Retro_Mal&amp;"}"&amp;IF(RIGHT($A11,1)="i",IFERROR(VLOOKUP(M11,'ENLACES DIAGRAMAS'!$B:$I,8,0),No_Diagrama),IF(MID($A11,1,1)="M",Tab&amp;MID($A11,2,1)&amp;Salto,IF(OR(MOD(COUNTA($A$8:$A11),4)=0,D12="")," "&amp;
                                    MID($A11,2,1)&amp;Salto,Tab))),"")</f>
        <v/>
      </c>
      <c r="E11" s="3" t="str">
        <f t="shared" si="1"/>
        <v>V BC j</v>
      </c>
      <c r="F11" s="102" cm="1">
        <f t="array" aca="1" ref="F11" ca="1">ROUND(INDIRECT(E$6&amp;"_"&amp;REPLACE($A11,3,1,"_")),2)</f>
        <v>0</v>
      </c>
      <c r="G11" t="str" cm="1">
        <f t="array" aca="1" ref="G11" ca="1">IF(INDIRECT("L_"&amp;MID($A11,1,2))&lt;&gt;0,IF(MID($A11,4,1)="i",MID($A11,1,1)&amp;Tab,"    ")&amp;
  " {"&amp;$O$45&amp;":NM:"&amp;$P$3&amp;ABS(F11)&amp;":"&amp;ABS(F11)*$P$45&amp;"#"&amp;Retro_MuyBien&amp;$Q$3&amp;ABS(F11)&amp;":"&amp;ABS(F11)*$Q$45&amp;"#"&amp;Retro_Bien&amp;$R$3&amp;ABS(F11)&amp;":"&amp;ABS(F11)*$R$45&amp;"#"&amp;Retro_Mal&amp;"}"&amp;IF(RIGHT($A11,1)="i",IFERROR(VLOOKUP(N11,'ENLACES DIAGRAMAS'!$B:$I,8,0),No_Diagrama),IF(MID($A11,1,1)="M",Tab&amp;MID($A11,2,1)&amp;Salto,IF(OR(MOD(COUNTA($A$8:$A11),4)=0,G12="")," "&amp;
                                    MID($A11,2,1)&amp;Salto,Tab))),"")</f>
        <v/>
      </c>
      <c r="H11" s="3" t="str">
        <f t="shared" si="2"/>
        <v>M BC j</v>
      </c>
      <c r="I11" s="102" cm="1">
        <f t="array" aca="1" ref="I11" ca="1">ROUND(INDIRECT(H$6&amp;"_"&amp;REPLACE($A11,3,1,"_")),2)</f>
        <v>0</v>
      </c>
      <c r="J11" t="str" cm="1">
        <f t="array" aca="1" ref="J11" ca="1">IF(INDIRECT("L_"&amp;MID($A11,1,2))&lt;&gt;0,IF(MID($A11,4,1)="i",MID($A11,1,1)&amp;Tab,"    ")&amp;
  " {"&amp;$O$45&amp;":NM:"&amp;$P$3&amp;ABS(I11)&amp;":"&amp;ABS(I11)*$P$45&amp;"#"&amp;Retro_MuyBien&amp;$Q$3&amp;ABS(I11)&amp;":"&amp;ABS(I11)*$Q$45&amp;"#"&amp;Retro_Bien&amp;$R$3&amp;ABS(I11)&amp;":"&amp;ABS(I11)*$R$45&amp;"#"&amp;Retro_Mal&amp;"}"&amp;IF(RIGHT($A11,1)="i",IFERROR(VLOOKUP(O11,'ENLACES DIAGRAMAS'!$B:$I,8,0),No_Diagrama),IF(MID($A11,1,1)="M",Tab&amp;MID($A11,2,1)&amp;Salto,IF(OR(MOD(COUNTA($A$8:$A11),4)=0,J12="")," "&amp;
                                    MID($A11,2,1)&amp;Salto,Tab))),"")</f>
        <v/>
      </c>
      <c r="K11" t="str">
        <f ca="1">IFERROR(IF(MID(T_Resultados_FTP[[#This Row],[Nudo]],4,1)="j","En la barra "&amp;MID(A10,1,2)&amp;" el momento es de 
       {"&amp;$O$42&amp;":NM:"&amp;$P$3&amp;ABS(ROUND(L11,2))&amp;":"&amp;ABS(ROUND(L11,2))*$P$51&amp;"#"&amp;Retro_MuyBien&amp;
                       $Q$3&amp;ABS(ROUND(L11,2))&amp;":"&amp;ABS(ROUND(L11,2))*$Q$51&amp;"#"&amp;Retro_Bien&amp;
                       $R$3&amp;ABS(ROUND(L11,2))&amp;":"&amp;ABS(ROUND(L11,2))*$R$51&amp;"#"&amp;Retro_Mal&amp;"} kNm, a 
       {"&amp;$O$43&amp;":NM:"&amp;$P$3&amp;ABS(ROUND(L10,0))&amp;":"&amp;ABS(ROUND(L10,2))*$P$51&amp;"#"&amp;Retro_MuyBien&amp;
                       $Q$3&amp;ABS(ROUND(L10,0))&amp;":"&amp;ABS(ROUND(L10,2))*$Q$51&amp;"#"&amp;Retro_Bien&amp;
                       $R$3&amp;ABS(ROUND(L10,0))&amp;":"&amp;ABS(ROUND(L10,2))*$R$51&amp;"#"&amp;Retro_Mal&amp;"} mm del nudo "&amp;MID(A10,1,1)&amp;". "&amp;Salto,""),"")</f>
        <v/>
      </c>
      <c r="L11" s="104" t="str">
        <f ca="1">PROBLEMA!R37</f>
        <v/>
      </c>
      <c r="M11" t="str" cm="1">
        <f t="array" aca="1" ref="M11" ca="1">IF(INDIRECT("L_"&amp;MID($A11,1,2))&lt;&gt;0,IF(  MID(A11,1,2)=MID(A12,1,2),  "N "&amp;
  IF(  C11=0,  "CERO ",         IF(  C11&gt;0,   "POS ",  "NEG " )) &amp;
  IF(  C12=0,  "CERO",          IF(  C12&gt;0,   "POS",  "NEG"  )) &amp;
  IF(AND(C11&lt;&gt;C12,C11&lt;&gt;0,C12&lt;&gt;0),    IF(C11&gt;C12, " MAX_MIN",  " MIN_MAX"),  ""),  ""),"")</f>
        <v/>
      </c>
      <c r="N11" t="str" cm="1">
        <f t="array" aca="1" ref="N11" ca="1">IF(INDIRECT("L_"&amp;MID($A11,1,2))&lt;&gt;0,IF(  MID(A11,1,2)=MID(A12,1,2),  "V "&amp;  IF(  F11=0,  "CERO ",  IF(  F11&gt;0,   "POS ",  "NEG " )) &amp;
                                                                                            IF(  F12=0,  "CERO",   IF(  F12&gt;0,   "POS",   "NEG"  )) &amp;
                                                  IF(AND(F11&lt;&gt;F12,F11&lt;&gt;0,F12&lt;&gt;0),   IF(F11&gt;F12,  " MAX_MIN", " MIN_MAX" ),  ""),  ""),"")</f>
        <v/>
      </c>
      <c r="O11" t="str" cm="1">
        <f t="array" aca="1" ref="O11" ca="1">IF(INDIRECT("L_"&amp;MID($A11,1,2))&lt;&gt;0,IF(  MID(A11,1,2)=MID(A12,1,2),  "M "&amp;
IF(   I11=0,  "CERO ",  IF(  I11&gt;0,   "POS ",  "NEG " )) &amp;
IF(   I12=0,  "CERO",  IF(  ROUND(I12,1)&gt;0,   "POS",  "NEG"  )) &amp;
IF(AND(I11&lt;&gt;I12,I11&lt;&gt;0,I12&lt;&gt;0),   IF(I11&gt;I12,  " MAX_MIN", " MIN_MAX" ),  "") &amp;
IF(OR(INDIRECT("q_"&amp;MID(A11,1,2))&lt;&gt;0,AND(OR(MID(T_Resultados_FTP[[#This Row],[Nudo]],1,2)="CD",MID(T_Resultados_FTP[[#This Row],[Nudo]],1,2)="DE"),q_CE&lt;&gt;0)),
IF(L12="", IF(ABS(F11)&lt;ABS(F12)," M_0"," M_L"),
IF(L12&gt;0,  " POS",  " NEG") &amp;  IF(L12&gt;MAX(I11:I12),  "_MAX", "_MIN" )&amp;
IF(F11=0," M_0",IF(F12=0," M_L",""))),    ""),  ""),"")</f>
        <v/>
      </c>
      <c r="P11" t="str" cm="1">
        <f t="array" aca="1" ref="P11" ca="1">IF(INDIRECT("L_"&amp;MID($A11,1,2))&lt;&gt;0,IF(MID($A11,4,1)="i","N{"&amp;MID($A11,1,1)&amp;"}N ","")&amp;
            " "&amp;ABS(C11)&amp;" "&amp;
                IF(RIGHT($A11,1)="i",IFERROR(VLOOKUP(M11,'ENLACES DIAGRAMAS'!$B:$I,4,0),No_Diagrama),
                   IF(MID($A11,1,1)="M","N{"&amp;MID($A11,2,1)&amp;"}N&lt;br&gt;",IF(OR(MOD(COUNTA($A$8:$A11),4)=0,D12=""),      " N{"&amp;MID($A11,2,1)&amp;"}N&lt;br&gt;",""))),"")</f>
        <v/>
      </c>
      <c r="Q11" t="str" cm="1">
        <f t="array" aca="1" ref="Q11" ca="1">IF(INDIRECT("L_"&amp;MID($A11,1,2))&lt;&gt;0,IF(MID($A11,4,1)="i","N{"&amp;MID($A11,1,1)&amp;"}N ","")&amp;
            " "&amp;ABS(F11)&amp;" "&amp;
                IF(RIGHT($A11,1)="i",IFERROR(VLOOKUP(N11,'ENLACES DIAGRAMAS'!$B:$I,4,0),No_Diagrama),
                   IF(MID($A11,1,1)="M","N{"&amp;MID($A11,2,1)&amp;"}N &lt;br&gt;",IF(OR(MOD(COUNTA($A$8:$A11),4)=0,G12=""),      " N{"&amp;MID($A11,2,1)&amp;"}N &lt;br&gt;",""))),"")</f>
        <v/>
      </c>
      <c r="R11" t="str" cm="1">
        <f t="array" aca="1" ref="R11" ca="1">IF(INDIRECT("L_"&amp;MID($A11,1,2))&lt;&gt;0,IF(MID($A11,4,1)="i","N{"&amp;MID($A11,1,1)&amp;"}N ","")&amp;
            " "&amp;ABS(I11)&amp;" "&amp;
                IF(RIGHT($A11,1)="i",IFERROR(VLOOKUP(O11,'ENLACES DIAGRAMAS'!$B:$I,4,0),No_Diagrama),
                   IF(MID($A11,1,1)="M","N{"&amp;MID($A11,2,1)&amp;"}N &lt;br&gt;",IF(OR(MOD(COUNTA($A$8:$A11),4)=0,J12=""),      " "&amp;"N{"&amp;MID($A11,2,1)&amp;"}N &lt;br&gt;",""))),"")</f>
        <v/>
      </c>
      <c r="S11" s="303" t="str">
        <f ca="1">IF(T_Resultados_FTP[[#This Row],[Codigo axil]]="","",ABS(T_Resultados_FTP[[#This Row],[Axiles]])&amp;" kN")</f>
        <v/>
      </c>
      <c r="T11" s="303" t="str">
        <f ca="1">IF(T_Resultados_FTP[[#This Row],[Codigo Cortante]]="","",ABS(T_Resultados_FTP[[#This Row],[Cortantes]])&amp;" kN")</f>
        <v/>
      </c>
      <c r="U11" s="303" t="str">
        <f ca="1">IF(T_Resultados_FTP[[#This Row],[Codigo Momentos]]="","",ABS(T_Resultados_FTP[[#This Row],[Momentos]])&amp;" kNm")</f>
        <v/>
      </c>
    </row>
    <row r="12" spans="1:21" hidden="1" outlineLevel="1">
      <c r="A12" s="88" t="str">
        <f>PROBLEMA!W38</f>
        <v>CD i</v>
      </c>
      <c r="B12" s="3" t="str">
        <f t="shared" si="0"/>
        <v>N CD i</v>
      </c>
      <c r="C12" s="102" cm="1">
        <f t="array" aca="1" ref="C12" ca="1">ROUND(INDIRECT(B$6&amp;"_"&amp;REPLACE($A12,3,1,"_")),2)</f>
        <v>0</v>
      </c>
      <c r="D12" s="22" t="str" cm="1">
        <f t="array" aca="1" ref="D12" ca="1">IF(INDIRECT("L_"&amp;MID($A12,1,2))&lt;&gt;0,IF(MID($A12,4,1)="i",MID($A12,1,1)&amp;Tab,"    ")&amp;
  " {"&amp;$O$45&amp;":NM:"&amp;$P$3&amp;ABS(C12)&amp;":"&amp;ABS(C12)*$P$45&amp;"#"&amp;Retro_MuyBien&amp;$Q$3&amp;ABS(C12)&amp;":"&amp;ABS(C12)*$Q$45&amp;"#"&amp;Retro_Bien&amp;$R$3&amp;ABS(C12)&amp;":"&amp;ABS(C12)*$R$45&amp;"#"&amp;Retro_Mal&amp;"}"&amp;IF(RIGHT($A12,1)="i",IFERROR(VLOOKUP(M12,'ENLACES DIAGRAMAS'!$B:$I,8,0),No_Diagrama),IF(MID($A12,1,1)="M",Tab&amp;MID($A12,2,1)&amp;Salto,IF(OR(MOD(COUNTA($A$8:$A12),4)=0,D13="")," "&amp;
                                    MID($A12,2,1)&amp;Salto,Tab))),"")</f>
        <v/>
      </c>
      <c r="E12" s="3" t="str">
        <f t="shared" si="1"/>
        <v>V CD i</v>
      </c>
      <c r="F12" s="102" cm="1">
        <f t="array" aca="1" ref="F12" ca="1">ROUND(INDIRECT(E$6&amp;"_"&amp;REPLACE($A12,3,1,"_")),2)</f>
        <v>0</v>
      </c>
      <c r="G12" t="str" cm="1">
        <f t="array" aca="1" ref="G12" ca="1">IF(INDIRECT("L_"&amp;MID($A12,1,2))&lt;&gt;0,IF(MID($A12,4,1)="i",MID($A12,1,1)&amp;Tab,"    ")&amp;
  " {"&amp;$O$45&amp;":NM:"&amp;$P$3&amp;ABS(F12)&amp;":"&amp;ABS(F12)*$P$45&amp;"#"&amp;Retro_MuyBien&amp;$Q$3&amp;ABS(F12)&amp;":"&amp;ABS(F12)*$Q$45&amp;"#"&amp;Retro_Bien&amp;$R$3&amp;ABS(F12)&amp;":"&amp;ABS(F12)*$R$45&amp;"#"&amp;Retro_Mal&amp;"}"&amp;IF(RIGHT($A12,1)="i",IFERROR(VLOOKUP(N12,'ENLACES DIAGRAMAS'!$B:$I,8,0),No_Diagrama),IF(MID($A12,1,1)="M",Tab&amp;MID($A12,2,1)&amp;Salto,IF(OR(MOD(COUNTA($A$8:$A12),4)=0,G13="")," "&amp;
                                    MID($A12,2,1)&amp;Salto,Tab))),"")</f>
        <v/>
      </c>
      <c r="H12" s="3" t="str">
        <f t="shared" si="2"/>
        <v>M CD i</v>
      </c>
      <c r="I12" s="102" cm="1">
        <f t="array" aca="1" ref="I12" ca="1">ROUND(INDIRECT(H$6&amp;"_"&amp;REPLACE($A12,3,1,"_")),2)</f>
        <v>0</v>
      </c>
      <c r="J12" t="str" cm="1">
        <f t="array" aca="1" ref="J12" ca="1">IF(INDIRECT("L_"&amp;MID($A12,1,2))&lt;&gt;0,IF(MID($A12,4,1)="i",MID($A12,1,1)&amp;Tab,"    ")&amp;
  " {"&amp;$O$45&amp;":NM:"&amp;$P$3&amp;ABS(I12)&amp;":"&amp;ABS(I12)*$P$45&amp;"#"&amp;Retro_MuyBien&amp;$Q$3&amp;ABS(I12)&amp;":"&amp;ABS(I12)*$Q$45&amp;"#"&amp;Retro_Bien&amp;$R$3&amp;ABS(I12)&amp;":"&amp;ABS(I12)*$R$45&amp;"#"&amp;Retro_Mal&amp;"}"&amp;IF(RIGHT($A12,1)="i",IFERROR(VLOOKUP(O12,'ENLACES DIAGRAMAS'!$B:$I,8,0),No_Diagrama),IF(MID($A12,1,1)="M",Tab&amp;MID($A12,2,1)&amp;Salto,IF(OR(MOD(COUNTA($A$8:$A12),4)=0,J13="")," "&amp;
                                    MID($A12,2,1)&amp;Salto,Tab))),"")</f>
        <v/>
      </c>
      <c r="K12" t="str">
        <f>IFERROR(IF(MID(T_Resultados_FTP[[#This Row],[Nudo]],4,1)="j","En la barra "&amp;MID(A11,1,2)&amp;" el momento es de 
       {"&amp;$O$42&amp;":NM:"&amp;$P$3&amp;ABS(ROUND(L12,2))&amp;":"&amp;ABS(ROUND(L12,2))*$P$51&amp;"#"&amp;Retro_MuyBien&amp;
                       $Q$3&amp;ABS(ROUND(L12,2))&amp;":"&amp;ABS(ROUND(L12,2))*$Q$51&amp;"#"&amp;Retro_Bien&amp;
                       $R$3&amp;ABS(ROUND(L12,2))&amp;":"&amp;ABS(ROUND(L12,2))*$R$51&amp;"#"&amp;Retro_Mal&amp;"} kNm, a 
       {"&amp;$O$43&amp;":NM:"&amp;$P$3&amp;ABS(ROUND(L11,0))&amp;":"&amp;ABS(ROUND(L11,2))*$P$51&amp;"#"&amp;Retro_MuyBien&amp;
                       $Q$3&amp;ABS(ROUND(L11,0))&amp;":"&amp;ABS(ROUND(L11,2))*$Q$51&amp;"#"&amp;Retro_Bien&amp;
                       $R$3&amp;ABS(ROUND(L11,0))&amp;":"&amp;ABS(ROUND(L11,2))*$R$51&amp;"#"&amp;Retro_Mal&amp;"} mm del nudo "&amp;MID(A11,1,1)&amp;". "&amp;Salto,""),"")</f>
        <v/>
      </c>
      <c r="L12" s="103" t="str">
        <f ca="1">PROBLEMA!R38</f>
        <v/>
      </c>
      <c r="M12" t="str" cm="1">
        <f t="array" aca="1" ref="M12" ca="1">IF(INDIRECT("L_"&amp;MID($A12,1,2))&lt;&gt;0,IF(  MID(A12,1,2)=MID(A13,1,2),  "N "&amp;
  IF(  C12=0,  "CERO ",         IF(  C12&gt;0,   "POS ",  "NEG " )) &amp;
  IF(  C13=0,  "CERO",          IF(  C13&gt;0,   "POS",  "NEG"  )) &amp;
  IF(AND(C12&lt;&gt;C13,C12&lt;&gt;0,C13&lt;&gt;0),    IF(C12&gt;C13, " MAX_MIN",  " MIN_MAX"),  ""),  ""),"")</f>
        <v/>
      </c>
      <c r="N12" t="str" cm="1">
        <f t="array" aca="1" ref="N12" ca="1">IF(INDIRECT("L_"&amp;MID($A12,1,2))&lt;&gt;0,IF(  MID(A12,1,2)=MID(A13,1,2),  "V "&amp;  IF(  F12=0,  "CERO ",  IF(  F12&gt;0,   "POS ",  "NEG " )) &amp;
                                                                                            IF(  F13=0,  "CERO",   IF(  F13&gt;0,   "POS",   "NEG"  )) &amp;
                                                  IF(AND(F12&lt;&gt;F13,F12&lt;&gt;0,F13&lt;&gt;0),   IF(F12&gt;F13,  " MAX_MIN", " MIN_MAX" ),  ""),  ""),"")</f>
        <v/>
      </c>
      <c r="O12" t="str" cm="1">
        <f t="array" aca="1" ref="O12" ca="1">IF(INDIRECT("L_"&amp;MID($A12,1,2))&lt;&gt;0,IF(  MID(A12,1,2)=MID(A13,1,2),  "M "&amp;
IF(   I12=0,  "CERO ",  IF(  I12&gt;0,   "POS ",  "NEG " )) &amp;
IF(   I13=0,  "CERO",  IF(  ROUND(I13,1)&gt;0,   "POS",  "NEG"  )) &amp;
IF(AND(I12&lt;&gt;I13,I12&lt;&gt;0,I13&lt;&gt;0),   IF(I12&gt;I13,  " MAX_MIN", " MIN_MAX" ),  "") &amp;
IF(OR(INDIRECT("q_"&amp;MID(A12,1,2))&lt;&gt;0,AND(OR(MID(T_Resultados_FTP[[#This Row],[Nudo]],1,2)="CD",MID(T_Resultados_FTP[[#This Row],[Nudo]],1,2)="DE"),q_CE&lt;&gt;0)),
IF(L13="", IF(ABS(F12)&lt;ABS(F13)," M_0"," M_L"),
IF(L13&gt;0,  " POS",  " NEG") &amp;  IF(L13&gt;MAX(I12:I13),  "_MAX", "_MIN" )&amp;
IF(F12=0," M_0",IF(F13=0," M_L",""))),    ""),  ""),"")</f>
        <v/>
      </c>
      <c r="P12" t="str" cm="1">
        <f t="array" aca="1" ref="P12" ca="1">IF(INDIRECT("L_"&amp;MID($A12,1,2))&lt;&gt;0,IF(MID($A12,4,1)="i","N{"&amp;MID($A12,1,1)&amp;"}N ","")&amp;
            " "&amp;ABS(C12)&amp;" "&amp;
                IF(RIGHT($A12,1)="i",IFERROR(VLOOKUP(M12,'ENLACES DIAGRAMAS'!$B:$I,4,0),No_Diagrama),
                   IF(MID($A12,1,1)="M","N{"&amp;MID($A12,2,1)&amp;"}N&lt;br&gt;",IF(OR(MOD(COUNTA($A$8:$A12),4)=0,D13=""),      " N{"&amp;MID($A12,2,1)&amp;"}N&lt;br&gt;",""))),"")</f>
        <v/>
      </c>
      <c r="Q12" t="str" cm="1">
        <f t="array" aca="1" ref="Q12" ca="1">IF(INDIRECT("L_"&amp;MID($A12,1,2))&lt;&gt;0,IF(MID($A12,4,1)="i","N{"&amp;MID($A12,1,1)&amp;"}N ","")&amp;
            " "&amp;ABS(F12)&amp;" "&amp;
                IF(RIGHT($A12,1)="i",IFERROR(VLOOKUP(N12,'ENLACES DIAGRAMAS'!$B:$I,4,0),No_Diagrama),
                   IF(MID($A12,1,1)="M","N{"&amp;MID($A12,2,1)&amp;"}N &lt;br&gt;",IF(OR(MOD(COUNTA($A$8:$A12),4)=0,G13=""),      " N{"&amp;MID($A12,2,1)&amp;"}N &lt;br&gt;",""))),"")</f>
        <v/>
      </c>
      <c r="R12" t="str" cm="1">
        <f t="array" aca="1" ref="R12" ca="1">IF(INDIRECT("L_"&amp;MID($A12,1,2))&lt;&gt;0,IF(MID($A12,4,1)="i","N{"&amp;MID($A12,1,1)&amp;"}N ","")&amp;
            " "&amp;ABS(I12)&amp;" "&amp;
                IF(RIGHT($A12,1)="i",IFERROR(VLOOKUP(O12,'ENLACES DIAGRAMAS'!$B:$I,4,0),No_Diagrama),
                   IF(MID($A12,1,1)="M","N{"&amp;MID($A12,2,1)&amp;"}N &lt;br&gt;",IF(OR(MOD(COUNTA($A$8:$A12),4)=0,J13=""),      " "&amp;"N{"&amp;MID($A12,2,1)&amp;"}N &lt;br&gt;",""))),"")</f>
        <v/>
      </c>
      <c r="S12" s="303" t="str">
        <f ca="1">IF(T_Resultados_FTP[[#This Row],[Codigo axil]]="","",ABS(T_Resultados_FTP[[#This Row],[Axiles]])&amp;" kN")</f>
        <v/>
      </c>
      <c r="T12" s="303" t="str">
        <f ca="1">IF(T_Resultados_FTP[[#This Row],[Codigo Cortante]]="","",ABS(T_Resultados_FTP[[#This Row],[Cortantes]])&amp;" kN")</f>
        <v/>
      </c>
      <c r="U12" s="303" t="str">
        <f ca="1">IF(T_Resultados_FTP[[#This Row],[Codigo Momentos]]="","",ABS(T_Resultados_FTP[[#This Row],[Momentos]])&amp;" kNm")</f>
        <v/>
      </c>
    </row>
    <row r="13" spans="1:21" hidden="1" outlineLevel="1">
      <c r="A13" s="88" t="str">
        <f>PROBLEMA!W39</f>
        <v>CD j</v>
      </c>
      <c r="B13" s="3" t="str">
        <f t="shared" si="0"/>
        <v>N CD j</v>
      </c>
      <c r="C13" s="102" cm="1">
        <f t="array" aca="1" ref="C13" ca="1">ROUND(INDIRECT(B$6&amp;"_"&amp;REPLACE($A13,3,1,"_")),2)</f>
        <v>0</v>
      </c>
      <c r="D13" t="str" cm="1">
        <f t="array" aca="1" ref="D13" ca="1">IF(INDIRECT("L_"&amp;MID($A13,1,2))&lt;&gt;0,IF(MID($A13,4,1)="i",MID($A13,1,1)&amp;Tab,"    ")&amp;
  " {"&amp;$O$45&amp;":NM:"&amp;$P$3&amp;ABS(C13)&amp;":"&amp;ABS(C13)*$P$45&amp;"#"&amp;Retro_MuyBien&amp;$Q$3&amp;ABS(C13)&amp;":"&amp;ABS(C13)*$Q$45&amp;"#"&amp;Retro_Bien&amp;$R$3&amp;ABS(C13)&amp;":"&amp;ABS(C13)*$R$45&amp;"#"&amp;Retro_Mal&amp;"}"&amp;IF(RIGHT($A13,1)="i",IFERROR(VLOOKUP(M13,'ENLACES DIAGRAMAS'!$B:$I,8,0),No_Diagrama),IF(MID($A13,1,1)="M",Tab&amp;MID($A13,2,1)&amp;Salto,IF(OR(MOD(COUNTA($A$8:$A13),4)=0,D14="")," "&amp;
                                    MID($A13,2,1)&amp;Salto,Tab))),"")</f>
        <v/>
      </c>
      <c r="E13" s="3" t="str">
        <f t="shared" si="1"/>
        <v>V CD j</v>
      </c>
      <c r="F13" s="102" cm="1">
        <f t="array" aca="1" ref="F13" ca="1">ROUND(INDIRECT(E$6&amp;"_"&amp;REPLACE($A13,3,1,"_")),2)</f>
        <v>0</v>
      </c>
      <c r="G13" t="str" cm="1">
        <f t="array" aca="1" ref="G13" ca="1">IF(INDIRECT("L_"&amp;MID($A13,1,2))&lt;&gt;0,IF(MID($A13,4,1)="i",MID($A13,1,1)&amp;Tab,"    ")&amp;
  " {"&amp;$O$45&amp;":NM:"&amp;$P$3&amp;ABS(F13)&amp;":"&amp;ABS(F13)*$P$45&amp;"#"&amp;Retro_MuyBien&amp;$Q$3&amp;ABS(F13)&amp;":"&amp;ABS(F13)*$Q$45&amp;"#"&amp;Retro_Bien&amp;$R$3&amp;ABS(F13)&amp;":"&amp;ABS(F13)*$R$45&amp;"#"&amp;Retro_Mal&amp;"}"&amp;IF(RIGHT($A13,1)="i",IFERROR(VLOOKUP(N13,'ENLACES DIAGRAMAS'!$B:$I,8,0),No_Diagrama),IF(MID($A13,1,1)="M",Tab&amp;MID($A13,2,1)&amp;Salto,IF(OR(MOD(COUNTA($A$8:$A13),4)=0,G14="")," "&amp;
                                    MID($A13,2,1)&amp;Salto,Tab))),"")</f>
        <v/>
      </c>
      <c r="H13" s="3" t="str">
        <f t="shared" si="2"/>
        <v>M CD j</v>
      </c>
      <c r="I13" s="102" cm="1">
        <f t="array" aca="1" ref="I13" ca="1">ROUND(INDIRECT(H$6&amp;"_"&amp;REPLACE($A13,3,1,"_")),2)</f>
        <v>0</v>
      </c>
      <c r="J13" t="str" cm="1">
        <f t="array" aca="1" ref="J13" ca="1">IF(INDIRECT("L_"&amp;MID($A13,1,2))&lt;&gt;0,IF(MID($A13,4,1)="i",MID($A13,1,1)&amp;Tab,"    ")&amp;
  " {"&amp;$O$45&amp;":NM:"&amp;$P$3&amp;ABS(I13)&amp;":"&amp;ABS(I13)*$P$45&amp;"#"&amp;Retro_MuyBien&amp;$Q$3&amp;ABS(I13)&amp;":"&amp;ABS(I13)*$Q$45&amp;"#"&amp;Retro_Bien&amp;$R$3&amp;ABS(I13)&amp;":"&amp;ABS(I13)*$R$45&amp;"#"&amp;Retro_Mal&amp;"}"&amp;IF(RIGHT($A13,1)="i",IFERROR(VLOOKUP(O13,'ENLACES DIAGRAMAS'!$B:$I,8,0),No_Diagrama),IF(MID($A13,1,1)="M",Tab&amp;MID($A13,2,1)&amp;Salto,IF(OR(MOD(COUNTA($A$8:$A13),4)=0,J14="")," "&amp;
                                    MID($A13,2,1)&amp;Salto,Tab))),"")</f>
        <v/>
      </c>
      <c r="K13" t="str">
        <f ca="1">IFERROR(IF(MID(T_Resultados_FTP[[#This Row],[Nudo]],4,1)="j","En la barra "&amp;MID(A12,1,2)&amp;" el momento es de 
       {"&amp;$O$42&amp;":NM:"&amp;$P$3&amp;ABS(ROUND(L13,2))&amp;":"&amp;ABS(ROUND(L13,2))*$P$51&amp;"#"&amp;Retro_MuyBien&amp;
                       $Q$3&amp;ABS(ROUND(L13,2))&amp;":"&amp;ABS(ROUND(L13,2))*$Q$51&amp;"#"&amp;Retro_Bien&amp;
                       $R$3&amp;ABS(ROUND(L13,2))&amp;":"&amp;ABS(ROUND(L13,2))*$R$51&amp;"#"&amp;Retro_Mal&amp;"} kNm, a 
       {"&amp;$O$43&amp;":NM:"&amp;$P$3&amp;ABS(ROUND(L12,0))&amp;":"&amp;ABS(ROUND(L12,2))*$P$51&amp;"#"&amp;Retro_MuyBien&amp;
                       $Q$3&amp;ABS(ROUND(L12,0))&amp;":"&amp;ABS(ROUND(L12,2))*$Q$51&amp;"#"&amp;Retro_Bien&amp;
                       $R$3&amp;ABS(ROUND(L12,0))&amp;":"&amp;ABS(ROUND(L12,2))*$R$51&amp;"#"&amp;Retro_Mal&amp;"} mm del nudo "&amp;MID(A12,1,1)&amp;". "&amp;Salto,""),"")</f>
        <v/>
      </c>
      <c r="L13" s="104" t="str">
        <f ca="1">PROBLEMA!R39</f>
        <v/>
      </c>
      <c r="M13" t="str" cm="1">
        <f t="array" aca="1" ref="M13" ca="1">IF(INDIRECT("L_"&amp;MID($A13,1,2))&lt;&gt;0,IF(  MID(A13,1,2)=MID(A14,1,2),  "N "&amp;
  IF(  C13=0,  "CERO ",         IF(  C13&gt;0,   "POS ",  "NEG " )) &amp;
  IF(  C14=0,  "CERO",          IF(  C14&gt;0,   "POS",  "NEG"  )) &amp;
  IF(AND(C13&lt;&gt;C14,C13&lt;&gt;0,C14&lt;&gt;0),    IF(C13&gt;C14, " MAX_MIN",  " MIN_MAX"),  ""),  ""),"")</f>
        <v/>
      </c>
      <c r="N13" t="str" cm="1">
        <f t="array" aca="1" ref="N13" ca="1">IF(INDIRECT("L_"&amp;MID($A13,1,2))&lt;&gt;0,IF(  MID(A13,1,2)=MID(A14,1,2),  "V "&amp;  IF(  F13=0,  "CERO ",  IF(  F13&gt;0,   "POS ",  "NEG " )) &amp;
                                                                                            IF(  F14=0,  "CERO",   IF(  F14&gt;0,   "POS",   "NEG"  )) &amp;
                                                  IF(AND(F13&lt;&gt;F14,F13&lt;&gt;0,F14&lt;&gt;0),   IF(F13&gt;F14,  " MAX_MIN", " MIN_MAX" ),  ""),  ""),"")</f>
        <v/>
      </c>
      <c r="O13" t="str" cm="1">
        <f t="array" aca="1" ref="O13" ca="1">IF(INDIRECT("L_"&amp;MID($A13,1,2))&lt;&gt;0,IF(  MID(A13,1,2)=MID(A14,1,2),  "M "&amp;
IF(   I13=0,  "CERO ",  IF(  I13&gt;0,   "POS ",  "NEG " )) &amp;
IF(   I14=0,  "CERO",  IF(  ROUND(I14,1)&gt;0,   "POS",  "NEG"  )) &amp;
IF(AND(I13&lt;&gt;I14,I13&lt;&gt;0,I14&lt;&gt;0),   IF(I13&gt;I14,  " MAX_MIN", " MIN_MAX" ),  "") &amp;
IF(OR(INDIRECT("q_"&amp;MID(A13,1,2))&lt;&gt;0,AND(OR(MID(T_Resultados_FTP[[#This Row],[Nudo]],1,2)="CD",MID(T_Resultados_FTP[[#This Row],[Nudo]],1,2)="DE"),q_CE&lt;&gt;0)),
IF(L14="", IF(ABS(F13)&lt;ABS(F14)," M_0"," M_L"),
IF(L14&gt;0,  " POS",  " NEG") &amp;  IF(L14&gt;MAX(I13:I14),  "_MAX", "_MIN" )&amp;
IF(F13=0," M_0",IF(F14=0," M_L",""))),    ""),  ""),"")</f>
        <v/>
      </c>
      <c r="P13" t="str" cm="1">
        <f t="array" aca="1" ref="P13" ca="1">IF(INDIRECT("L_"&amp;MID($A13,1,2))&lt;&gt;0,IF(MID($A13,4,1)="i","N{"&amp;MID($A13,1,1)&amp;"}N ","")&amp;
            " "&amp;ABS(C13)&amp;" "&amp;
                IF(RIGHT($A13,1)="i",IFERROR(VLOOKUP(M13,'ENLACES DIAGRAMAS'!$B:$I,4,0),No_Diagrama),
                   IF(MID($A13,1,1)="M","N{"&amp;MID($A13,2,1)&amp;"}N&lt;br&gt;",IF(OR(MOD(COUNTA($A$8:$A13),4)=0,D14=""),      " N{"&amp;MID($A13,2,1)&amp;"}N&lt;br&gt;",""))),"")</f>
        <v/>
      </c>
      <c r="Q13" t="str" cm="1">
        <f t="array" aca="1" ref="Q13" ca="1">IF(INDIRECT("L_"&amp;MID($A13,1,2))&lt;&gt;0,IF(MID($A13,4,1)="i","N{"&amp;MID($A13,1,1)&amp;"}N ","")&amp;
            " "&amp;ABS(F13)&amp;" "&amp;
                IF(RIGHT($A13,1)="i",IFERROR(VLOOKUP(N13,'ENLACES DIAGRAMAS'!$B:$I,4,0),No_Diagrama),
                   IF(MID($A13,1,1)="M","N{"&amp;MID($A13,2,1)&amp;"}N &lt;br&gt;",IF(OR(MOD(COUNTA($A$8:$A13),4)=0,G14=""),      " N{"&amp;MID($A13,2,1)&amp;"}N &lt;br&gt;",""))),"")</f>
        <v/>
      </c>
      <c r="R13" t="str" cm="1">
        <f t="array" aca="1" ref="R13" ca="1">IF(INDIRECT("L_"&amp;MID($A13,1,2))&lt;&gt;0,IF(MID($A13,4,1)="i","N{"&amp;MID($A13,1,1)&amp;"}N ","")&amp;
            " "&amp;ABS(I13)&amp;" "&amp;
                IF(RIGHT($A13,1)="i",IFERROR(VLOOKUP(O13,'ENLACES DIAGRAMAS'!$B:$I,4,0),No_Diagrama),
                   IF(MID($A13,1,1)="M","N{"&amp;MID($A13,2,1)&amp;"}N &lt;br&gt;",IF(OR(MOD(COUNTA($A$8:$A13),4)=0,J14=""),      " "&amp;"N{"&amp;MID($A13,2,1)&amp;"}N &lt;br&gt;",""))),"")</f>
        <v/>
      </c>
      <c r="S13" s="303" t="str">
        <f ca="1">IF(T_Resultados_FTP[[#This Row],[Codigo axil]]="","",ABS(T_Resultados_FTP[[#This Row],[Axiles]])&amp;" kN")</f>
        <v/>
      </c>
      <c r="T13" s="303" t="str">
        <f ca="1">IF(T_Resultados_FTP[[#This Row],[Codigo Cortante]]="","",ABS(T_Resultados_FTP[[#This Row],[Cortantes]])&amp;" kN")</f>
        <v/>
      </c>
      <c r="U13" s="303" t="str">
        <f ca="1">IF(T_Resultados_FTP[[#This Row],[Codigo Momentos]]="","",ABS(T_Resultados_FTP[[#This Row],[Momentos]])&amp;" kNm")</f>
        <v/>
      </c>
    </row>
    <row r="14" spans="1:21" hidden="1" outlineLevel="1">
      <c r="A14" s="88" t="str">
        <f>PROBLEMA!W40</f>
        <v>DE i</v>
      </c>
      <c r="B14" s="3" t="str">
        <f t="shared" si="0"/>
        <v>N DE i</v>
      </c>
      <c r="C14" s="102" cm="1">
        <f t="array" aca="1" ref="C14" ca="1">ROUND(INDIRECT(B$6&amp;"_"&amp;REPLACE($A14,3,1,"_")),2)</f>
        <v>0</v>
      </c>
      <c r="D14" t="str" cm="1">
        <f t="array" aca="1" ref="D14" ca="1">IF(INDIRECT("L_"&amp;MID($A14,1,2))&lt;&gt;0,IF(MID($A14,4,1)="i",MID($A14,1,1)&amp;Tab,"    ")&amp;
  " {"&amp;$O$45&amp;":NM:"&amp;$P$3&amp;ABS(C14)&amp;":"&amp;ABS(C14)*$P$45&amp;"#"&amp;Retro_MuyBien&amp;$Q$3&amp;ABS(C14)&amp;":"&amp;ABS(C14)*$Q$45&amp;"#"&amp;Retro_Bien&amp;$R$3&amp;ABS(C14)&amp;":"&amp;ABS(C14)*$R$45&amp;"#"&amp;Retro_Mal&amp;"}"&amp;IF(RIGHT($A14,1)="i",IFERROR(VLOOKUP(M14,'ENLACES DIAGRAMAS'!$B:$I,8,0),No_Diagrama),IF(MID($A14,1,1)="M",Tab&amp;MID($A14,2,1)&amp;Salto,IF(OR(MOD(COUNTA($A$8:$A14),4)=0,D15="")," "&amp;
                                    MID($A14,2,1)&amp;Salto,Tab))),"")</f>
        <v/>
      </c>
      <c r="E14" s="3" t="str">
        <f t="shared" si="1"/>
        <v>V DE i</v>
      </c>
      <c r="F14" s="102" cm="1">
        <f t="array" aca="1" ref="F14" ca="1">ROUND(INDIRECT(E$6&amp;"_"&amp;REPLACE($A14,3,1,"_")),2)</f>
        <v>0</v>
      </c>
      <c r="G14" t="str" cm="1">
        <f t="array" aca="1" ref="G14" ca="1">IF(INDIRECT("L_"&amp;MID($A14,1,2))&lt;&gt;0,IF(MID($A14,4,1)="i",MID($A14,1,1)&amp;Tab,"    ")&amp;
  " {"&amp;$O$45&amp;":NM:"&amp;$P$3&amp;ABS(F14)&amp;":"&amp;ABS(F14)*$P$45&amp;"#"&amp;Retro_MuyBien&amp;$Q$3&amp;ABS(F14)&amp;":"&amp;ABS(F14)*$Q$45&amp;"#"&amp;Retro_Bien&amp;$R$3&amp;ABS(F14)&amp;":"&amp;ABS(F14)*$R$45&amp;"#"&amp;Retro_Mal&amp;"}"&amp;IF(RIGHT($A14,1)="i",IFERROR(VLOOKUP(N14,'ENLACES DIAGRAMAS'!$B:$I,8,0),No_Diagrama),IF(MID($A14,1,1)="M",Tab&amp;MID($A14,2,1)&amp;Salto,IF(OR(MOD(COUNTA($A$8:$A14),4)=0,G15="")," "&amp;
                                    MID($A14,2,1)&amp;Salto,Tab))),"")</f>
        <v/>
      </c>
      <c r="H14" s="3" t="str">
        <f t="shared" si="2"/>
        <v>M DE i</v>
      </c>
      <c r="I14" s="102" cm="1">
        <f t="array" aca="1" ref="I14" ca="1">ROUND(INDIRECT(H$6&amp;"_"&amp;REPLACE($A14,3,1,"_")),2)</f>
        <v>0</v>
      </c>
      <c r="J14" t="str" cm="1">
        <f t="array" aca="1" ref="J14" ca="1">IF(INDIRECT("L_"&amp;MID($A14,1,2))&lt;&gt;0,IF(MID($A14,4,1)="i",MID($A14,1,1)&amp;Tab,"    ")&amp;
  " {"&amp;$O$45&amp;":NM:"&amp;$P$3&amp;ABS(I14)&amp;":"&amp;ABS(I14)*$P$45&amp;"#"&amp;Retro_MuyBien&amp;$Q$3&amp;ABS(I14)&amp;":"&amp;ABS(I14)*$Q$45&amp;"#"&amp;Retro_Bien&amp;$R$3&amp;ABS(I14)&amp;":"&amp;ABS(I14)*$R$45&amp;"#"&amp;Retro_Mal&amp;"}"&amp;IF(RIGHT($A14,1)="i",IFERROR(VLOOKUP(O14,'ENLACES DIAGRAMAS'!$B:$I,8,0),No_Diagrama),IF(MID($A14,1,1)="M",Tab&amp;MID($A14,2,1)&amp;Salto,IF(OR(MOD(COUNTA($A$8:$A14),4)=0,J15="")," "&amp;
                                    MID($A14,2,1)&amp;Salto,Tab))),"")</f>
        <v/>
      </c>
      <c r="K14" t="str">
        <f>IFERROR(IF(MID(T_Resultados_FTP[[#This Row],[Nudo]],4,1)="j","En la barra "&amp;MID(A13,1,2)&amp;" el momento es de 
       {"&amp;$O$42&amp;":NM:"&amp;$P$3&amp;ABS(ROUND(L14,2))&amp;":"&amp;ABS(ROUND(L14,2))*$P$51&amp;"#"&amp;Retro_MuyBien&amp;
                       $Q$3&amp;ABS(ROUND(L14,2))&amp;":"&amp;ABS(ROUND(L14,2))*$Q$51&amp;"#"&amp;Retro_Bien&amp;
                       $R$3&amp;ABS(ROUND(L14,2))&amp;":"&amp;ABS(ROUND(L14,2))*$R$51&amp;"#"&amp;Retro_Mal&amp;"} kNm, a 
       {"&amp;$O$43&amp;":NM:"&amp;$P$3&amp;ABS(ROUND(L13,0))&amp;":"&amp;ABS(ROUND(L13,2))*$P$51&amp;"#"&amp;Retro_MuyBien&amp;
                       $Q$3&amp;ABS(ROUND(L13,0))&amp;":"&amp;ABS(ROUND(L13,2))*$Q$51&amp;"#"&amp;Retro_Bien&amp;
                       $R$3&amp;ABS(ROUND(L13,0))&amp;":"&amp;ABS(ROUND(L13,2))*$R$51&amp;"#"&amp;Retro_Mal&amp;"} mm del nudo "&amp;MID(A13,1,1)&amp;". "&amp;Salto,""),"")</f>
        <v/>
      </c>
      <c r="L14" s="103" t="str">
        <f ca="1">PROBLEMA!R40</f>
        <v/>
      </c>
      <c r="M14" t="str" cm="1">
        <f t="array" aca="1" ref="M14" ca="1">IF(INDIRECT("L_"&amp;MID($A14,1,2))&lt;&gt;0,IF(  MID(A14,1,2)=MID(A15,1,2),  "N "&amp;
  IF(  C14=0,  "CERO ",         IF(  C14&gt;0,   "POS ",  "NEG " )) &amp;
  IF(  C15=0,  "CERO",          IF(  C15&gt;0,   "POS",  "NEG"  )) &amp;
  IF(AND(C14&lt;&gt;C15,C14&lt;&gt;0,C15&lt;&gt;0),    IF(C14&gt;C15, " MAX_MIN",  " MIN_MAX"),  ""),  ""),"")</f>
        <v/>
      </c>
      <c r="N14" t="str" cm="1">
        <f t="array" aca="1" ref="N14" ca="1">IF(INDIRECT("L_"&amp;MID($A14,1,2))&lt;&gt;0,IF(  MID(A14,1,2)=MID(A15,1,2),  "V "&amp;  IF(  F14=0,  "CERO ",  IF(  F14&gt;0,   "POS ",  "NEG " )) &amp;
                                                                                            IF(  F15=0,  "CERO",   IF(  F15&gt;0,   "POS",   "NEG"  )) &amp;
                                                  IF(AND(F14&lt;&gt;F15,F14&lt;&gt;0,F15&lt;&gt;0),   IF(F14&gt;F15,  " MAX_MIN", " MIN_MAX" ),  ""),  ""),"")</f>
        <v/>
      </c>
      <c r="O14" t="str" cm="1">
        <f t="array" aca="1" ref="O14" ca="1">IF(INDIRECT("L_"&amp;MID($A14,1,2))&lt;&gt;0,IF(  MID(A14,1,2)=MID(A15,1,2),  "M "&amp;
IF(   I14=0,  "CERO ",  IF(  I14&gt;0,   "POS ",  "NEG " )) &amp;
IF(   I15=0,  "CERO",  IF(  ROUND(I15,1)&gt;0,   "POS",  "NEG"  )) &amp;
IF(AND(I14&lt;&gt;I15,I14&lt;&gt;0,I15&lt;&gt;0),   IF(I14&gt;I15,  " MAX_MIN", " MIN_MAX" ),  "") &amp;
IF(OR(INDIRECT("q_"&amp;MID(A14,1,2))&lt;&gt;0,AND(OR(MID(T_Resultados_FTP[[#This Row],[Nudo]],1,2)="CD",MID(T_Resultados_FTP[[#This Row],[Nudo]],1,2)="DE"),q_CE&lt;&gt;0)),
IF(L15="", IF(ABS(F14)&lt;ABS(F15)," M_0"," M_L"),
IF(L15&gt;0,  " POS",  " NEG") &amp;  IF(L15&gt;MAX(I14:I15),  "_MAX", "_MIN" )&amp;
IF(F14=0," M_0",IF(F15=0," M_L",""))),    ""),  ""),"")</f>
        <v/>
      </c>
      <c r="P14" t="str" cm="1">
        <f t="array" aca="1" ref="P14" ca="1">IF(INDIRECT("L_"&amp;MID($A14,1,2))&lt;&gt;0,IF(MID($A14,4,1)="i","N{"&amp;MID($A14,1,1)&amp;"}N ","")&amp;
            " "&amp;ABS(C14)&amp;" "&amp;
                IF(RIGHT($A14,1)="i",IFERROR(VLOOKUP(M14,'ENLACES DIAGRAMAS'!$B:$I,4,0),No_Diagrama),
                   IF(MID($A14,1,1)="M","N{"&amp;MID($A14,2,1)&amp;"}N&lt;br&gt;",IF(OR(MOD(COUNTA($A$8:$A14),4)=0,D15=""),      " N{"&amp;MID($A14,2,1)&amp;"}N&lt;br&gt;",""))),"")</f>
        <v/>
      </c>
      <c r="Q14" t="str" cm="1">
        <f t="array" aca="1" ref="Q14" ca="1">IF(INDIRECT("L_"&amp;MID($A14,1,2))&lt;&gt;0,IF(MID($A14,4,1)="i","N{"&amp;MID($A14,1,1)&amp;"}N ","")&amp;
            " "&amp;ABS(F14)&amp;" "&amp;
                IF(RIGHT($A14,1)="i",IFERROR(VLOOKUP(N14,'ENLACES DIAGRAMAS'!$B:$I,4,0),No_Diagrama),
                   IF(MID($A14,1,1)="M","N{"&amp;MID($A14,2,1)&amp;"}N &lt;br&gt;",IF(OR(MOD(COUNTA($A$8:$A14),4)=0,G15=""),      " N{"&amp;MID($A14,2,1)&amp;"}N &lt;br&gt;",""))),"")</f>
        <v/>
      </c>
      <c r="R14" t="str" cm="1">
        <f t="array" aca="1" ref="R14" ca="1">IF(INDIRECT("L_"&amp;MID($A14,1,2))&lt;&gt;0,IF(MID($A14,4,1)="i","N{"&amp;MID($A14,1,1)&amp;"}N ","")&amp;
            " "&amp;ABS(I14)&amp;" "&amp;
                IF(RIGHT($A14,1)="i",IFERROR(VLOOKUP(O14,'ENLACES DIAGRAMAS'!$B:$I,4,0),No_Diagrama),
                   IF(MID($A14,1,1)="M","N{"&amp;MID($A14,2,1)&amp;"}N &lt;br&gt;",IF(OR(MOD(COUNTA($A$8:$A14),4)=0,J15=""),      " "&amp;"N{"&amp;MID($A14,2,1)&amp;"}N &lt;br&gt;",""))),"")</f>
        <v/>
      </c>
      <c r="S14" s="303" t="str">
        <f ca="1">IF(T_Resultados_FTP[[#This Row],[Codigo axil]]="","",ABS(T_Resultados_FTP[[#This Row],[Axiles]])&amp;" kN")</f>
        <v/>
      </c>
      <c r="T14" s="303" t="str">
        <f ca="1">IF(T_Resultados_FTP[[#This Row],[Codigo Cortante]]="","",ABS(T_Resultados_FTP[[#This Row],[Cortantes]])&amp;" kN")</f>
        <v/>
      </c>
      <c r="U14" s="303" t="str">
        <f ca="1">IF(T_Resultados_FTP[[#This Row],[Codigo Momentos]]="","",ABS(T_Resultados_FTP[[#This Row],[Momentos]])&amp;" kNm")</f>
        <v/>
      </c>
    </row>
    <row r="15" spans="1:21" hidden="1" outlineLevel="1">
      <c r="A15" s="88" t="str">
        <f>PROBLEMA!W41</f>
        <v>DE j</v>
      </c>
      <c r="B15" s="3" t="str">
        <f t="shared" si="0"/>
        <v>N DE j</v>
      </c>
      <c r="C15" s="102" cm="1">
        <f t="array" aca="1" ref="C15" ca="1">ROUND(INDIRECT(B$6&amp;"_"&amp;REPLACE($A15,3,1,"_")),2)</f>
        <v>0</v>
      </c>
      <c r="D15" t="str" cm="1">
        <f t="array" aca="1" ref="D15" ca="1">IF(INDIRECT("L_"&amp;MID($A15,1,2))&lt;&gt;0,IF(MID($A15,4,1)="i",MID($A15,1,1)&amp;Tab,"    ")&amp;
  " {"&amp;$O$45&amp;":NM:"&amp;$P$3&amp;ABS(C15)&amp;":"&amp;ABS(C15)*$P$45&amp;"#"&amp;Retro_MuyBien&amp;$Q$3&amp;ABS(C15)&amp;":"&amp;ABS(C15)*$Q$45&amp;"#"&amp;Retro_Bien&amp;$R$3&amp;ABS(C15)&amp;":"&amp;ABS(C15)*$R$45&amp;"#"&amp;Retro_Mal&amp;"}"&amp;IF(RIGHT($A15,1)="i",IFERROR(VLOOKUP(M15,'ENLACES DIAGRAMAS'!$B:$I,8,0),No_Diagrama),IF(MID($A15,1,1)="M",Tab&amp;MID($A15,2,1)&amp;Salto,IF(OR(MOD(COUNTA($A$8:$A15),4)=0,D16="")," "&amp;
                                    MID($A15,2,1)&amp;Salto,Tab))),"")</f>
        <v/>
      </c>
      <c r="E15" s="3" t="str">
        <f t="shared" si="1"/>
        <v>V DE j</v>
      </c>
      <c r="F15" s="102" cm="1">
        <f t="array" aca="1" ref="F15" ca="1">ROUND(INDIRECT(E$6&amp;"_"&amp;REPLACE($A15,3,1,"_")),2)</f>
        <v>0</v>
      </c>
      <c r="G15" t="str" cm="1">
        <f t="array" aca="1" ref="G15" ca="1">IF(INDIRECT("L_"&amp;MID($A15,1,2))&lt;&gt;0,IF(MID($A15,4,1)="i",MID($A15,1,1)&amp;Tab,"    ")&amp;
  " {"&amp;$O$45&amp;":NM:"&amp;$P$3&amp;ABS(F15)&amp;":"&amp;ABS(F15)*$P$45&amp;"#"&amp;Retro_MuyBien&amp;$Q$3&amp;ABS(F15)&amp;":"&amp;ABS(F15)*$Q$45&amp;"#"&amp;Retro_Bien&amp;$R$3&amp;ABS(F15)&amp;":"&amp;ABS(F15)*$R$45&amp;"#"&amp;Retro_Mal&amp;"}"&amp;IF(RIGHT($A15,1)="i",IFERROR(VLOOKUP(N15,'ENLACES DIAGRAMAS'!$B:$I,8,0),No_Diagrama),IF(MID($A15,1,1)="M",Tab&amp;MID($A15,2,1)&amp;Salto,IF(OR(MOD(COUNTA($A$8:$A15),4)=0,G16="")," "&amp;
                                    MID($A15,2,1)&amp;Salto,Tab))),"")</f>
        <v/>
      </c>
      <c r="H15" s="3" t="str">
        <f t="shared" si="2"/>
        <v>M DE j</v>
      </c>
      <c r="I15" s="102" cm="1">
        <f t="array" aca="1" ref="I15" ca="1">ROUND(INDIRECT(H$6&amp;"_"&amp;REPLACE($A15,3,1,"_")),2)</f>
        <v>0</v>
      </c>
      <c r="J15" t="str" cm="1">
        <f t="array" aca="1" ref="J15" ca="1">IF(INDIRECT("L_"&amp;MID($A15,1,2))&lt;&gt;0,IF(MID($A15,4,1)="i",MID($A15,1,1)&amp;Tab,"    ")&amp;
  " {"&amp;$O$45&amp;":NM:"&amp;$P$3&amp;ABS(I15)&amp;":"&amp;ABS(I15)*$P$45&amp;"#"&amp;Retro_MuyBien&amp;$Q$3&amp;ABS(I15)&amp;":"&amp;ABS(I15)*$Q$45&amp;"#"&amp;Retro_Bien&amp;$R$3&amp;ABS(I15)&amp;":"&amp;ABS(I15)*$R$45&amp;"#"&amp;Retro_Mal&amp;"}"&amp;IF(RIGHT($A15,1)="i",IFERROR(VLOOKUP(O15,'ENLACES DIAGRAMAS'!$B:$I,8,0),No_Diagrama),IF(MID($A15,1,1)="M",Tab&amp;MID($A15,2,1)&amp;Salto,IF(OR(MOD(COUNTA($A$8:$A15),4)=0,J16="")," "&amp;
                                    MID($A15,2,1)&amp;Salto,Tab))),"")</f>
        <v/>
      </c>
      <c r="K15" t="str">
        <f ca="1">IFERROR(IF(MID(T_Resultados_FTP[[#This Row],[Nudo]],4,1)="j","En la barra "&amp;MID(A14,1,2)&amp;" el momento es de 
       {"&amp;$O$42&amp;":NM:"&amp;$P$3&amp;ABS(ROUND(L15,2))&amp;":"&amp;ABS(ROUND(L15,2))*$P$51&amp;"#"&amp;Retro_MuyBien&amp;
                       $Q$3&amp;ABS(ROUND(L15,2))&amp;":"&amp;ABS(ROUND(L15,2))*$Q$51&amp;"#"&amp;Retro_Bien&amp;
                       $R$3&amp;ABS(ROUND(L15,2))&amp;":"&amp;ABS(ROUND(L15,2))*$R$51&amp;"#"&amp;Retro_Mal&amp;"} kNm, a 
       {"&amp;$O$43&amp;":NM:"&amp;$P$3&amp;ABS(ROUND(L14,0))&amp;":"&amp;ABS(ROUND(L14,2))*$P$51&amp;"#"&amp;Retro_MuyBien&amp;
                       $Q$3&amp;ABS(ROUND(L14,0))&amp;":"&amp;ABS(ROUND(L14,2))*$Q$51&amp;"#"&amp;Retro_Bien&amp;
                       $R$3&amp;ABS(ROUND(L14,0))&amp;":"&amp;ABS(ROUND(L14,2))*$R$51&amp;"#"&amp;Retro_Mal&amp;"} mm del nudo "&amp;MID(A14,1,1)&amp;". "&amp;Salto,""),"")</f>
        <v/>
      </c>
      <c r="L15" s="104" t="str">
        <f ca="1">PROBLEMA!R41</f>
        <v/>
      </c>
      <c r="M15" t="str" cm="1">
        <f t="array" aca="1" ref="M15" ca="1">IF(INDIRECT("L_"&amp;MID($A15,1,2))&lt;&gt;0,IF(  MID(A15,1,2)=MID(A16,1,2),  "N "&amp;
  IF(  C15=0,  "CERO ",         IF(  C15&gt;0,   "POS ",  "NEG " )) &amp;
  IF(  C16=0,  "CERO",          IF(  C16&gt;0,   "POS",  "NEG"  )) &amp;
  IF(AND(C15&lt;&gt;C16,C15&lt;&gt;0,C16&lt;&gt;0),    IF(C15&gt;C16, " MAX_MIN",  " MIN_MAX"),  ""),  ""),"")</f>
        <v/>
      </c>
      <c r="N15" t="str" cm="1">
        <f t="array" aca="1" ref="N15" ca="1">IF(INDIRECT("L_"&amp;MID($A15,1,2))&lt;&gt;0,IF(  MID(A15,1,2)=MID(A16,1,2),  "V "&amp;  IF(  F15=0,  "CERO ",  IF(  F15&gt;0,   "POS ",  "NEG " )) &amp;
                                                                                            IF(  F16=0,  "CERO",   IF(  F16&gt;0,   "POS",   "NEG"  )) &amp;
                                                  IF(AND(F15&lt;&gt;F16,F15&lt;&gt;0,F16&lt;&gt;0),   IF(F15&gt;F16,  " MAX_MIN", " MIN_MAX" ),  ""),  ""),"")</f>
        <v/>
      </c>
      <c r="O15" t="str" cm="1">
        <f t="array" aca="1" ref="O15" ca="1">IF(INDIRECT("L_"&amp;MID($A15,1,2))&lt;&gt;0,IF(  MID(A15,1,2)=MID(A16,1,2),  "M "&amp;
IF(   I15=0,  "CERO ",  IF(  I15&gt;0,   "POS ",  "NEG " )) &amp;
IF(   I16=0,  "CERO",  IF(  ROUND(I16,1)&gt;0,   "POS",  "NEG"  )) &amp;
IF(AND(I15&lt;&gt;I16,I15&lt;&gt;0,I16&lt;&gt;0),   IF(I15&gt;I16,  " MAX_MIN", " MIN_MAX" ),  "") &amp;
IF(OR(INDIRECT("q_"&amp;MID(A15,1,2))&lt;&gt;0,AND(OR(MID(T_Resultados_FTP[[#This Row],[Nudo]],1,2)="CD",MID(T_Resultados_FTP[[#This Row],[Nudo]],1,2)="DE"),q_CE&lt;&gt;0)),
IF(L16="", IF(ABS(F15)&lt;ABS(F16)," M_0"," M_L"),
IF(L16&gt;0,  " POS",  " NEG") &amp;  IF(L16&gt;MAX(I15:I16),  "_MAX", "_MIN" )&amp;
IF(F15=0," M_0",IF(F16=0," M_L",""))),    ""),  ""),"")</f>
        <v/>
      </c>
      <c r="P15" t="str" cm="1">
        <f t="array" aca="1" ref="P15" ca="1">IF(INDIRECT("L_"&amp;MID($A15,1,2))&lt;&gt;0,IF(MID($A15,4,1)="i","N{"&amp;MID($A15,1,1)&amp;"}N ","")&amp;
            " "&amp;ABS(C15)&amp;" "&amp;
                IF(RIGHT($A15,1)="i",IFERROR(VLOOKUP(M15,'ENLACES DIAGRAMAS'!$B:$I,4,0),No_Diagrama),
                   IF(MID($A15,1,1)="M","N{"&amp;MID($A15,2,1)&amp;"}N&lt;br&gt;",IF(OR(MOD(COUNTA($A$8:$A15),4)=0,D16=""),      " N{"&amp;MID($A15,2,1)&amp;"}N&lt;br&gt;",""))),"")</f>
        <v/>
      </c>
      <c r="Q15" t="str" cm="1">
        <f t="array" aca="1" ref="Q15" ca="1">IF(INDIRECT("L_"&amp;MID($A15,1,2))&lt;&gt;0,IF(MID($A15,4,1)="i","N{"&amp;MID($A15,1,1)&amp;"}N ","")&amp;
            " "&amp;ABS(F15)&amp;" "&amp;
                IF(RIGHT($A15,1)="i",IFERROR(VLOOKUP(N15,'ENLACES DIAGRAMAS'!$B:$I,4,0),No_Diagrama),
                   IF(MID($A15,1,1)="M","N{"&amp;MID($A15,2,1)&amp;"}N &lt;br&gt;",IF(OR(MOD(COUNTA($A$8:$A15),4)=0,G16=""),      " N{"&amp;MID($A15,2,1)&amp;"}N &lt;br&gt;",""))),"")</f>
        <v/>
      </c>
      <c r="R15" t="str" cm="1">
        <f t="array" aca="1" ref="R15" ca="1">IF(INDIRECT("L_"&amp;MID($A15,1,2))&lt;&gt;0,IF(MID($A15,4,1)="i","N{"&amp;MID($A15,1,1)&amp;"}N ","")&amp;
            " "&amp;ABS(I15)&amp;" "&amp;
                IF(RIGHT($A15,1)="i",IFERROR(VLOOKUP(O15,'ENLACES DIAGRAMAS'!$B:$I,4,0),No_Diagrama),
                   IF(MID($A15,1,1)="M","N{"&amp;MID($A15,2,1)&amp;"}N &lt;br&gt;",IF(OR(MOD(COUNTA($A$8:$A15),4)=0,J16=""),      " "&amp;"N{"&amp;MID($A15,2,1)&amp;"}N &lt;br&gt;",""))),"")</f>
        <v/>
      </c>
      <c r="S15" s="303" t="str">
        <f ca="1">IF(T_Resultados_FTP[[#This Row],[Codigo axil]]="","",ABS(T_Resultados_FTP[[#This Row],[Axiles]])&amp;" kN")</f>
        <v/>
      </c>
      <c r="T15" s="303" t="str">
        <f ca="1">IF(T_Resultados_FTP[[#This Row],[Codigo Cortante]]="","",ABS(T_Resultados_FTP[[#This Row],[Cortantes]])&amp;" kN")</f>
        <v/>
      </c>
      <c r="U15" s="303" t="str">
        <f ca="1">IF(T_Resultados_FTP[[#This Row],[Codigo Momentos]]="","",ABS(T_Resultados_FTP[[#This Row],[Momentos]])&amp;" kNm")</f>
        <v/>
      </c>
    </row>
    <row r="16" spans="1:21" hidden="1" outlineLevel="1">
      <c r="A16" s="88" t="str">
        <f>PROBLEMA!W42</f>
        <v>EF i</v>
      </c>
      <c r="B16" s="3" t="str">
        <f t="shared" si="0"/>
        <v>N EF i</v>
      </c>
      <c r="C16" s="102" cm="1">
        <f t="array" aca="1" ref="C16" ca="1">ROUND(INDIRECT(B$6&amp;"_"&amp;REPLACE($A16,3,1,"_")),2)</f>
        <v>0</v>
      </c>
      <c r="D16" t="str" cm="1">
        <f t="array" aca="1" ref="D16" ca="1">IF(INDIRECT("L_"&amp;MID($A16,1,2))&lt;&gt;0,IF(MID($A16,4,1)="i",MID($A16,1,1)&amp;Tab,"    ")&amp;
  " {"&amp;$O$45&amp;":NM:"&amp;$P$3&amp;ABS(C16)&amp;":"&amp;ABS(C16)*$P$45&amp;"#"&amp;Retro_MuyBien&amp;$Q$3&amp;ABS(C16)&amp;":"&amp;ABS(C16)*$Q$45&amp;"#"&amp;Retro_Bien&amp;$R$3&amp;ABS(C16)&amp;":"&amp;ABS(C16)*$R$45&amp;"#"&amp;Retro_Mal&amp;"}"&amp;IF(RIGHT($A16,1)="i",IFERROR(VLOOKUP(M16,'ENLACES DIAGRAMAS'!$B:$I,8,0),No_Diagrama),IF(MID($A16,1,1)="M",Tab&amp;MID($A16,2,1)&amp;Salto,IF(OR(MOD(COUNTA($A$8:$A16),4)=0,D17="")," "&amp;
                                    MID($A16,2,1)&amp;Salto,Tab))),"")</f>
        <v/>
      </c>
      <c r="E16" s="3" t="str">
        <f t="shared" si="1"/>
        <v>V EF i</v>
      </c>
      <c r="F16" s="102" cm="1">
        <f t="array" aca="1" ref="F16" ca="1">ROUND(INDIRECT(E$6&amp;"_"&amp;REPLACE($A16,3,1,"_")),2)</f>
        <v>0</v>
      </c>
      <c r="G16" t="str" cm="1">
        <f t="array" aca="1" ref="G16" ca="1">IF(INDIRECT("L_"&amp;MID($A16,1,2))&lt;&gt;0,IF(MID($A16,4,1)="i",MID($A16,1,1)&amp;Tab,"    ")&amp;
  " {"&amp;$O$45&amp;":NM:"&amp;$P$3&amp;ABS(F16)&amp;":"&amp;ABS(F16)*$P$45&amp;"#"&amp;Retro_MuyBien&amp;$Q$3&amp;ABS(F16)&amp;":"&amp;ABS(F16)*$Q$45&amp;"#"&amp;Retro_Bien&amp;$R$3&amp;ABS(F16)&amp;":"&amp;ABS(F16)*$R$45&amp;"#"&amp;Retro_Mal&amp;"}"&amp;IF(RIGHT($A16,1)="i",IFERROR(VLOOKUP(N16,'ENLACES DIAGRAMAS'!$B:$I,8,0),No_Diagrama),IF(MID($A16,1,1)="M",Tab&amp;MID($A16,2,1)&amp;Salto,IF(OR(MOD(COUNTA($A$8:$A16),4)=0,G17="")," "&amp;
                                    MID($A16,2,1)&amp;Salto,Tab))),"")</f>
        <v/>
      </c>
      <c r="H16" s="3" t="str">
        <f t="shared" si="2"/>
        <v>M EF i</v>
      </c>
      <c r="I16" s="102" cm="1">
        <f t="array" aca="1" ref="I16" ca="1">ROUND(INDIRECT(H$6&amp;"_"&amp;REPLACE($A16,3,1,"_")),2)</f>
        <v>0</v>
      </c>
      <c r="J16" t="str" cm="1">
        <f t="array" aca="1" ref="J16" ca="1">IF(INDIRECT("L_"&amp;MID($A16,1,2))&lt;&gt;0,IF(MID($A16,4,1)="i",MID($A16,1,1)&amp;Tab,"    ")&amp;
  " {"&amp;$O$45&amp;":NM:"&amp;$P$3&amp;ABS(I16)&amp;":"&amp;ABS(I16)*$P$45&amp;"#"&amp;Retro_MuyBien&amp;$Q$3&amp;ABS(I16)&amp;":"&amp;ABS(I16)*$Q$45&amp;"#"&amp;Retro_Bien&amp;$R$3&amp;ABS(I16)&amp;":"&amp;ABS(I16)*$R$45&amp;"#"&amp;Retro_Mal&amp;"}"&amp;IF(RIGHT($A16,1)="i",IFERROR(VLOOKUP(O16,'ENLACES DIAGRAMAS'!$B:$I,8,0),No_Diagrama),IF(MID($A16,1,1)="M",Tab&amp;MID($A16,2,1)&amp;Salto,IF(OR(MOD(COUNTA($A$8:$A16),4)=0,J17="")," "&amp;
                                    MID($A16,2,1)&amp;Salto,Tab))),"")</f>
        <v/>
      </c>
      <c r="K16" t="str">
        <f>IFERROR(IF(MID(T_Resultados_FTP[[#This Row],[Nudo]],4,1)="j","En la barra "&amp;MID(A15,1,2)&amp;" el momento es de 
       {"&amp;$O$42&amp;":NM:"&amp;$P$3&amp;ABS(ROUND(L16,2))&amp;":"&amp;ABS(ROUND(L16,2))*$P$51&amp;"#"&amp;Retro_MuyBien&amp;
                       $Q$3&amp;ABS(ROUND(L16,2))&amp;":"&amp;ABS(ROUND(L16,2))*$Q$51&amp;"#"&amp;Retro_Bien&amp;
                       $R$3&amp;ABS(ROUND(L16,2))&amp;":"&amp;ABS(ROUND(L16,2))*$R$51&amp;"#"&amp;Retro_Mal&amp;"} kNm, a 
       {"&amp;$O$43&amp;":NM:"&amp;$P$3&amp;ABS(ROUND(L15,0))&amp;":"&amp;ABS(ROUND(L15,2))*$P$51&amp;"#"&amp;Retro_MuyBien&amp;
                       $Q$3&amp;ABS(ROUND(L15,0))&amp;":"&amp;ABS(ROUND(L15,2))*$Q$51&amp;"#"&amp;Retro_Bien&amp;
                       $R$3&amp;ABS(ROUND(L15,0))&amp;":"&amp;ABS(ROUND(L15,2))*$R$51&amp;"#"&amp;Retro_Mal&amp;"} mm del nudo "&amp;MID(A15,1,1)&amp;". "&amp;Salto,""),"")</f>
        <v/>
      </c>
      <c r="L16" s="103" t="str">
        <f ca="1">PROBLEMA!R42</f>
        <v/>
      </c>
      <c r="M16" t="str" cm="1">
        <f t="array" aca="1" ref="M16" ca="1">IF(INDIRECT("L_"&amp;MID($A16,1,2))&lt;&gt;0,IF(  MID(A16,1,2)=MID(A17,1,2),  "N "&amp;
  IF(  C16=0,  "CERO ",         IF(  C16&gt;0,   "POS ",  "NEG " )) &amp;
  IF(  C17=0,  "CERO",          IF(  C17&gt;0,   "POS",  "NEG"  )) &amp;
  IF(AND(C16&lt;&gt;C17,C16&lt;&gt;0,C17&lt;&gt;0),    IF(C16&gt;C17, " MAX_MIN",  " MIN_MAX"),  ""),  ""),"")</f>
        <v/>
      </c>
      <c r="N16" t="str" cm="1">
        <f t="array" aca="1" ref="N16" ca="1">IF(INDIRECT("L_"&amp;MID($A16,1,2))&lt;&gt;0,IF(  MID(A16,1,2)=MID(A17,1,2),  "V "&amp;  IF(  F16=0,  "CERO ",  IF(  F16&gt;0,   "POS ",  "NEG " )) &amp;
                                                                                            IF(  F17=0,  "CERO",   IF(  F17&gt;0,   "POS",   "NEG"  )) &amp;
                                                  IF(AND(F16&lt;&gt;F17,F16&lt;&gt;0,F17&lt;&gt;0),   IF(F16&gt;F17,  " MAX_MIN", " MIN_MAX" ),  ""),  ""),"")</f>
        <v/>
      </c>
      <c r="O16" t="str" cm="1">
        <f t="array" aca="1" ref="O16" ca="1">IF(INDIRECT("L_"&amp;MID($A16,1,2))&lt;&gt;0,IF(  MID(A16,1,2)=MID(A17,1,2),  "M "&amp;
IF(   I16=0,  "CERO ",  IF(  I16&gt;0,   "POS ",  "NEG " )) &amp;
IF(   I17=0,  "CERO",  IF(  ROUND(I17,1)&gt;0,   "POS",  "NEG"  )) &amp;
IF(AND(I16&lt;&gt;I17,I16&lt;&gt;0,I17&lt;&gt;0),   IF(I16&gt;I17,  " MAX_MIN", " MIN_MAX" ),  "") &amp;
IF(OR(INDIRECT("q_"&amp;MID(A16,1,2))&lt;&gt;0,AND(OR(MID(T_Resultados_FTP[[#This Row],[Nudo]],1,2)="CD",MID(T_Resultados_FTP[[#This Row],[Nudo]],1,2)="DE"),q_CE&lt;&gt;0)),
IF(L17="", IF(ABS(F16)&lt;ABS(F17)," M_0"," M_L"),
IF(L17&gt;0,  " POS",  " NEG") &amp;  IF(L17&gt;MAX(I16:I17),  "_MAX", "_MIN" )&amp;
IF(F16=0," M_0",IF(F17=0," M_L",""))),    ""),  ""),"")</f>
        <v/>
      </c>
      <c r="P16" t="str" cm="1">
        <f t="array" aca="1" ref="P16" ca="1">IF(INDIRECT("L_"&amp;MID($A16,1,2))&lt;&gt;0,IF(MID($A16,4,1)="i","N{"&amp;MID($A16,1,1)&amp;"}N ","")&amp;
            " "&amp;ABS(C16)&amp;" "&amp;
                IF(RIGHT($A16,1)="i",IFERROR(VLOOKUP(M16,'ENLACES DIAGRAMAS'!$B:$I,4,0),No_Diagrama),
                   IF(MID($A16,1,1)="M","N{"&amp;MID($A16,2,1)&amp;"}N&lt;br&gt;",IF(OR(MOD(COUNTA($A$8:$A16),4)=0,D17=""),      " N{"&amp;MID($A16,2,1)&amp;"}N&lt;br&gt;",""))),"")</f>
        <v/>
      </c>
      <c r="Q16" t="str" cm="1">
        <f t="array" aca="1" ref="Q16" ca="1">IF(INDIRECT("L_"&amp;MID($A16,1,2))&lt;&gt;0,IF(MID($A16,4,1)="i","N{"&amp;MID($A16,1,1)&amp;"}N ","")&amp;
            " "&amp;ABS(F16)&amp;" "&amp;
                IF(RIGHT($A16,1)="i",IFERROR(VLOOKUP(N16,'ENLACES DIAGRAMAS'!$B:$I,4,0),No_Diagrama),
                   IF(MID($A16,1,1)="M","N{"&amp;MID($A16,2,1)&amp;"}N &lt;br&gt;",IF(OR(MOD(COUNTA($A$8:$A16),4)=0,G17=""),      " N{"&amp;MID($A16,2,1)&amp;"}N &lt;br&gt;",""))),"")</f>
        <v/>
      </c>
      <c r="R16" t="str" cm="1">
        <f t="array" aca="1" ref="R16" ca="1">IF(INDIRECT("L_"&amp;MID($A16,1,2))&lt;&gt;0,IF(MID($A16,4,1)="i","N{"&amp;MID($A16,1,1)&amp;"}N ","")&amp;
            " "&amp;ABS(I16)&amp;" "&amp;
                IF(RIGHT($A16,1)="i",IFERROR(VLOOKUP(O16,'ENLACES DIAGRAMAS'!$B:$I,4,0),No_Diagrama),
                   IF(MID($A16,1,1)="M","N{"&amp;MID($A16,2,1)&amp;"}N &lt;br&gt;",IF(OR(MOD(COUNTA($A$8:$A16),4)=0,J17=""),      " "&amp;"N{"&amp;MID($A16,2,1)&amp;"}N &lt;br&gt;",""))),"")</f>
        <v/>
      </c>
      <c r="S16" s="303" t="str">
        <f ca="1">IF(T_Resultados_FTP[[#This Row],[Codigo axil]]="","",ABS(T_Resultados_FTP[[#This Row],[Axiles]])&amp;" kN")</f>
        <v/>
      </c>
      <c r="T16" s="303" t="str">
        <f ca="1">IF(T_Resultados_FTP[[#This Row],[Codigo Cortante]]="","",ABS(T_Resultados_FTP[[#This Row],[Cortantes]])&amp;" kN")</f>
        <v/>
      </c>
      <c r="U16" s="303" t="str">
        <f ca="1">IF(T_Resultados_FTP[[#This Row],[Codigo Momentos]]="","",ABS(T_Resultados_FTP[[#This Row],[Momentos]])&amp;" kNm")</f>
        <v/>
      </c>
    </row>
    <row r="17" spans="1:21" hidden="1" outlineLevel="1">
      <c r="A17" s="88" t="str">
        <f>PROBLEMA!W43</f>
        <v>EF j</v>
      </c>
      <c r="B17" s="3" t="str">
        <f t="shared" si="0"/>
        <v>N EF j</v>
      </c>
      <c r="C17" s="102" cm="1">
        <f t="array" aca="1" ref="C17" ca="1">ROUND(INDIRECT(B$6&amp;"_"&amp;REPLACE($A17,3,1,"_")),2)</f>
        <v>0</v>
      </c>
      <c r="D17" t="str" cm="1">
        <f t="array" aca="1" ref="D17" ca="1">IF(INDIRECT("L_"&amp;MID($A17,1,2))&lt;&gt;0,IF(MID($A17,4,1)="i",MID($A17,1,1)&amp;Tab,"    ")&amp;
  " {"&amp;$O$45&amp;":NM:"&amp;$P$3&amp;ABS(C17)&amp;":"&amp;ABS(C17)*$P$45&amp;"#"&amp;Retro_MuyBien&amp;$Q$3&amp;ABS(C17)&amp;":"&amp;ABS(C17)*$Q$45&amp;"#"&amp;Retro_Bien&amp;$R$3&amp;ABS(C17)&amp;":"&amp;ABS(C17)*$R$45&amp;"#"&amp;Retro_Mal&amp;"}"&amp;IF(RIGHT($A17,1)="i",IFERROR(VLOOKUP(M17,'ENLACES DIAGRAMAS'!$B:$I,8,0),No_Diagrama),IF(MID($A17,1,1)="M",Tab&amp;MID($A17,2,1)&amp;Salto,IF(OR(MOD(COUNTA($A$8:$A17),4)=0,D18="")," "&amp;
                                    MID($A17,2,1)&amp;Salto,Tab))),"")</f>
        <v/>
      </c>
      <c r="E17" s="3" t="str">
        <f t="shared" si="1"/>
        <v>V EF j</v>
      </c>
      <c r="F17" s="102" cm="1">
        <f t="array" aca="1" ref="F17" ca="1">ROUND(INDIRECT(E$6&amp;"_"&amp;REPLACE($A17,3,1,"_")),2)</f>
        <v>0</v>
      </c>
      <c r="G17" t="str" cm="1">
        <f t="array" aca="1" ref="G17" ca="1">IF(INDIRECT("L_"&amp;MID($A17,1,2))&lt;&gt;0,IF(MID($A17,4,1)="i",MID($A17,1,1)&amp;Tab,"    ")&amp;
  " {"&amp;$O$45&amp;":NM:"&amp;$P$3&amp;ABS(F17)&amp;":"&amp;ABS(F17)*$P$45&amp;"#"&amp;Retro_MuyBien&amp;$Q$3&amp;ABS(F17)&amp;":"&amp;ABS(F17)*$Q$45&amp;"#"&amp;Retro_Bien&amp;$R$3&amp;ABS(F17)&amp;":"&amp;ABS(F17)*$R$45&amp;"#"&amp;Retro_Mal&amp;"}"&amp;IF(RIGHT($A17,1)="i",IFERROR(VLOOKUP(N17,'ENLACES DIAGRAMAS'!$B:$I,8,0),No_Diagrama),IF(MID($A17,1,1)="M",Tab&amp;MID($A17,2,1)&amp;Salto,IF(OR(MOD(COUNTA($A$8:$A17),4)=0,G18="")," "&amp;
                                    MID($A17,2,1)&amp;Salto,Tab))),"")</f>
        <v/>
      </c>
      <c r="H17" s="3" t="str">
        <f t="shared" si="2"/>
        <v>M EF j</v>
      </c>
      <c r="I17" s="102" cm="1">
        <f t="array" aca="1" ref="I17" ca="1">ROUND(INDIRECT(H$6&amp;"_"&amp;REPLACE($A17,3,1,"_")),2)</f>
        <v>0</v>
      </c>
      <c r="J17" t="str" cm="1">
        <f t="array" aca="1" ref="J17" ca="1">IF(INDIRECT("L_"&amp;MID($A17,1,2))&lt;&gt;0,IF(MID($A17,4,1)="i",MID($A17,1,1)&amp;Tab,"    ")&amp;
  " {"&amp;$O$45&amp;":NM:"&amp;$P$3&amp;ABS(I17)&amp;":"&amp;ABS(I17)*$P$45&amp;"#"&amp;Retro_MuyBien&amp;$Q$3&amp;ABS(I17)&amp;":"&amp;ABS(I17)*$Q$45&amp;"#"&amp;Retro_Bien&amp;$R$3&amp;ABS(I17)&amp;":"&amp;ABS(I17)*$R$45&amp;"#"&amp;Retro_Mal&amp;"}"&amp;IF(RIGHT($A17,1)="i",IFERROR(VLOOKUP(O17,'ENLACES DIAGRAMAS'!$B:$I,8,0),No_Diagrama),IF(MID($A17,1,1)="M",Tab&amp;MID($A17,2,1)&amp;Salto,IF(OR(MOD(COUNTA($A$8:$A17),4)=0,J18="")," "&amp;
                                    MID($A17,2,1)&amp;Salto,Tab))),"")</f>
        <v/>
      </c>
      <c r="K17" t="str">
        <f ca="1">IFERROR(IF(MID(T_Resultados_FTP[[#This Row],[Nudo]],4,1)="j","En la barra "&amp;MID(A16,1,2)&amp;" el momento es de 
       {"&amp;$O$42&amp;":NM:"&amp;$P$3&amp;ABS(ROUND(L17,2))&amp;":"&amp;ABS(ROUND(L17,2))*$P$51&amp;"#"&amp;Retro_MuyBien&amp;
                       $Q$3&amp;ABS(ROUND(L17,2))&amp;":"&amp;ABS(ROUND(L17,2))*$Q$51&amp;"#"&amp;Retro_Bien&amp;
                       $R$3&amp;ABS(ROUND(L17,2))&amp;":"&amp;ABS(ROUND(L17,2))*$R$51&amp;"#"&amp;Retro_Mal&amp;"} kNm, a 
       {"&amp;$O$43&amp;":NM:"&amp;$P$3&amp;ABS(ROUND(L16,0))&amp;":"&amp;ABS(ROUND(L16,2))*$P$51&amp;"#"&amp;Retro_MuyBien&amp;
                       $Q$3&amp;ABS(ROUND(L16,0))&amp;":"&amp;ABS(ROUND(L16,2))*$Q$51&amp;"#"&amp;Retro_Bien&amp;
                       $R$3&amp;ABS(ROUND(L16,0))&amp;":"&amp;ABS(ROUND(L16,2))*$R$51&amp;"#"&amp;Retro_Mal&amp;"} mm del nudo "&amp;MID(A16,1,1)&amp;". "&amp;Salto,""),"")</f>
        <v/>
      </c>
      <c r="L17" s="104" t="str">
        <f ca="1">PROBLEMA!R43</f>
        <v/>
      </c>
      <c r="M17" t="str" cm="1">
        <f t="array" aca="1" ref="M17" ca="1">IF(INDIRECT("L_"&amp;MID($A17,1,2))&lt;&gt;0,IF(  MID(A17,1,2)=MID(A18,1,2),  "N "&amp;
  IF(  C17=0,  "CERO ",         IF(  C17&gt;0,   "POS ",  "NEG " )) &amp;
  IF(  C18=0,  "CERO",          IF(  C18&gt;0,   "POS",  "NEG"  )) &amp;
  IF(AND(C17&lt;&gt;C18,C17&lt;&gt;0,C18&lt;&gt;0),    IF(C17&gt;C18, " MAX_MIN",  " MIN_MAX"),  ""),  ""),"")</f>
        <v/>
      </c>
      <c r="N17" t="str" cm="1">
        <f t="array" aca="1" ref="N17" ca="1">IF(INDIRECT("L_"&amp;MID($A17,1,2))&lt;&gt;0,IF(  MID(A17,1,2)=MID(A18,1,2),  "V "&amp;  IF(  F17=0,  "CERO ",  IF(  F17&gt;0,   "POS ",  "NEG " )) &amp;
                                                                                            IF(  F18=0,  "CERO",   IF(  F18&gt;0,   "POS",   "NEG"  )) &amp;
                                                  IF(AND(F17&lt;&gt;F18,F17&lt;&gt;0,F18&lt;&gt;0),   IF(F17&gt;F18,  " MAX_MIN", " MIN_MAX" ),  ""),  ""),"")</f>
        <v/>
      </c>
      <c r="O17" t="str" cm="1">
        <f t="array" aca="1" ref="O17" ca="1">IF(INDIRECT("L_"&amp;MID($A17,1,2))&lt;&gt;0,IF(  MID(A17,1,2)=MID(A18,1,2),  "M "&amp;
IF(   I17=0,  "CERO ",  IF(  I17&gt;0,   "POS ",  "NEG " )) &amp;
IF(   I18=0,  "CERO",  IF(  ROUND(I18,1)&gt;0,   "POS",  "NEG"  )) &amp;
IF(AND(I17&lt;&gt;I18,I17&lt;&gt;0,I18&lt;&gt;0),   IF(I17&gt;I18,  " MAX_MIN", " MIN_MAX" ),  "") &amp;
IF(OR(INDIRECT("q_"&amp;MID(A17,1,2))&lt;&gt;0,AND(OR(MID(T_Resultados_FTP[[#This Row],[Nudo]],1,2)="CD",MID(T_Resultados_FTP[[#This Row],[Nudo]],1,2)="DE"),q_CE&lt;&gt;0)),
IF(L18="", IF(ABS(F17)&lt;ABS(F18)," M_0"," M_L"),
IF(L18&gt;0,  " POS",  " NEG") &amp;  IF(L18&gt;MAX(I17:I18),  "_MAX", "_MIN" )&amp;
IF(F17=0," M_0",IF(F18=0," M_L",""))),    ""),  ""),"")</f>
        <v/>
      </c>
      <c r="P17" t="str" cm="1">
        <f t="array" aca="1" ref="P17" ca="1">IF(INDIRECT("L_"&amp;MID($A17,1,2))&lt;&gt;0,IF(MID($A17,4,1)="i","N{"&amp;MID($A17,1,1)&amp;"}N ","")&amp;
            " "&amp;ABS(C17)&amp;" "&amp;
                IF(RIGHT($A17,1)="i",IFERROR(VLOOKUP(M17,'ENLACES DIAGRAMAS'!$B:$I,4,0),No_Diagrama),
                   IF(MID($A17,1,1)="M","N{"&amp;MID($A17,2,1)&amp;"}N&lt;br&gt;",IF(OR(MOD(COUNTA($A$8:$A17),4)=0,D18=""),      " N{"&amp;MID($A17,2,1)&amp;"}N&lt;br&gt;",""))),"")</f>
        <v/>
      </c>
      <c r="Q17" t="str" cm="1">
        <f t="array" aca="1" ref="Q17" ca="1">IF(INDIRECT("L_"&amp;MID($A17,1,2))&lt;&gt;0,IF(MID($A17,4,1)="i","N{"&amp;MID($A17,1,1)&amp;"}N ","")&amp;
            " "&amp;ABS(F17)&amp;" "&amp;
                IF(RIGHT($A17,1)="i",IFERROR(VLOOKUP(N17,'ENLACES DIAGRAMAS'!$B:$I,4,0),No_Diagrama),
                   IF(MID($A17,1,1)="M","N{"&amp;MID($A17,2,1)&amp;"}N &lt;br&gt;",IF(OR(MOD(COUNTA($A$8:$A17),4)=0,G18=""),      " N{"&amp;MID($A17,2,1)&amp;"}N &lt;br&gt;",""))),"")</f>
        <v/>
      </c>
      <c r="R17" t="str" cm="1">
        <f t="array" aca="1" ref="R17" ca="1">IF(INDIRECT("L_"&amp;MID($A17,1,2))&lt;&gt;0,IF(MID($A17,4,1)="i","N{"&amp;MID($A17,1,1)&amp;"}N ","")&amp;
            " "&amp;ABS(I17)&amp;" "&amp;
                IF(RIGHT($A17,1)="i",IFERROR(VLOOKUP(O17,'ENLACES DIAGRAMAS'!$B:$I,4,0),No_Diagrama),
                   IF(MID($A17,1,1)="M","N{"&amp;MID($A17,2,1)&amp;"}N &lt;br&gt;",IF(OR(MOD(COUNTA($A$8:$A17),4)=0,J18=""),      " "&amp;"N{"&amp;MID($A17,2,1)&amp;"}N &lt;br&gt;",""))),"")</f>
        <v/>
      </c>
      <c r="S17" s="303" t="str">
        <f ca="1">IF(T_Resultados_FTP[[#This Row],[Codigo axil]]="","",ABS(T_Resultados_FTP[[#This Row],[Axiles]])&amp;" kN")</f>
        <v/>
      </c>
      <c r="T17" s="303" t="str">
        <f ca="1">IF(T_Resultados_FTP[[#This Row],[Codigo Cortante]]="","",ABS(T_Resultados_FTP[[#This Row],[Cortantes]])&amp;" kN")</f>
        <v/>
      </c>
      <c r="U17" s="303" t="str">
        <f ca="1">IF(T_Resultados_FTP[[#This Row],[Codigo Momentos]]="","",ABS(T_Resultados_FTP[[#This Row],[Momentos]])&amp;" kNm")</f>
        <v/>
      </c>
    </row>
    <row r="18" spans="1:21" hidden="1" outlineLevel="1">
      <c r="A18" s="88" t="str">
        <f>PROBLEMA!W44</f>
        <v>FG i</v>
      </c>
      <c r="B18" s="3" t="str">
        <f t="shared" si="0"/>
        <v>N FG i</v>
      </c>
      <c r="C18" s="102" cm="1">
        <f t="array" aca="1" ref="C18" ca="1">ROUND(INDIRECT(B$6&amp;"_"&amp;REPLACE($A18,3,1,"_")),2)</f>
        <v>0</v>
      </c>
      <c r="D18" t="str" cm="1">
        <f t="array" aca="1" ref="D18" ca="1">IF(INDIRECT("L_"&amp;MID($A18,1,2))&lt;&gt;0,IF(MID($A18,4,1)="i",MID($A18,1,1)&amp;Tab,"    ")&amp;
  " {"&amp;$O$45&amp;":NM:"&amp;$P$3&amp;ABS(C18)&amp;":"&amp;ABS(C18)*$P$45&amp;"#"&amp;Retro_MuyBien&amp;$Q$3&amp;ABS(C18)&amp;":"&amp;ABS(C18)*$Q$45&amp;"#"&amp;Retro_Bien&amp;$R$3&amp;ABS(C18)&amp;":"&amp;ABS(C18)*$R$45&amp;"#"&amp;Retro_Mal&amp;"}"&amp;IF(RIGHT($A18,1)="i",IFERROR(VLOOKUP(M18,'ENLACES DIAGRAMAS'!$B:$I,8,0),No_Diagrama),IF(MID($A18,1,1)="M",Tab&amp;MID($A18,2,1)&amp;Salto,IF(OR(MOD(COUNTA($A$8:$A18),4)=0,D19="")," "&amp;
                                    MID($A18,2,1)&amp;Salto,Tab))),"")</f>
        <v/>
      </c>
      <c r="E18" s="3" t="str">
        <f t="shared" si="1"/>
        <v>V FG i</v>
      </c>
      <c r="F18" s="102" cm="1">
        <f t="array" aca="1" ref="F18" ca="1">ROUND(INDIRECT(E$6&amp;"_"&amp;REPLACE($A18,3,1,"_")),2)</f>
        <v>0</v>
      </c>
      <c r="G18" t="str" cm="1">
        <f t="array" aca="1" ref="G18" ca="1">IF(INDIRECT("L_"&amp;MID($A18,1,2))&lt;&gt;0,IF(MID($A18,4,1)="i",MID($A18,1,1)&amp;Tab,"    ")&amp;
  " {"&amp;$O$45&amp;":NM:"&amp;$P$3&amp;ABS(F18)&amp;":"&amp;ABS(F18)*$P$45&amp;"#"&amp;Retro_MuyBien&amp;$Q$3&amp;ABS(F18)&amp;":"&amp;ABS(F18)*$Q$45&amp;"#"&amp;Retro_Bien&amp;$R$3&amp;ABS(F18)&amp;":"&amp;ABS(F18)*$R$45&amp;"#"&amp;Retro_Mal&amp;"}"&amp;IF(RIGHT($A18,1)="i",IFERROR(VLOOKUP(N18,'ENLACES DIAGRAMAS'!$B:$I,8,0),No_Diagrama),IF(MID($A18,1,1)="M",Tab&amp;MID($A18,2,1)&amp;Salto,IF(OR(MOD(COUNTA($A$8:$A18),4)=0,G19="")," "&amp;
                                    MID($A18,2,1)&amp;Salto,Tab))),"")</f>
        <v/>
      </c>
      <c r="H18" s="3" t="str">
        <f t="shared" si="2"/>
        <v>M FG i</v>
      </c>
      <c r="I18" s="102" cm="1">
        <f t="array" aca="1" ref="I18" ca="1">ROUND(INDIRECT(H$6&amp;"_"&amp;REPLACE($A18,3,1,"_")),2)</f>
        <v>0</v>
      </c>
      <c r="J18" t="str" cm="1">
        <f t="array" aca="1" ref="J18" ca="1">IF(INDIRECT("L_"&amp;MID($A18,1,2))&lt;&gt;0,IF(MID($A18,4,1)="i",MID($A18,1,1)&amp;Tab,"    ")&amp;
  " {"&amp;$O$45&amp;":NM:"&amp;$P$3&amp;ABS(I18)&amp;":"&amp;ABS(I18)*$P$45&amp;"#"&amp;Retro_MuyBien&amp;$Q$3&amp;ABS(I18)&amp;":"&amp;ABS(I18)*$Q$45&amp;"#"&amp;Retro_Bien&amp;$R$3&amp;ABS(I18)&amp;":"&amp;ABS(I18)*$R$45&amp;"#"&amp;Retro_Mal&amp;"}"&amp;IF(RIGHT($A18,1)="i",IFERROR(VLOOKUP(O18,'ENLACES DIAGRAMAS'!$B:$I,8,0),No_Diagrama),IF(MID($A18,1,1)="M",Tab&amp;MID($A18,2,1)&amp;Salto,IF(OR(MOD(COUNTA($A$8:$A18),4)=0,J19="")," "&amp;
                                    MID($A18,2,1)&amp;Salto,Tab))),"")</f>
        <v/>
      </c>
      <c r="K18" t="str">
        <f>IFERROR(IF(MID(T_Resultados_FTP[[#This Row],[Nudo]],4,1)="j","En la barra "&amp;MID(A17,1,2)&amp;" el momento es de 
       {"&amp;$O$42&amp;":NM:"&amp;$P$3&amp;ABS(ROUND(L18,2))&amp;":"&amp;ABS(ROUND(L18,2))*$P$51&amp;"#"&amp;Retro_MuyBien&amp;
                       $Q$3&amp;ABS(ROUND(L18,2))&amp;":"&amp;ABS(ROUND(L18,2))*$Q$51&amp;"#"&amp;Retro_Bien&amp;
                       $R$3&amp;ABS(ROUND(L18,2))&amp;":"&amp;ABS(ROUND(L18,2))*$R$51&amp;"#"&amp;Retro_Mal&amp;"} kNm, a 
       {"&amp;$O$43&amp;":NM:"&amp;$P$3&amp;ABS(ROUND(L17,0))&amp;":"&amp;ABS(ROUND(L17,2))*$P$51&amp;"#"&amp;Retro_MuyBien&amp;
                       $Q$3&amp;ABS(ROUND(L17,0))&amp;":"&amp;ABS(ROUND(L17,2))*$Q$51&amp;"#"&amp;Retro_Bien&amp;
                       $R$3&amp;ABS(ROUND(L17,0))&amp;":"&amp;ABS(ROUND(L17,2))*$R$51&amp;"#"&amp;Retro_Mal&amp;"} mm del nudo "&amp;MID(A17,1,1)&amp;". "&amp;Salto,""),"")</f>
        <v/>
      </c>
      <c r="L18" s="103" t="str">
        <f ca="1">PROBLEMA!R44</f>
        <v/>
      </c>
      <c r="M18" t="str" cm="1">
        <f t="array" aca="1" ref="M18" ca="1">IF(INDIRECT("L_"&amp;MID($A18,1,2))&lt;&gt;0,IF(  MID(A18,1,2)=MID(A19,1,2),  "N "&amp;
  IF(  C18=0,  "CERO ",         IF(  C18&gt;0,   "POS ",  "NEG " )) &amp;
  IF(  C19=0,  "CERO",          IF(  C19&gt;0,   "POS",  "NEG"  )) &amp;
  IF(AND(C18&lt;&gt;C19,C18&lt;&gt;0,C19&lt;&gt;0),    IF(C18&gt;C19, " MAX_MIN",  " MIN_MAX"),  ""),  ""),"")</f>
        <v/>
      </c>
      <c r="N18" t="str" cm="1">
        <f t="array" aca="1" ref="N18" ca="1">IF(INDIRECT("L_"&amp;MID($A18,1,2))&lt;&gt;0,IF(  MID(A18,1,2)=MID(A19,1,2),  "V "&amp;  IF(  F18=0,  "CERO ",  IF(  F18&gt;0,   "POS ",  "NEG " )) &amp;
                                                                                            IF(  F19=0,  "CERO",   IF(  F19&gt;0,   "POS",   "NEG"  )) &amp;
                                                  IF(AND(F18&lt;&gt;F19,F18&lt;&gt;0,F19&lt;&gt;0),   IF(F18&gt;F19,  " MAX_MIN", " MIN_MAX" ),  ""),  ""),"")</f>
        <v/>
      </c>
      <c r="O18" t="str" cm="1">
        <f t="array" aca="1" ref="O18" ca="1">IF(INDIRECT("L_"&amp;MID($A18,1,2))&lt;&gt;0,IF(  MID(A18,1,2)=MID(A19,1,2),  "M "&amp;
IF(   I18=0,  "CERO ",  IF(  I18&gt;0,   "POS ",  "NEG " )) &amp;
IF(   I19=0,  "CERO",  IF(  ROUND(I19,1)&gt;0,   "POS",  "NEG"  )) &amp;
IF(AND(I18&lt;&gt;I19,I18&lt;&gt;0,I19&lt;&gt;0),   IF(I18&gt;I19,  " MAX_MIN", " MIN_MAX" ),  "") &amp;
IF(OR(INDIRECT("q_"&amp;MID(A18,1,2))&lt;&gt;0,AND(OR(MID(T_Resultados_FTP[[#This Row],[Nudo]],1,2)="CD",MID(T_Resultados_FTP[[#This Row],[Nudo]],1,2)="DE"),q_CE&lt;&gt;0)),
IF(L19="", IF(ABS(F18)&lt;ABS(F19)," M_0"," M_L"),
IF(L19&gt;0,  " POS",  " NEG") &amp;  IF(L19&gt;MAX(I18:I19),  "_MAX", "_MIN" )&amp;
IF(F18=0," M_0",IF(F19=0," M_L",""))),    ""),  ""),"")</f>
        <v/>
      </c>
      <c r="P18" t="str" cm="1">
        <f t="array" aca="1" ref="P18" ca="1">IF(INDIRECT("L_"&amp;MID($A18,1,2))&lt;&gt;0,IF(MID($A18,4,1)="i","N{"&amp;MID($A18,1,1)&amp;"}N ","")&amp;
            " "&amp;ABS(C18)&amp;" "&amp;
                IF(RIGHT($A18,1)="i",IFERROR(VLOOKUP(M18,'ENLACES DIAGRAMAS'!$B:$I,4,0),No_Diagrama),
                   IF(MID($A18,1,1)="M","N{"&amp;MID($A18,2,1)&amp;"}N&lt;br&gt;",IF(OR(MOD(COUNTA($A$8:$A18),4)=0,D19=""),      " N{"&amp;MID($A18,2,1)&amp;"}N&lt;br&gt;",""))),"")</f>
        <v/>
      </c>
      <c r="Q18" t="str" cm="1">
        <f t="array" aca="1" ref="Q18" ca="1">IF(INDIRECT("L_"&amp;MID($A18,1,2))&lt;&gt;0,IF(MID($A18,4,1)="i","N{"&amp;MID($A18,1,1)&amp;"}N ","")&amp;
            " "&amp;ABS(F18)&amp;" "&amp;
                IF(RIGHT($A18,1)="i",IFERROR(VLOOKUP(N18,'ENLACES DIAGRAMAS'!$B:$I,4,0),No_Diagrama),
                   IF(MID($A18,1,1)="M","N{"&amp;MID($A18,2,1)&amp;"}N &lt;br&gt;",IF(OR(MOD(COUNTA($A$8:$A18),4)=0,G19=""),      " N{"&amp;MID($A18,2,1)&amp;"}N &lt;br&gt;",""))),"")</f>
        <v/>
      </c>
      <c r="R18" t="str" cm="1">
        <f t="array" aca="1" ref="R18" ca="1">IF(INDIRECT("L_"&amp;MID($A18,1,2))&lt;&gt;0,IF(MID($A18,4,1)="i","N{"&amp;MID($A18,1,1)&amp;"}N ","")&amp;
            " "&amp;ABS(I18)&amp;" "&amp;
                IF(RIGHT($A18,1)="i",IFERROR(VLOOKUP(O18,'ENLACES DIAGRAMAS'!$B:$I,4,0),No_Diagrama),
                   IF(MID($A18,1,1)="M","N{"&amp;MID($A18,2,1)&amp;"}N &lt;br&gt;",IF(OR(MOD(COUNTA($A$8:$A18),4)=0,J19=""),      " "&amp;"N{"&amp;MID($A18,2,1)&amp;"}N &lt;br&gt;",""))),"")</f>
        <v/>
      </c>
      <c r="S18" s="303" t="str">
        <f ca="1">IF(T_Resultados_FTP[[#This Row],[Codigo axil]]="","",ABS(T_Resultados_FTP[[#This Row],[Axiles]])&amp;" kN")</f>
        <v/>
      </c>
      <c r="T18" s="303" t="str">
        <f ca="1">IF(T_Resultados_FTP[[#This Row],[Codigo Cortante]]="","",ABS(T_Resultados_FTP[[#This Row],[Cortantes]])&amp;" kN")</f>
        <v/>
      </c>
      <c r="U18" s="303" t="str">
        <f ca="1">IF(T_Resultados_FTP[[#This Row],[Codigo Momentos]]="","",ABS(T_Resultados_FTP[[#This Row],[Momentos]])&amp;" kNm")</f>
        <v/>
      </c>
    </row>
    <row r="19" spans="1:21" hidden="1" outlineLevel="1">
      <c r="A19" s="88" t="str">
        <f>PROBLEMA!W45</f>
        <v>FG j</v>
      </c>
      <c r="B19" s="3" t="str">
        <f t="shared" si="0"/>
        <v>N FG j</v>
      </c>
      <c r="C19" s="102" cm="1">
        <f t="array" aca="1" ref="C19" ca="1">ROUND(INDIRECT(B$6&amp;"_"&amp;REPLACE($A19,3,1,"_")),2)</f>
        <v>0</v>
      </c>
      <c r="D19" t="str" cm="1">
        <f t="array" aca="1" ref="D19" ca="1">IF(INDIRECT("L_"&amp;MID($A19,1,2))&lt;&gt;0,IF(MID($A19,4,1)="i",MID($A19,1,1)&amp;Tab,"    ")&amp;
  " {"&amp;$O$45&amp;":NM:"&amp;$P$3&amp;ABS(C19)&amp;":"&amp;ABS(C19)*$P$45&amp;"#"&amp;Retro_MuyBien&amp;$Q$3&amp;ABS(C19)&amp;":"&amp;ABS(C19)*$Q$45&amp;"#"&amp;Retro_Bien&amp;$R$3&amp;ABS(C19)&amp;":"&amp;ABS(C19)*$R$45&amp;"#"&amp;Retro_Mal&amp;"}"&amp;IF(RIGHT($A19,1)="i",IFERROR(VLOOKUP(M19,'ENLACES DIAGRAMAS'!$B:$I,8,0),No_Diagrama),IF(MID($A19,1,1)="M",Tab&amp;MID($A19,2,1)&amp;Salto,IF(OR(MOD(COUNTA($A$8:$A19),4)=0,D20="")," "&amp;
                                    MID($A19,2,1)&amp;Salto,Tab))),"")</f>
        <v/>
      </c>
      <c r="E19" s="3" t="str">
        <f t="shared" si="1"/>
        <v>V FG j</v>
      </c>
      <c r="F19" s="102" cm="1">
        <f t="array" aca="1" ref="F19" ca="1">ROUND(INDIRECT(E$6&amp;"_"&amp;REPLACE($A19,3,1,"_")),2)</f>
        <v>0</v>
      </c>
      <c r="G19" t="str" cm="1">
        <f t="array" aca="1" ref="G19" ca="1">IF(INDIRECT("L_"&amp;MID($A19,1,2))&lt;&gt;0,IF(MID($A19,4,1)="i",MID($A19,1,1)&amp;Tab,"    ")&amp;
  " {"&amp;$O$45&amp;":NM:"&amp;$P$3&amp;ABS(F19)&amp;":"&amp;ABS(F19)*$P$45&amp;"#"&amp;Retro_MuyBien&amp;$Q$3&amp;ABS(F19)&amp;":"&amp;ABS(F19)*$Q$45&amp;"#"&amp;Retro_Bien&amp;$R$3&amp;ABS(F19)&amp;":"&amp;ABS(F19)*$R$45&amp;"#"&amp;Retro_Mal&amp;"}"&amp;IF(RIGHT($A19,1)="i",IFERROR(VLOOKUP(N19,'ENLACES DIAGRAMAS'!$B:$I,8,0),No_Diagrama),IF(MID($A19,1,1)="M",Tab&amp;MID($A19,2,1)&amp;Salto,IF(OR(MOD(COUNTA($A$8:$A19),4)=0,G20="")," "&amp;
                                    MID($A19,2,1)&amp;Salto,Tab))),"")</f>
        <v/>
      </c>
      <c r="H19" s="3" t="str">
        <f t="shared" si="2"/>
        <v>M FG j</v>
      </c>
      <c r="I19" s="102" cm="1">
        <f t="array" aca="1" ref="I19" ca="1">ROUND(INDIRECT(H$6&amp;"_"&amp;REPLACE($A19,3,1,"_")),2)</f>
        <v>0</v>
      </c>
      <c r="J19" t="str" cm="1">
        <f t="array" aca="1" ref="J19" ca="1">IF(INDIRECT("L_"&amp;MID($A19,1,2))&lt;&gt;0,IF(MID($A19,4,1)="i",MID($A19,1,1)&amp;Tab,"    ")&amp;
  " {"&amp;$O$45&amp;":NM:"&amp;$P$3&amp;ABS(I19)&amp;":"&amp;ABS(I19)*$P$45&amp;"#"&amp;Retro_MuyBien&amp;$Q$3&amp;ABS(I19)&amp;":"&amp;ABS(I19)*$Q$45&amp;"#"&amp;Retro_Bien&amp;$R$3&amp;ABS(I19)&amp;":"&amp;ABS(I19)*$R$45&amp;"#"&amp;Retro_Mal&amp;"}"&amp;IF(RIGHT($A19,1)="i",IFERROR(VLOOKUP(O19,'ENLACES DIAGRAMAS'!$B:$I,8,0),No_Diagrama),IF(MID($A19,1,1)="M",Tab&amp;MID($A19,2,1)&amp;Salto,IF(OR(MOD(COUNTA($A$8:$A19),4)=0,J20="")," "&amp;
                                    MID($A19,2,1)&amp;Salto,Tab))),"")</f>
        <v/>
      </c>
      <c r="K19" t="str">
        <f ca="1">IFERROR(IF(MID(T_Resultados_FTP[[#This Row],[Nudo]],4,1)="j","En la barra "&amp;MID(A18,1,2)&amp;" el momento es de 
       {"&amp;$O$42&amp;":NM:"&amp;$P$3&amp;ABS(ROUND(L19,2))&amp;":"&amp;ABS(ROUND(L19,2))*$P$51&amp;"#"&amp;Retro_MuyBien&amp;
                       $Q$3&amp;ABS(ROUND(L19,2))&amp;":"&amp;ABS(ROUND(L19,2))*$Q$51&amp;"#"&amp;Retro_Bien&amp;
                       $R$3&amp;ABS(ROUND(L19,2))&amp;":"&amp;ABS(ROUND(L19,2))*$R$51&amp;"#"&amp;Retro_Mal&amp;"} kNm, a 
       {"&amp;$O$43&amp;":NM:"&amp;$P$3&amp;ABS(ROUND(L18,0))&amp;":"&amp;ABS(ROUND(L18,2))*$P$51&amp;"#"&amp;Retro_MuyBien&amp;
                       $Q$3&amp;ABS(ROUND(L18,0))&amp;":"&amp;ABS(ROUND(L18,2))*$Q$51&amp;"#"&amp;Retro_Bien&amp;
                       $R$3&amp;ABS(ROUND(L18,0))&amp;":"&amp;ABS(ROUND(L18,2))*$R$51&amp;"#"&amp;Retro_Mal&amp;"} mm del nudo "&amp;MID(A18,1,1)&amp;". "&amp;Salto,""),"")</f>
        <v/>
      </c>
      <c r="L19" s="104" t="str">
        <f ca="1">PROBLEMA!R45</f>
        <v/>
      </c>
      <c r="M19" t="str" cm="1">
        <f t="array" aca="1" ref="M19" ca="1">IF(INDIRECT("L_"&amp;MID($A19,1,2))&lt;&gt;0,IF(  MID(A19,1,2)=MID(A20,1,2),  "N "&amp;
  IF(  C19=0,  "CERO ",         IF(  C19&gt;0,   "POS ",  "NEG " )) &amp;
  IF(  C20=0,  "CERO",          IF(  C20&gt;0,   "POS",  "NEG"  )) &amp;
  IF(AND(C19&lt;&gt;C20,C19&lt;&gt;0,C20&lt;&gt;0),    IF(C19&gt;C20, " MAX_MIN",  " MIN_MAX"),  ""),  ""),"")</f>
        <v/>
      </c>
      <c r="N19" t="str" cm="1">
        <f t="array" aca="1" ref="N19" ca="1">IF(INDIRECT("L_"&amp;MID($A19,1,2))&lt;&gt;0,IF(  MID(A19,1,2)=MID(A20,1,2),  "V "&amp;  IF(  F19=0,  "CERO ",  IF(  F19&gt;0,   "POS ",  "NEG " )) &amp;
                                                                                            IF(  F20=0,  "CERO",   IF(  F20&gt;0,   "POS",   "NEG"  )) &amp;
                                                  IF(AND(F19&lt;&gt;F20,F19&lt;&gt;0,F20&lt;&gt;0),   IF(F19&gt;F20,  " MAX_MIN", " MIN_MAX" ),  ""),  ""),"")</f>
        <v/>
      </c>
      <c r="O19" t="str" cm="1">
        <f t="array" aca="1" ref="O19" ca="1">IF(INDIRECT("L_"&amp;MID($A19,1,2))&lt;&gt;0,IF(  MID(A19,1,2)=MID(A20,1,2),  "M "&amp;
IF(   I19=0,  "CERO ",  IF(  I19&gt;0,   "POS ",  "NEG " )) &amp;
IF(   I20=0,  "CERO",  IF(  ROUND(I20,1)&gt;0,   "POS",  "NEG"  )) &amp;
IF(AND(I19&lt;&gt;I20,I19&lt;&gt;0,I20&lt;&gt;0),   IF(I19&gt;I20,  " MAX_MIN", " MIN_MAX" ),  "") &amp;
IF(OR(INDIRECT("q_"&amp;MID(A19,1,2))&lt;&gt;0,AND(OR(MID(T_Resultados_FTP[[#This Row],[Nudo]],1,2)="CD",MID(T_Resultados_FTP[[#This Row],[Nudo]],1,2)="DE"),q_CE&lt;&gt;0)),
IF(L20="", IF(ABS(F19)&lt;ABS(F20)," M_0"," M_L"),
IF(L20&gt;0,  " POS",  " NEG") &amp;  IF(L20&gt;MAX(I19:I20),  "_MAX", "_MIN" )&amp;
IF(F19=0," M_0",IF(F20=0," M_L",""))),    ""),  ""),"")</f>
        <v/>
      </c>
      <c r="P19" t="str" cm="1">
        <f t="array" aca="1" ref="P19" ca="1">IF(INDIRECT("L_"&amp;MID($A19,1,2))&lt;&gt;0,IF(MID($A19,4,1)="i","N{"&amp;MID($A19,1,1)&amp;"}N ","")&amp;
            " "&amp;ABS(C19)&amp;" "&amp;
                IF(RIGHT($A19,1)="i",IFERROR(VLOOKUP(M19,'ENLACES DIAGRAMAS'!$B:$I,4,0),No_Diagrama),
                   IF(MID($A19,1,1)="M","N{"&amp;MID($A19,2,1)&amp;"}N&lt;br&gt;",IF(OR(MOD(COUNTA($A$8:$A19),4)=0,D20=""),      " N{"&amp;MID($A19,2,1)&amp;"}N&lt;br&gt;",""))),"")</f>
        <v/>
      </c>
      <c r="Q19" t="str" cm="1">
        <f t="array" aca="1" ref="Q19" ca="1">IF(INDIRECT("L_"&amp;MID($A19,1,2))&lt;&gt;0,IF(MID($A19,4,1)="i","N{"&amp;MID($A19,1,1)&amp;"}N ","")&amp;
            " "&amp;ABS(F19)&amp;" "&amp;
                IF(RIGHT($A19,1)="i",IFERROR(VLOOKUP(N19,'ENLACES DIAGRAMAS'!$B:$I,4,0),No_Diagrama),
                   IF(MID($A19,1,1)="M","N{"&amp;MID($A19,2,1)&amp;"}N &lt;br&gt;",IF(OR(MOD(COUNTA($A$8:$A19),4)=0,G20=""),      " N{"&amp;MID($A19,2,1)&amp;"}N &lt;br&gt;",""))),"")</f>
        <v/>
      </c>
      <c r="R19" t="str" cm="1">
        <f t="array" aca="1" ref="R19" ca="1">IF(INDIRECT("L_"&amp;MID($A19,1,2))&lt;&gt;0,IF(MID($A19,4,1)="i","N{"&amp;MID($A19,1,1)&amp;"}N ","")&amp;
            " "&amp;ABS(I19)&amp;" "&amp;
                IF(RIGHT($A19,1)="i",IFERROR(VLOOKUP(O19,'ENLACES DIAGRAMAS'!$B:$I,4,0),No_Diagrama),
                   IF(MID($A19,1,1)="M","N{"&amp;MID($A19,2,1)&amp;"}N &lt;br&gt;",IF(OR(MOD(COUNTA($A$8:$A19),4)=0,J20=""),      " "&amp;"N{"&amp;MID($A19,2,1)&amp;"}N &lt;br&gt;",""))),"")</f>
        <v/>
      </c>
      <c r="S19" s="303" t="str">
        <f ca="1">IF(T_Resultados_FTP[[#This Row],[Codigo axil]]="","",ABS(T_Resultados_FTP[[#This Row],[Axiles]])&amp;" kN")</f>
        <v/>
      </c>
      <c r="T19" s="303" t="str">
        <f ca="1">IF(T_Resultados_FTP[[#This Row],[Codigo Cortante]]="","",ABS(T_Resultados_FTP[[#This Row],[Cortantes]])&amp;" kN")</f>
        <v/>
      </c>
      <c r="U19" s="303" t="str">
        <f ca="1">IF(T_Resultados_FTP[[#This Row],[Codigo Momentos]]="","",ABS(T_Resultados_FTP[[#This Row],[Momentos]])&amp;" kNm")</f>
        <v/>
      </c>
    </row>
    <row r="20" spans="1:21" hidden="1" outlineLevel="1">
      <c r="A20" s="88" t="str">
        <f>PROBLEMA!W46</f>
        <v>GH i</v>
      </c>
      <c r="B20" s="3" t="str">
        <f t="shared" si="0"/>
        <v>N GH i</v>
      </c>
      <c r="C20" s="102" cm="1">
        <f t="array" aca="1" ref="C20" ca="1">ROUND(INDIRECT(B$6&amp;"_"&amp;REPLACE($A20,3,1,"_")),2)</f>
        <v>0</v>
      </c>
      <c r="D20" t="str" cm="1">
        <f t="array" aca="1" ref="D20" ca="1">IF(INDIRECT("L_"&amp;MID($A20,1,2))&lt;&gt;0,IF(MID($A20,4,1)="i",MID($A20,1,1)&amp;Tab,"    ")&amp;
  " {"&amp;$O$45&amp;":NM:"&amp;$P$3&amp;ABS(C20)&amp;":"&amp;ABS(C20)*$P$45&amp;"#"&amp;Retro_MuyBien&amp;$Q$3&amp;ABS(C20)&amp;":"&amp;ABS(C20)*$Q$45&amp;"#"&amp;Retro_Bien&amp;$R$3&amp;ABS(C20)&amp;":"&amp;ABS(C20)*$R$45&amp;"#"&amp;Retro_Mal&amp;"}"&amp;IF(RIGHT($A20,1)="i",IFERROR(VLOOKUP(M20,'ENLACES DIAGRAMAS'!$B:$I,8,0),No_Diagrama),IF(MID($A20,1,1)="M",Tab&amp;MID($A20,2,1)&amp;Salto,IF(OR(MOD(COUNTA($A$8:$A20),4)=0,D21="")," "&amp;
                                    MID($A20,2,1)&amp;Salto,Tab))),"")</f>
        <v/>
      </c>
      <c r="E20" s="3" t="str">
        <f t="shared" si="1"/>
        <v>V GH i</v>
      </c>
      <c r="F20" s="102" cm="1">
        <f t="array" aca="1" ref="F20" ca="1">ROUND(INDIRECT(E$6&amp;"_"&amp;REPLACE($A20,3,1,"_")),2)</f>
        <v>0</v>
      </c>
      <c r="G20" t="str" cm="1">
        <f t="array" aca="1" ref="G20" ca="1">IF(INDIRECT("L_"&amp;MID($A20,1,2))&lt;&gt;0,IF(MID($A20,4,1)="i",MID($A20,1,1)&amp;Tab,"    ")&amp;
  " {"&amp;$O$45&amp;":NM:"&amp;$P$3&amp;ABS(F20)&amp;":"&amp;ABS(F20)*$P$45&amp;"#"&amp;Retro_MuyBien&amp;$Q$3&amp;ABS(F20)&amp;":"&amp;ABS(F20)*$Q$45&amp;"#"&amp;Retro_Bien&amp;$R$3&amp;ABS(F20)&amp;":"&amp;ABS(F20)*$R$45&amp;"#"&amp;Retro_Mal&amp;"}"&amp;IF(RIGHT($A20,1)="i",IFERROR(VLOOKUP(N20,'ENLACES DIAGRAMAS'!$B:$I,8,0),No_Diagrama),IF(MID($A20,1,1)="M",Tab&amp;MID($A20,2,1)&amp;Salto,IF(OR(MOD(COUNTA($A$8:$A20),4)=0,G21="")," "&amp;
                                    MID($A20,2,1)&amp;Salto,Tab))),"")</f>
        <v/>
      </c>
      <c r="H20" s="3" t="str">
        <f t="shared" si="2"/>
        <v>M GH i</v>
      </c>
      <c r="I20" s="102" cm="1">
        <f t="array" aca="1" ref="I20" ca="1">ROUND(INDIRECT(H$6&amp;"_"&amp;REPLACE($A20,3,1,"_")),2)</f>
        <v>0</v>
      </c>
      <c r="J20" t="str" cm="1">
        <f t="array" aca="1" ref="J20" ca="1">IF(INDIRECT("L_"&amp;MID($A20,1,2))&lt;&gt;0,IF(MID($A20,4,1)="i",MID($A20,1,1)&amp;Tab,"    ")&amp;
  " {"&amp;$O$45&amp;":NM:"&amp;$P$3&amp;ABS(I20)&amp;":"&amp;ABS(I20)*$P$45&amp;"#"&amp;Retro_MuyBien&amp;$Q$3&amp;ABS(I20)&amp;":"&amp;ABS(I20)*$Q$45&amp;"#"&amp;Retro_Bien&amp;$R$3&amp;ABS(I20)&amp;":"&amp;ABS(I20)*$R$45&amp;"#"&amp;Retro_Mal&amp;"}"&amp;IF(RIGHT($A20,1)="i",IFERROR(VLOOKUP(O20,'ENLACES DIAGRAMAS'!$B:$I,8,0),No_Diagrama),IF(MID($A20,1,1)="M",Tab&amp;MID($A20,2,1)&amp;Salto,IF(OR(MOD(COUNTA($A$8:$A20),4)=0,J21="")," "&amp;
                                    MID($A20,2,1)&amp;Salto,Tab))),"")</f>
        <v/>
      </c>
      <c r="K20" t="str">
        <f>IFERROR(IF(MID(T_Resultados_FTP[[#This Row],[Nudo]],4,1)="j","En la barra "&amp;MID(A19,1,2)&amp;" el momento es de 
       {"&amp;$O$42&amp;":NM:"&amp;$P$3&amp;ABS(ROUND(L20,2))&amp;":"&amp;ABS(ROUND(L20,2))*$P$51&amp;"#"&amp;Retro_MuyBien&amp;
                       $Q$3&amp;ABS(ROUND(L20,2))&amp;":"&amp;ABS(ROUND(L20,2))*$Q$51&amp;"#"&amp;Retro_Bien&amp;
                       $R$3&amp;ABS(ROUND(L20,2))&amp;":"&amp;ABS(ROUND(L20,2))*$R$51&amp;"#"&amp;Retro_Mal&amp;"} kNm, a 
       {"&amp;$O$43&amp;":NM:"&amp;$P$3&amp;ABS(ROUND(L19,0))&amp;":"&amp;ABS(ROUND(L19,2))*$P$51&amp;"#"&amp;Retro_MuyBien&amp;
                       $Q$3&amp;ABS(ROUND(L19,0))&amp;":"&amp;ABS(ROUND(L19,2))*$Q$51&amp;"#"&amp;Retro_Bien&amp;
                       $R$3&amp;ABS(ROUND(L19,0))&amp;":"&amp;ABS(ROUND(L19,2))*$R$51&amp;"#"&amp;Retro_Mal&amp;"} mm del nudo "&amp;MID(A19,1,1)&amp;". "&amp;Salto,""),"")</f>
        <v/>
      </c>
      <c r="L20" s="103" t="str">
        <f ca="1">PROBLEMA!R46</f>
        <v/>
      </c>
      <c r="M20" t="str" cm="1">
        <f t="array" aca="1" ref="M20" ca="1">IF(INDIRECT("L_"&amp;MID($A20,1,2))&lt;&gt;0,IF(  MID(A20,1,2)=MID(A21,1,2),  "N "&amp;
  IF(  C20=0,  "CERO ",         IF(  C20&gt;0,   "POS ",  "NEG " )) &amp;
  IF(  C21=0,  "CERO",          IF(  C21&gt;0,   "POS",  "NEG"  )) &amp;
  IF(AND(C20&lt;&gt;C21,C20&lt;&gt;0,C21&lt;&gt;0),    IF(C20&gt;C21, " MAX_MIN",  " MIN_MAX"),  ""),  ""),"")</f>
        <v/>
      </c>
      <c r="N20" t="str" cm="1">
        <f t="array" aca="1" ref="N20" ca="1">IF(INDIRECT("L_"&amp;MID($A20,1,2))&lt;&gt;0,IF(  MID(A20,1,2)=MID(A21,1,2),  "V "&amp;  IF(  F20=0,  "CERO ",  IF(  F20&gt;0,   "POS ",  "NEG " )) &amp;
                                                                                            IF(  F21=0,  "CERO",   IF(  F21&gt;0,   "POS",   "NEG"  )) &amp;
                                                  IF(AND(F20&lt;&gt;F21,F20&lt;&gt;0,F21&lt;&gt;0),   IF(F20&gt;F21,  " MAX_MIN", " MIN_MAX" ),  ""),  ""),"")</f>
        <v/>
      </c>
      <c r="O20" t="str" cm="1">
        <f t="array" aca="1" ref="O20" ca="1">IF(INDIRECT("L_"&amp;MID($A20,1,2))&lt;&gt;0,IF(  MID(A20,1,2)=MID(A21,1,2),  "M "&amp;
IF(   I20=0,  "CERO ",  IF(  I20&gt;0,   "POS ",  "NEG " )) &amp;
IF(   I21=0,  "CERO",  IF(  ROUND(I21,1)&gt;0,   "POS",  "NEG"  )) &amp;
IF(AND(I20&lt;&gt;I21,I20&lt;&gt;0,I21&lt;&gt;0),   IF(I20&gt;I21,  " MAX_MIN", " MIN_MAX" ),  "") &amp;
IF(OR(INDIRECT("q_"&amp;MID(A20,1,2))&lt;&gt;0,AND(OR(MID(T_Resultados_FTP[[#This Row],[Nudo]],1,2)="CD",MID(T_Resultados_FTP[[#This Row],[Nudo]],1,2)="DE"),q_CE&lt;&gt;0)),
IF(L21="", IF(ABS(F20)&lt;ABS(F21)," M_0"," M_L"),
IF(L21&gt;0,  " POS",  " NEG") &amp;  IF(L21&gt;MAX(I20:I21),  "_MAX", "_MIN" )&amp;
IF(F20=0," M_0",IF(F21=0," M_L",""))),    ""),  ""),"")</f>
        <v/>
      </c>
      <c r="P20" t="str" cm="1">
        <f t="array" aca="1" ref="P20" ca="1">IF(INDIRECT("L_"&amp;MID($A20,1,2))&lt;&gt;0,IF(MID($A20,4,1)="i","N{"&amp;MID($A20,1,1)&amp;"}N ","")&amp;
            " "&amp;ABS(C20)&amp;" "&amp;
                IF(RIGHT($A20,1)="i",IFERROR(VLOOKUP(M20,'ENLACES DIAGRAMAS'!$B:$I,4,0),No_Diagrama),
                   IF(MID($A20,1,1)="M","N{"&amp;MID($A20,2,1)&amp;"}N&lt;br&gt;",IF(OR(MOD(COUNTA($A$8:$A20),4)=0,D21=""),      " N{"&amp;MID($A20,2,1)&amp;"}N&lt;br&gt;",""))),"")</f>
        <v/>
      </c>
      <c r="Q20" t="str" cm="1">
        <f t="array" aca="1" ref="Q20" ca="1">IF(INDIRECT("L_"&amp;MID($A20,1,2))&lt;&gt;0,IF(MID($A20,4,1)="i","N{"&amp;MID($A20,1,1)&amp;"}N ","")&amp;
            " "&amp;ABS(F20)&amp;" "&amp;
                IF(RIGHT($A20,1)="i",IFERROR(VLOOKUP(N20,'ENLACES DIAGRAMAS'!$B:$I,4,0),No_Diagrama),
                   IF(MID($A20,1,1)="M","N{"&amp;MID($A20,2,1)&amp;"}N &lt;br&gt;",IF(OR(MOD(COUNTA($A$8:$A20),4)=0,G21=""),      " N{"&amp;MID($A20,2,1)&amp;"}N &lt;br&gt;",""))),"")</f>
        <v/>
      </c>
      <c r="R20" t="str" cm="1">
        <f t="array" aca="1" ref="R20" ca="1">IF(INDIRECT("L_"&amp;MID($A20,1,2))&lt;&gt;0,IF(MID($A20,4,1)="i","N{"&amp;MID($A20,1,1)&amp;"}N ","")&amp;
            " "&amp;ABS(I20)&amp;" "&amp;
                IF(RIGHT($A20,1)="i",IFERROR(VLOOKUP(O20,'ENLACES DIAGRAMAS'!$B:$I,4,0),No_Diagrama),
                   IF(MID($A20,1,1)="M","N{"&amp;MID($A20,2,1)&amp;"}N &lt;br&gt;",IF(OR(MOD(COUNTA($A$8:$A20),4)=0,J21=""),      " "&amp;"N{"&amp;MID($A20,2,1)&amp;"}N &lt;br&gt;",""))),"")</f>
        <v/>
      </c>
      <c r="S20" s="303" t="str">
        <f ca="1">IF(T_Resultados_FTP[[#This Row],[Codigo axil]]="","",ABS(T_Resultados_FTP[[#This Row],[Axiles]])&amp;" kN")</f>
        <v/>
      </c>
      <c r="T20" s="303" t="str">
        <f ca="1">IF(T_Resultados_FTP[[#This Row],[Codigo Cortante]]="","",ABS(T_Resultados_FTP[[#This Row],[Cortantes]])&amp;" kN")</f>
        <v/>
      </c>
      <c r="U20" s="303" t="str">
        <f ca="1">IF(T_Resultados_FTP[[#This Row],[Codigo Momentos]]="","",ABS(T_Resultados_FTP[[#This Row],[Momentos]])&amp;" kNm")</f>
        <v/>
      </c>
    </row>
    <row r="21" spans="1:21" hidden="1" outlineLevel="1">
      <c r="A21" s="88" t="str">
        <f>PROBLEMA!W47</f>
        <v>GH j</v>
      </c>
      <c r="B21" s="3" t="str">
        <f t="shared" si="0"/>
        <v>N GH j</v>
      </c>
      <c r="C21" s="102" cm="1">
        <f t="array" aca="1" ref="C21" ca="1">ROUND(INDIRECT(B$6&amp;"_"&amp;REPLACE($A21,3,1,"_")),2)</f>
        <v>0</v>
      </c>
      <c r="D21" t="str" cm="1">
        <f t="array" aca="1" ref="D21" ca="1">IF(INDIRECT("L_"&amp;MID($A21,1,2))&lt;&gt;0,IF(MID($A21,4,1)="i",MID($A21,1,1)&amp;Tab,"    ")&amp;
  " {"&amp;$O$45&amp;":NM:"&amp;$P$3&amp;ABS(C21)&amp;":"&amp;ABS(C21)*$P$45&amp;"#"&amp;Retro_MuyBien&amp;$Q$3&amp;ABS(C21)&amp;":"&amp;ABS(C21)*$Q$45&amp;"#"&amp;Retro_Bien&amp;$R$3&amp;ABS(C21)&amp;":"&amp;ABS(C21)*$R$45&amp;"#"&amp;Retro_Mal&amp;"}"&amp;IF(RIGHT($A21,1)="i",IFERROR(VLOOKUP(M21,'ENLACES DIAGRAMAS'!$B:$I,8,0),No_Diagrama),IF(MID($A21,1,1)="M",Tab&amp;MID($A21,2,1)&amp;Salto,IF(OR(MOD(COUNTA($A$8:$A21),4)=0,D22="")," "&amp;
                                    MID($A21,2,1)&amp;Salto,Tab))),"")</f>
        <v/>
      </c>
      <c r="E21" s="3" t="str">
        <f t="shared" si="1"/>
        <v>V GH j</v>
      </c>
      <c r="F21" s="102" cm="1">
        <f t="array" aca="1" ref="F21" ca="1">ROUND(INDIRECT(E$6&amp;"_"&amp;REPLACE($A21,3,1,"_")),2)</f>
        <v>0</v>
      </c>
      <c r="G21" t="str" cm="1">
        <f t="array" aca="1" ref="G21" ca="1">IF(INDIRECT("L_"&amp;MID($A21,1,2))&lt;&gt;0,IF(MID($A21,4,1)="i",MID($A21,1,1)&amp;Tab,"    ")&amp;
  " {"&amp;$O$45&amp;":NM:"&amp;$P$3&amp;ABS(F21)&amp;":"&amp;ABS(F21)*$P$45&amp;"#"&amp;Retro_MuyBien&amp;$Q$3&amp;ABS(F21)&amp;":"&amp;ABS(F21)*$Q$45&amp;"#"&amp;Retro_Bien&amp;$R$3&amp;ABS(F21)&amp;":"&amp;ABS(F21)*$R$45&amp;"#"&amp;Retro_Mal&amp;"}"&amp;IF(RIGHT($A21,1)="i",IFERROR(VLOOKUP(N21,'ENLACES DIAGRAMAS'!$B:$I,8,0),No_Diagrama),IF(MID($A21,1,1)="M",Tab&amp;MID($A21,2,1)&amp;Salto,IF(OR(MOD(COUNTA($A$8:$A21),4)=0,G22="")," "&amp;
                                    MID($A21,2,1)&amp;Salto,Tab))),"")</f>
        <v/>
      </c>
      <c r="H21" s="3" t="str">
        <f t="shared" si="2"/>
        <v>M GH j</v>
      </c>
      <c r="I21" s="102" cm="1">
        <f t="array" aca="1" ref="I21" ca="1">ROUND(INDIRECT(H$6&amp;"_"&amp;REPLACE($A21,3,1,"_")),2)</f>
        <v>0</v>
      </c>
      <c r="J21" t="str" cm="1">
        <f t="array" aca="1" ref="J21" ca="1">IF(INDIRECT("L_"&amp;MID($A21,1,2))&lt;&gt;0,IF(MID($A21,4,1)="i",MID($A21,1,1)&amp;Tab,"    ")&amp;
  " {"&amp;$O$45&amp;":NM:"&amp;$P$3&amp;ABS(I21)&amp;":"&amp;ABS(I21)*$P$45&amp;"#"&amp;Retro_MuyBien&amp;$Q$3&amp;ABS(I21)&amp;":"&amp;ABS(I21)*$Q$45&amp;"#"&amp;Retro_Bien&amp;$R$3&amp;ABS(I21)&amp;":"&amp;ABS(I21)*$R$45&amp;"#"&amp;Retro_Mal&amp;"}"&amp;IF(RIGHT($A21,1)="i",IFERROR(VLOOKUP(O21,'ENLACES DIAGRAMAS'!$B:$I,8,0),No_Diagrama),IF(MID($A21,1,1)="M",Tab&amp;MID($A21,2,1)&amp;Salto,IF(OR(MOD(COUNTA($A$8:$A21),4)=0,J22="")," "&amp;
                                    MID($A21,2,1)&amp;Salto,Tab))),"")</f>
        <v/>
      </c>
      <c r="K21" t="str">
        <f ca="1">IFERROR(IF(MID(T_Resultados_FTP[[#This Row],[Nudo]],4,1)="j","En la barra "&amp;MID(A20,1,2)&amp;" el momento es de 
       {"&amp;$O$42&amp;":NM:"&amp;$P$3&amp;ABS(ROUND(L21,2))&amp;":"&amp;ABS(ROUND(L21,2))*$P$51&amp;"#"&amp;Retro_MuyBien&amp;
                       $Q$3&amp;ABS(ROUND(L21,2))&amp;":"&amp;ABS(ROUND(L21,2))*$Q$51&amp;"#"&amp;Retro_Bien&amp;
                       $R$3&amp;ABS(ROUND(L21,2))&amp;":"&amp;ABS(ROUND(L21,2))*$R$51&amp;"#"&amp;Retro_Mal&amp;"} kNm, a 
       {"&amp;$O$43&amp;":NM:"&amp;$P$3&amp;ABS(ROUND(L20,0))&amp;":"&amp;ABS(ROUND(L20,2))*$P$51&amp;"#"&amp;Retro_MuyBien&amp;
                       $Q$3&amp;ABS(ROUND(L20,0))&amp;":"&amp;ABS(ROUND(L20,2))*$Q$51&amp;"#"&amp;Retro_Bien&amp;
                       $R$3&amp;ABS(ROUND(L20,0))&amp;":"&amp;ABS(ROUND(L20,2))*$R$51&amp;"#"&amp;Retro_Mal&amp;"} mm del nudo "&amp;MID(A20,1,1)&amp;". "&amp;Salto,""),"")</f>
        <v/>
      </c>
      <c r="L21" s="104" t="str">
        <f ca="1">PROBLEMA!R47</f>
        <v/>
      </c>
      <c r="M21" t="str" cm="1">
        <f t="array" aca="1" ref="M21" ca="1">IF(INDIRECT("L_"&amp;MID($A21,1,2))&lt;&gt;0,IF(  MID(A21,1,2)=MID(A22,1,2),  "N "&amp;
  IF(  C21=0,  "CERO ",         IF(  C21&gt;0,   "POS ",  "NEG " )) &amp;
  IF(  C22=0,  "CERO",          IF(  C22&gt;0,   "POS",  "NEG"  )) &amp;
  IF(AND(C21&lt;&gt;C22,C21&lt;&gt;0,C22&lt;&gt;0),    IF(C21&gt;C22, " MAX_MIN",  " MIN_MAX"),  ""),  ""),"")</f>
        <v/>
      </c>
      <c r="N21" t="str" cm="1">
        <f t="array" aca="1" ref="N21" ca="1">IF(INDIRECT("L_"&amp;MID($A21,1,2))&lt;&gt;0,IF(  MID(A21,1,2)=MID(A22,1,2),  "V "&amp;  IF(  F21=0,  "CERO ",  IF(  F21&gt;0,   "POS ",  "NEG " )) &amp;
                                                                                            IF(  F22=0,  "CERO",   IF(  F22&gt;0,   "POS",   "NEG"  )) &amp;
                                                  IF(AND(F21&lt;&gt;F22,F21&lt;&gt;0,F22&lt;&gt;0),   IF(F21&gt;F22,  " MAX_MIN", " MIN_MAX" ),  ""),  ""),"")</f>
        <v/>
      </c>
      <c r="O21" t="str" cm="1">
        <f t="array" aca="1" ref="O21" ca="1">IF(INDIRECT("L_"&amp;MID($A21,1,2))&lt;&gt;0,IF(  MID(A21,1,2)=MID(A22,1,2),  "M "&amp;
IF(   I21=0,  "CERO ",  IF(  I21&gt;0,   "POS ",  "NEG " )) &amp;
IF(   I22=0,  "CERO",  IF(  ROUND(I22,1)&gt;0,   "POS",  "NEG"  )) &amp;
IF(AND(I21&lt;&gt;I22,I21&lt;&gt;0,I22&lt;&gt;0),   IF(I21&gt;I22,  " MAX_MIN", " MIN_MAX" ),  "") &amp;
IF(OR(INDIRECT("q_"&amp;MID(A21,1,2))&lt;&gt;0,AND(OR(MID(T_Resultados_FTP[[#This Row],[Nudo]],1,2)="CD",MID(T_Resultados_FTP[[#This Row],[Nudo]],1,2)="DE"),q_CE&lt;&gt;0)),
IF(L22="", IF(ABS(F21)&lt;ABS(F22)," M_0"," M_L"),
IF(L22&gt;0,  " POS",  " NEG") &amp;  IF(L22&gt;MAX(I21:I22),  "_MAX", "_MIN" )&amp;
IF(F21=0," M_0",IF(F22=0," M_L",""))),    ""),  ""),"")</f>
        <v/>
      </c>
      <c r="P21" t="str" cm="1">
        <f t="array" aca="1" ref="P21" ca="1">IF(INDIRECT("L_"&amp;MID($A21,1,2))&lt;&gt;0,IF(MID($A21,4,1)="i","N{"&amp;MID($A21,1,1)&amp;"}N ","")&amp;
            " "&amp;ABS(C21)&amp;" "&amp;
                IF(RIGHT($A21,1)="i",IFERROR(VLOOKUP(M21,'ENLACES DIAGRAMAS'!$B:$I,4,0),No_Diagrama),
                   IF(MID($A21,1,1)="M","N{"&amp;MID($A21,2,1)&amp;"}N&lt;br&gt;",IF(OR(MOD(COUNTA($A$8:$A21),4)=0,D22=""),      " N{"&amp;MID($A21,2,1)&amp;"}N&lt;br&gt;",""))),"")</f>
        <v/>
      </c>
      <c r="Q21" t="str" cm="1">
        <f t="array" aca="1" ref="Q21" ca="1">IF(INDIRECT("L_"&amp;MID($A21,1,2))&lt;&gt;0,IF(MID($A21,4,1)="i","N{"&amp;MID($A21,1,1)&amp;"}N ","")&amp;
            " "&amp;ABS(F21)&amp;" "&amp;
                IF(RIGHT($A21,1)="i",IFERROR(VLOOKUP(N21,'ENLACES DIAGRAMAS'!$B:$I,4,0),No_Diagrama),
                   IF(MID($A21,1,1)="M","N{"&amp;MID($A21,2,1)&amp;"}N &lt;br&gt;",IF(OR(MOD(COUNTA($A$8:$A21),4)=0,G22=""),      " N{"&amp;MID($A21,2,1)&amp;"}N &lt;br&gt;",""))),"")</f>
        <v/>
      </c>
      <c r="R21" t="str" cm="1">
        <f t="array" aca="1" ref="R21" ca="1">IF(INDIRECT("L_"&amp;MID($A21,1,2))&lt;&gt;0,IF(MID($A21,4,1)="i","N{"&amp;MID($A21,1,1)&amp;"}N ","")&amp;
            " "&amp;ABS(I21)&amp;" "&amp;
                IF(RIGHT($A21,1)="i",IFERROR(VLOOKUP(O21,'ENLACES DIAGRAMAS'!$B:$I,4,0),No_Diagrama),
                   IF(MID($A21,1,1)="M","N{"&amp;MID($A21,2,1)&amp;"}N &lt;br&gt;",IF(OR(MOD(COUNTA($A$8:$A21),4)=0,J22=""),      " "&amp;"N{"&amp;MID($A21,2,1)&amp;"}N &lt;br&gt;",""))),"")</f>
        <v/>
      </c>
      <c r="S21" s="303" t="str">
        <f ca="1">IF(T_Resultados_FTP[[#This Row],[Codigo axil]]="","",ABS(T_Resultados_FTP[[#This Row],[Axiles]])&amp;" kN")</f>
        <v/>
      </c>
      <c r="T21" s="303" t="str">
        <f ca="1">IF(T_Resultados_FTP[[#This Row],[Codigo Cortante]]="","",ABS(T_Resultados_FTP[[#This Row],[Cortantes]])&amp;" kN")</f>
        <v/>
      </c>
      <c r="U21" s="303" t="str">
        <f ca="1">IF(T_Resultados_FTP[[#This Row],[Codigo Momentos]]="","",ABS(T_Resultados_FTP[[#This Row],[Momentos]])&amp;" kNm")</f>
        <v/>
      </c>
    </row>
    <row r="22" spans="1:21" hidden="1" outlineLevel="1">
      <c r="A22" s="88" t="str">
        <f>PROBLEMA!W48</f>
        <v>HI i</v>
      </c>
      <c r="B22" s="3" t="str">
        <f t="shared" si="0"/>
        <v>N HI i</v>
      </c>
      <c r="C22" s="102" cm="1">
        <f t="array" aca="1" ref="C22" ca="1">ROUND(INDIRECT(B$6&amp;"_"&amp;REPLACE($A22,3,1,"_")),2)</f>
        <v>0</v>
      </c>
      <c r="D22" t="str" cm="1">
        <f t="array" aca="1" ref="D22" ca="1">IF(INDIRECT("L_"&amp;MID($A22,1,2))&lt;&gt;0,IF(MID($A22,4,1)="i",MID($A22,1,1)&amp;Tab,"    ")&amp;
  " {"&amp;$O$45&amp;":NM:"&amp;$P$3&amp;ABS(C22)&amp;":"&amp;ABS(C22)*$P$45&amp;"#"&amp;Retro_MuyBien&amp;$Q$3&amp;ABS(C22)&amp;":"&amp;ABS(C22)*$Q$45&amp;"#"&amp;Retro_Bien&amp;$R$3&amp;ABS(C22)&amp;":"&amp;ABS(C22)*$R$45&amp;"#"&amp;Retro_Mal&amp;"}"&amp;IF(RIGHT($A22,1)="i",IFERROR(VLOOKUP(M22,'ENLACES DIAGRAMAS'!$B:$I,8,0),No_Diagrama),IF(MID($A22,1,1)="M",Tab&amp;MID($A22,2,1)&amp;Salto,IF(OR(MOD(COUNTA($A$8:$A22),4)=0,D23="")," "&amp;
                                    MID($A22,2,1)&amp;Salto,Tab))),"")</f>
        <v/>
      </c>
      <c r="E22" s="3" t="str">
        <f t="shared" si="1"/>
        <v>V HI i</v>
      </c>
      <c r="F22" s="102" cm="1">
        <f t="array" aca="1" ref="F22" ca="1">ROUND(INDIRECT(E$6&amp;"_"&amp;REPLACE($A22,3,1,"_")),2)</f>
        <v>0</v>
      </c>
      <c r="G22" t="str" cm="1">
        <f t="array" aca="1" ref="G22" ca="1">IF(INDIRECT("L_"&amp;MID($A22,1,2))&lt;&gt;0,IF(MID($A22,4,1)="i",MID($A22,1,1)&amp;Tab,"    ")&amp;
  " {"&amp;$O$45&amp;":NM:"&amp;$P$3&amp;ABS(F22)&amp;":"&amp;ABS(F22)*$P$45&amp;"#"&amp;Retro_MuyBien&amp;$Q$3&amp;ABS(F22)&amp;":"&amp;ABS(F22)*$Q$45&amp;"#"&amp;Retro_Bien&amp;$R$3&amp;ABS(F22)&amp;":"&amp;ABS(F22)*$R$45&amp;"#"&amp;Retro_Mal&amp;"}"&amp;IF(RIGHT($A22,1)="i",IFERROR(VLOOKUP(N22,'ENLACES DIAGRAMAS'!$B:$I,8,0),No_Diagrama),IF(MID($A22,1,1)="M",Tab&amp;MID($A22,2,1)&amp;Salto,IF(OR(MOD(COUNTA($A$8:$A22),4)=0,G23="")," "&amp;
                                    MID($A22,2,1)&amp;Salto,Tab))),"")</f>
        <v/>
      </c>
      <c r="H22" s="3" t="str">
        <f t="shared" si="2"/>
        <v>M HI i</v>
      </c>
      <c r="I22" s="102" cm="1">
        <f t="array" aca="1" ref="I22" ca="1">ROUND(INDIRECT(H$6&amp;"_"&amp;REPLACE($A22,3,1,"_")),2)</f>
        <v>0</v>
      </c>
      <c r="J22" t="str" cm="1">
        <f t="array" aca="1" ref="J22" ca="1">IF(INDIRECT("L_"&amp;MID($A22,1,2))&lt;&gt;0,IF(MID($A22,4,1)="i",MID($A22,1,1)&amp;Tab,"    ")&amp;
  " {"&amp;$O$45&amp;":NM:"&amp;$P$3&amp;ABS(I22)&amp;":"&amp;ABS(I22)*$P$45&amp;"#"&amp;Retro_MuyBien&amp;$Q$3&amp;ABS(I22)&amp;":"&amp;ABS(I22)*$Q$45&amp;"#"&amp;Retro_Bien&amp;$R$3&amp;ABS(I22)&amp;":"&amp;ABS(I22)*$R$45&amp;"#"&amp;Retro_Mal&amp;"}"&amp;IF(RIGHT($A22,1)="i",IFERROR(VLOOKUP(O22,'ENLACES DIAGRAMAS'!$B:$I,8,0),No_Diagrama),IF(MID($A22,1,1)="M",Tab&amp;MID($A22,2,1)&amp;Salto,IF(OR(MOD(COUNTA($A$8:$A22),4)=0,J23="")," "&amp;
                                    MID($A22,2,1)&amp;Salto,Tab))),"")</f>
        <v/>
      </c>
      <c r="K22" t="str">
        <f>IFERROR(IF(MID(T_Resultados_FTP[[#This Row],[Nudo]],4,1)="j","En la barra "&amp;MID(A21,1,2)&amp;" el momento es de 
       {"&amp;$O$42&amp;":NM:"&amp;$P$3&amp;ABS(ROUND(L22,2))&amp;":"&amp;ABS(ROUND(L22,2))*$P$51&amp;"#"&amp;Retro_MuyBien&amp;
                       $Q$3&amp;ABS(ROUND(L22,2))&amp;":"&amp;ABS(ROUND(L22,2))*$Q$51&amp;"#"&amp;Retro_Bien&amp;
                       $R$3&amp;ABS(ROUND(L22,2))&amp;":"&amp;ABS(ROUND(L22,2))*$R$51&amp;"#"&amp;Retro_Mal&amp;"} kNm, a 
       {"&amp;$O$43&amp;":NM:"&amp;$P$3&amp;ABS(ROUND(L21,0))&amp;":"&amp;ABS(ROUND(L21,2))*$P$51&amp;"#"&amp;Retro_MuyBien&amp;
                       $Q$3&amp;ABS(ROUND(L21,0))&amp;":"&amp;ABS(ROUND(L21,2))*$Q$51&amp;"#"&amp;Retro_Bien&amp;
                       $R$3&amp;ABS(ROUND(L21,0))&amp;":"&amp;ABS(ROUND(L21,2))*$R$51&amp;"#"&amp;Retro_Mal&amp;"} mm del nudo "&amp;MID(A21,1,1)&amp;". "&amp;Salto,""),"")</f>
        <v/>
      </c>
      <c r="L22" s="103" t="str">
        <f ca="1">PROBLEMA!R48</f>
        <v/>
      </c>
      <c r="M22" t="str" cm="1">
        <f t="array" aca="1" ref="M22" ca="1">IF(INDIRECT("L_"&amp;MID($A22,1,2))&lt;&gt;0,IF(  MID(A22,1,2)=MID(A23,1,2),  "N "&amp;
  IF(  C22=0,  "CERO ",         IF(  C22&gt;0,   "POS ",  "NEG " )) &amp;
  IF(  C23=0,  "CERO",          IF(  C23&gt;0,   "POS",  "NEG"  )) &amp;
  IF(AND(C22&lt;&gt;C23,C22&lt;&gt;0,C23&lt;&gt;0),    IF(C22&gt;C23, " MAX_MIN",  " MIN_MAX"),  ""),  ""),"")</f>
        <v/>
      </c>
      <c r="N22" t="str" cm="1">
        <f t="array" aca="1" ref="N22" ca="1">IF(INDIRECT("L_"&amp;MID($A22,1,2))&lt;&gt;0,IF(  MID(A22,1,2)=MID(A23,1,2),  "V "&amp;  IF(  F22=0,  "CERO ",  IF(  F22&gt;0,   "POS ",  "NEG " )) &amp;
                                                                                            IF(  F23=0,  "CERO",   IF(  F23&gt;0,   "POS",   "NEG"  )) &amp;
                                                  IF(AND(F22&lt;&gt;F23,F22&lt;&gt;0,F23&lt;&gt;0),   IF(F22&gt;F23,  " MAX_MIN", " MIN_MAX" ),  ""),  ""),"")</f>
        <v/>
      </c>
      <c r="O22" t="str" cm="1">
        <f t="array" aca="1" ref="O22" ca="1">IF(INDIRECT("L_"&amp;MID($A22,1,2))&lt;&gt;0,IF(  MID(A22,1,2)=MID(A23,1,2),  "M "&amp;
IF(   I22=0,  "CERO ",  IF(  I22&gt;0,   "POS ",  "NEG " )) &amp;
IF(   I23=0,  "CERO",  IF(  ROUND(I23,1)&gt;0,   "POS",  "NEG"  )) &amp;
IF(AND(I22&lt;&gt;I23,I22&lt;&gt;0,I23&lt;&gt;0),   IF(I22&gt;I23,  " MAX_MIN", " MIN_MAX" ),  "") &amp;
IF(OR(INDIRECT("q_"&amp;MID(A22,1,2))&lt;&gt;0,AND(OR(MID(T_Resultados_FTP[[#This Row],[Nudo]],1,2)="CD",MID(T_Resultados_FTP[[#This Row],[Nudo]],1,2)="DE"),q_CE&lt;&gt;0)),
IF(L23="", IF(ABS(F22)&lt;ABS(F23)," M_0"," M_L"),
IF(L23&gt;0,  " POS",  " NEG") &amp;  IF(L23&gt;MAX(I22:I23),  "_MAX", "_MIN" )&amp;
IF(F22=0," M_0",IF(F23=0," M_L",""))),    ""),  ""),"")</f>
        <v/>
      </c>
      <c r="P22" t="str" cm="1">
        <f t="array" aca="1" ref="P22" ca="1">IF(INDIRECT("L_"&amp;MID($A22,1,2))&lt;&gt;0,IF(MID($A22,4,1)="i","N{"&amp;MID($A22,1,1)&amp;"}N ","")&amp;
            " "&amp;ABS(C22)&amp;" "&amp;
                IF(RIGHT($A22,1)="i",IFERROR(VLOOKUP(M22,'ENLACES DIAGRAMAS'!$B:$I,4,0),No_Diagrama),
                   IF(MID($A22,1,1)="M","N{"&amp;MID($A22,2,1)&amp;"}N&lt;br&gt;",IF(OR(MOD(COUNTA($A$8:$A22),4)=0,D23=""),      " N{"&amp;MID($A22,2,1)&amp;"}N&lt;br&gt;",""))),"")</f>
        <v/>
      </c>
      <c r="Q22" t="str" cm="1">
        <f t="array" aca="1" ref="Q22" ca="1">IF(INDIRECT("L_"&amp;MID($A22,1,2))&lt;&gt;0,IF(MID($A22,4,1)="i","N{"&amp;MID($A22,1,1)&amp;"}N ","")&amp;
            " "&amp;ABS(F22)&amp;" "&amp;
                IF(RIGHT($A22,1)="i",IFERROR(VLOOKUP(N22,'ENLACES DIAGRAMAS'!$B:$I,4,0),No_Diagrama),
                   IF(MID($A22,1,1)="M","N{"&amp;MID($A22,2,1)&amp;"}N &lt;br&gt;",IF(OR(MOD(COUNTA($A$8:$A22),4)=0,G23=""),      " N{"&amp;MID($A22,2,1)&amp;"}N &lt;br&gt;",""))),"")</f>
        <v/>
      </c>
      <c r="R22" t="str" cm="1">
        <f t="array" aca="1" ref="R22" ca="1">IF(INDIRECT("L_"&amp;MID($A22,1,2))&lt;&gt;0,IF(MID($A22,4,1)="i","N{"&amp;MID($A22,1,1)&amp;"}N ","")&amp;
            " "&amp;ABS(I22)&amp;" "&amp;
                IF(RIGHT($A22,1)="i",IFERROR(VLOOKUP(O22,'ENLACES DIAGRAMAS'!$B:$I,4,0),No_Diagrama),
                   IF(MID($A22,1,1)="M","N{"&amp;MID($A22,2,1)&amp;"}N &lt;br&gt;",IF(OR(MOD(COUNTA($A$8:$A22),4)=0,J23=""),      " "&amp;"N{"&amp;MID($A22,2,1)&amp;"}N &lt;br&gt;",""))),"")</f>
        <v/>
      </c>
      <c r="S22" s="303" t="str">
        <f ca="1">IF(T_Resultados_FTP[[#This Row],[Codigo axil]]="","",ABS(T_Resultados_FTP[[#This Row],[Axiles]])&amp;" kN")</f>
        <v/>
      </c>
      <c r="T22" s="303" t="str">
        <f ca="1">IF(T_Resultados_FTP[[#This Row],[Codigo Cortante]]="","",ABS(T_Resultados_FTP[[#This Row],[Cortantes]])&amp;" kN")</f>
        <v/>
      </c>
      <c r="U22" s="303" t="str">
        <f ca="1">IF(T_Resultados_FTP[[#This Row],[Codigo Momentos]]="","",ABS(T_Resultados_FTP[[#This Row],[Momentos]])&amp;" kNm")</f>
        <v/>
      </c>
    </row>
    <row r="23" spans="1:21" hidden="1" outlineLevel="1">
      <c r="A23" s="88" t="str">
        <f>PROBLEMA!W49</f>
        <v>HI j</v>
      </c>
      <c r="B23" s="3" t="str">
        <f t="shared" si="0"/>
        <v>N HI j</v>
      </c>
      <c r="C23" s="102" cm="1">
        <f t="array" aca="1" ref="C23" ca="1">ROUND(INDIRECT(B$6&amp;"_"&amp;REPLACE($A23,3,1,"_")),2)</f>
        <v>0</v>
      </c>
      <c r="D23" t="str" cm="1">
        <f t="array" aca="1" ref="D23" ca="1">IF(INDIRECT("L_"&amp;MID($A23,1,2))&lt;&gt;0,IF(MID($A23,4,1)="i",MID($A23,1,1)&amp;Tab,"    ")&amp;
  " {"&amp;$O$45&amp;":NM:"&amp;$P$3&amp;ABS(C23)&amp;":"&amp;ABS(C23)*$P$45&amp;"#"&amp;Retro_MuyBien&amp;$Q$3&amp;ABS(C23)&amp;":"&amp;ABS(C23)*$Q$45&amp;"#"&amp;Retro_Bien&amp;$R$3&amp;ABS(C23)&amp;":"&amp;ABS(C23)*$R$45&amp;"#"&amp;Retro_Mal&amp;"}"&amp;IF(RIGHT($A23,1)="i",IFERROR(VLOOKUP(M23,'ENLACES DIAGRAMAS'!$B:$I,8,0),No_Diagrama),IF(MID($A23,1,1)="M",Tab&amp;MID($A23,2,1)&amp;Salto,IF(OR(MOD(COUNTA($A$8:$A23),4)=0,D24="")," "&amp;
                                    MID($A23,2,1)&amp;Salto,Tab))),"")</f>
        <v/>
      </c>
      <c r="E23" s="3" t="str">
        <f t="shared" si="1"/>
        <v>V HI j</v>
      </c>
      <c r="F23" s="102" cm="1">
        <f t="array" aca="1" ref="F23" ca="1">ROUND(INDIRECT(E$6&amp;"_"&amp;REPLACE($A23,3,1,"_")),2)</f>
        <v>0</v>
      </c>
      <c r="G23" t="str" cm="1">
        <f t="array" aca="1" ref="G23" ca="1">IF(INDIRECT("L_"&amp;MID($A23,1,2))&lt;&gt;0,IF(MID($A23,4,1)="i",MID($A23,1,1)&amp;Tab,"    ")&amp;
  " {"&amp;$O$45&amp;":NM:"&amp;$P$3&amp;ABS(F23)&amp;":"&amp;ABS(F23)*$P$45&amp;"#"&amp;Retro_MuyBien&amp;$Q$3&amp;ABS(F23)&amp;":"&amp;ABS(F23)*$Q$45&amp;"#"&amp;Retro_Bien&amp;$R$3&amp;ABS(F23)&amp;":"&amp;ABS(F23)*$R$45&amp;"#"&amp;Retro_Mal&amp;"}"&amp;IF(RIGHT($A23,1)="i",IFERROR(VLOOKUP(N23,'ENLACES DIAGRAMAS'!$B:$I,8,0),No_Diagrama),IF(MID($A23,1,1)="M",Tab&amp;MID($A23,2,1)&amp;Salto,IF(OR(MOD(COUNTA($A$8:$A23),4)=0,G24="")," "&amp;
                                    MID($A23,2,1)&amp;Salto,Tab))),"")</f>
        <v/>
      </c>
      <c r="H23" s="3" t="str">
        <f t="shared" si="2"/>
        <v>M HI j</v>
      </c>
      <c r="I23" s="102" cm="1">
        <f t="array" aca="1" ref="I23" ca="1">ROUND(INDIRECT(H$6&amp;"_"&amp;REPLACE($A23,3,1,"_")),2)</f>
        <v>0</v>
      </c>
      <c r="J23" t="str" cm="1">
        <f t="array" aca="1" ref="J23" ca="1">IF(INDIRECT("L_"&amp;MID($A23,1,2))&lt;&gt;0,IF(MID($A23,4,1)="i",MID($A23,1,1)&amp;Tab,"    ")&amp;
  " {"&amp;$O$45&amp;":NM:"&amp;$P$3&amp;ABS(I23)&amp;":"&amp;ABS(I23)*$P$45&amp;"#"&amp;Retro_MuyBien&amp;$Q$3&amp;ABS(I23)&amp;":"&amp;ABS(I23)*$Q$45&amp;"#"&amp;Retro_Bien&amp;$R$3&amp;ABS(I23)&amp;":"&amp;ABS(I23)*$R$45&amp;"#"&amp;Retro_Mal&amp;"}"&amp;IF(RIGHT($A23,1)="i",IFERROR(VLOOKUP(O23,'ENLACES DIAGRAMAS'!$B:$I,8,0),No_Diagrama),IF(MID($A23,1,1)="M",Tab&amp;MID($A23,2,1)&amp;Salto,IF(OR(MOD(COUNTA($A$8:$A23),4)=0,J24="")," "&amp;
                                    MID($A23,2,1)&amp;Salto,Tab))),"")</f>
        <v/>
      </c>
      <c r="K23" t="str">
        <f ca="1">IFERROR(IF(MID(T_Resultados_FTP[[#This Row],[Nudo]],4,1)="j","En la barra "&amp;MID(A22,1,2)&amp;" el momento es de 
       {"&amp;$O$42&amp;":NM:"&amp;$P$3&amp;ABS(ROUND(L23,2))&amp;":"&amp;ABS(ROUND(L23,2))*$P$51&amp;"#"&amp;Retro_MuyBien&amp;
                       $Q$3&amp;ABS(ROUND(L23,2))&amp;":"&amp;ABS(ROUND(L23,2))*$Q$51&amp;"#"&amp;Retro_Bien&amp;
                       $R$3&amp;ABS(ROUND(L23,2))&amp;":"&amp;ABS(ROUND(L23,2))*$R$51&amp;"#"&amp;Retro_Mal&amp;"} kNm, a 
       {"&amp;$O$43&amp;":NM:"&amp;$P$3&amp;ABS(ROUND(L22,0))&amp;":"&amp;ABS(ROUND(L22,2))*$P$51&amp;"#"&amp;Retro_MuyBien&amp;
                       $Q$3&amp;ABS(ROUND(L22,0))&amp;":"&amp;ABS(ROUND(L22,2))*$Q$51&amp;"#"&amp;Retro_Bien&amp;
                       $R$3&amp;ABS(ROUND(L22,0))&amp;":"&amp;ABS(ROUND(L22,2))*$R$51&amp;"#"&amp;Retro_Mal&amp;"} mm del nudo "&amp;MID(A22,1,1)&amp;". "&amp;Salto,""),"")</f>
        <v/>
      </c>
      <c r="L23" s="104" t="str">
        <f ca="1">PROBLEMA!R49</f>
        <v/>
      </c>
      <c r="M23" t="str" cm="1">
        <f t="array" aca="1" ref="M23" ca="1">IF(INDIRECT("L_"&amp;MID($A23,1,2))&lt;&gt;0,IF(  MID(A23,1,2)=MID(A24,1,2),  "N "&amp;
  IF(  C23=0,  "CERO ",         IF(  C23&gt;0,   "POS ",  "NEG " )) &amp;
  IF(  C24=0,  "CERO",          IF(  C24&gt;0,   "POS",  "NEG"  )) &amp;
  IF(AND(C23&lt;&gt;C24,C23&lt;&gt;0,C24&lt;&gt;0),    IF(C23&gt;C24, " MAX_MIN",  " MIN_MAX"),  ""),  ""),"")</f>
        <v/>
      </c>
      <c r="N23" t="str" cm="1">
        <f t="array" aca="1" ref="N23" ca="1">IF(INDIRECT("L_"&amp;MID($A23,1,2))&lt;&gt;0,IF(  MID(A23,1,2)=MID(A24,1,2),  "V "&amp;  IF(  F23=0,  "CERO ",  IF(  F23&gt;0,   "POS ",  "NEG " )) &amp;
                                                                                            IF(  F24=0,  "CERO",   IF(  F24&gt;0,   "POS",   "NEG"  )) &amp;
                                                  IF(AND(F23&lt;&gt;F24,F23&lt;&gt;0,F24&lt;&gt;0),   IF(F23&gt;F24,  " MAX_MIN", " MIN_MAX" ),  ""),  ""),"")</f>
        <v/>
      </c>
      <c r="O23" t="str" cm="1">
        <f t="array" aca="1" ref="O23" ca="1">IF(INDIRECT("L_"&amp;MID($A23,1,2))&lt;&gt;0,IF(  MID(A23,1,2)=MID(A24,1,2),  "M "&amp;
IF(   I23=0,  "CERO ",  IF(  I23&gt;0,   "POS ",  "NEG " )) &amp;
IF(   I24=0,  "CERO",  IF(  ROUND(I24,1)&gt;0,   "POS",  "NEG"  )) &amp;
IF(AND(I23&lt;&gt;I24,I23&lt;&gt;0,I24&lt;&gt;0),   IF(I23&gt;I24,  " MAX_MIN", " MIN_MAX" ),  "") &amp;
IF(OR(INDIRECT("q_"&amp;MID(A23,1,2))&lt;&gt;0,AND(OR(MID(T_Resultados_FTP[[#This Row],[Nudo]],1,2)="CD",MID(T_Resultados_FTP[[#This Row],[Nudo]],1,2)="DE"),q_CE&lt;&gt;0)),
IF(L24="", IF(ABS(F23)&lt;ABS(F24)," M_0"," M_L"),
IF(L24&gt;0,  " POS",  " NEG") &amp;  IF(L24&gt;MAX(I23:I24),  "_MAX", "_MIN" )&amp;
IF(F23=0," M_0",IF(F24=0," M_L",""))),    ""),  ""),"")</f>
        <v/>
      </c>
      <c r="P23" t="str" cm="1">
        <f t="array" aca="1" ref="P23" ca="1">IF(INDIRECT("L_"&amp;MID($A23,1,2))&lt;&gt;0,IF(MID($A23,4,1)="i","N{"&amp;MID($A23,1,1)&amp;"}N ","")&amp;
            " "&amp;ABS(C23)&amp;" "&amp;
                IF(RIGHT($A23,1)="i",IFERROR(VLOOKUP(M23,'ENLACES DIAGRAMAS'!$B:$I,4,0),No_Diagrama),
                   IF(MID($A23,1,1)="M","N{"&amp;MID($A23,2,1)&amp;"}N&lt;br&gt;",IF(OR(MOD(COUNTA($A$8:$A23),4)=0,D24=""),      " N{"&amp;MID($A23,2,1)&amp;"}N&lt;br&gt;",""))),"")</f>
        <v/>
      </c>
      <c r="Q23" t="str" cm="1">
        <f t="array" aca="1" ref="Q23" ca="1">IF(INDIRECT("L_"&amp;MID($A23,1,2))&lt;&gt;0,IF(MID($A23,4,1)="i","N{"&amp;MID($A23,1,1)&amp;"}N ","")&amp;
            " "&amp;ABS(F23)&amp;" "&amp;
                IF(RIGHT($A23,1)="i",IFERROR(VLOOKUP(N23,'ENLACES DIAGRAMAS'!$B:$I,4,0),No_Diagrama),
                   IF(MID($A23,1,1)="M","N{"&amp;MID($A23,2,1)&amp;"}N &lt;br&gt;",IF(OR(MOD(COUNTA($A$8:$A23),4)=0,G24=""),      " N{"&amp;MID($A23,2,1)&amp;"}N &lt;br&gt;",""))),"")</f>
        <v/>
      </c>
      <c r="R23" t="str" cm="1">
        <f t="array" aca="1" ref="R23" ca="1">IF(INDIRECT("L_"&amp;MID($A23,1,2))&lt;&gt;0,IF(MID($A23,4,1)="i","N{"&amp;MID($A23,1,1)&amp;"}N ","")&amp;
            " "&amp;ABS(I23)&amp;" "&amp;
                IF(RIGHT($A23,1)="i",IFERROR(VLOOKUP(O23,'ENLACES DIAGRAMAS'!$B:$I,4,0),No_Diagrama),
                   IF(MID($A23,1,1)="M","N{"&amp;MID($A23,2,1)&amp;"}N &lt;br&gt;",IF(OR(MOD(COUNTA($A$8:$A23),4)=0,J24=""),      " "&amp;"N{"&amp;MID($A23,2,1)&amp;"}N &lt;br&gt;",""))),"")</f>
        <v/>
      </c>
      <c r="S23" s="303" t="str">
        <f ca="1">IF(T_Resultados_FTP[[#This Row],[Codigo axil]]="","",ABS(T_Resultados_FTP[[#This Row],[Axiles]])&amp;" kN")</f>
        <v/>
      </c>
      <c r="T23" s="303" t="str">
        <f ca="1">IF(T_Resultados_FTP[[#This Row],[Codigo Cortante]]="","",ABS(T_Resultados_FTP[[#This Row],[Cortantes]])&amp;" kN")</f>
        <v/>
      </c>
      <c r="U23" s="303" t="str">
        <f ca="1">IF(T_Resultados_FTP[[#This Row],[Codigo Momentos]]="","",ABS(T_Resultados_FTP[[#This Row],[Momentos]])&amp;" kNm")</f>
        <v/>
      </c>
    </row>
    <row r="24" spans="1:21" hidden="1" outlineLevel="1">
      <c r="A24" s="88" t="str">
        <f>PROBLEMA!W50</f>
        <v>GJ i</v>
      </c>
      <c r="B24" s="3" t="str">
        <f t="shared" si="0"/>
        <v>N GJ i</v>
      </c>
      <c r="C24" s="102" cm="1">
        <f t="array" aca="1" ref="C24" ca="1">ROUND(INDIRECT(B$6&amp;"_"&amp;REPLACE($A24,3,1,"_")),2)</f>
        <v>0</v>
      </c>
      <c r="D24" t="str" cm="1">
        <f t="array" aca="1" ref="D24" ca="1">IF(INDIRECT("L_"&amp;MID($A24,1,2))&lt;&gt;0,IF(MID($A24,4,1)="i",MID($A24,1,1)&amp;Tab,"    ")&amp;
  " {"&amp;$O$45&amp;":NM:"&amp;$P$3&amp;ABS(C24)&amp;":"&amp;ABS(C24)*$P$45&amp;"#"&amp;Retro_MuyBien&amp;$Q$3&amp;ABS(C24)&amp;":"&amp;ABS(C24)*$Q$45&amp;"#"&amp;Retro_Bien&amp;$R$3&amp;ABS(C24)&amp;":"&amp;ABS(C24)*$R$45&amp;"#"&amp;Retro_Mal&amp;"}"&amp;IF(RIGHT($A24,1)="i",IFERROR(VLOOKUP(M24,'ENLACES DIAGRAMAS'!$B:$I,8,0),No_Diagrama),IF(MID($A24,1,1)="M",Tab&amp;MID($A24,2,1)&amp;Salto,IF(OR(MOD(COUNTA($A$8:$A24),4)=0,D25="")," "&amp;
                                    MID($A24,2,1)&amp;Salto,Tab))),"")</f>
        <v/>
      </c>
      <c r="E24" s="3" t="str">
        <f t="shared" si="1"/>
        <v>V GJ i</v>
      </c>
      <c r="F24" s="102" cm="1">
        <f t="array" aca="1" ref="F24" ca="1">ROUND(INDIRECT(E$6&amp;"_"&amp;REPLACE($A24,3,1,"_")),2)</f>
        <v>0</v>
      </c>
      <c r="G24" t="str" cm="1">
        <f t="array" aca="1" ref="G24" ca="1">IF(INDIRECT("L_"&amp;MID($A24,1,2))&lt;&gt;0,IF(MID($A24,4,1)="i",MID($A24,1,1)&amp;Tab,"    ")&amp;
  " {"&amp;$O$45&amp;":NM:"&amp;$P$3&amp;ABS(F24)&amp;":"&amp;ABS(F24)*$P$45&amp;"#"&amp;Retro_MuyBien&amp;$Q$3&amp;ABS(F24)&amp;":"&amp;ABS(F24)*$Q$45&amp;"#"&amp;Retro_Bien&amp;$R$3&amp;ABS(F24)&amp;":"&amp;ABS(F24)*$R$45&amp;"#"&amp;Retro_Mal&amp;"}"&amp;IF(RIGHT($A24,1)="i",IFERROR(VLOOKUP(N24,'ENLACES DIAGRAMAS'!$B:$I,8,0),No_Diagrama),IF(MID($A24,1,1)="M",Tab&amp;MID($A24,2,1)&amp;Salto,IF(OR(MOD(COUNTA($A$8:$A24),4)=0,G25="")," "&amp;
                                    MID($A24,2,1)&amp;Salto,Tab))),"")</f>
        <v/>
      </c>
      <c r="H24" s="3" t="str">
        <f t="shared" si="2"/>
        <v>M GJ i</v>
      </c>
      <c r="I24" s="102" cm="1">
        <f t="array" aca="1" ref="I24" ca="1">ROUND(INDIRECT(H$6&amp;"_"&amp;REPLACE($A24,3,1,"_")),2)</f>
        <v>0</v>
      </c>
      <c r="J24" t="str" cm="1">
        <f t="array" aca="1" ref="J24" ca="1">IF(INDIRECT("L_"&amp;MID($A24,1,2))&lt;&gt;0,IF(MID($A24,4,1)="i",MID($A24,1,1)&amp;Tab,"    ")&amp;
  " {"&amp;$O$45&amp;":NM:"&amp;$P$3&amp;ABS(I24)&amp;":"&amp;ABS(I24)*$P$45&amp;"#"&amp;Retro_MuyBien&amp;$Q$3&amp;ABS(I24)&amp;":"&amp;ABS(I24)*$Q$45&amp;"#"&amp;Retro_Bien&amp;$R$3&amp;ABS(I24)&amp;":"&amp;ABS(I24)*$R$45&amp;"#"&amp;Retro_Mal&amp;"}"&amp;IF(RIGHT($A24,1)="i",IFERROR(VLOOKUP(O24,'ENLACES DIAGRAMAS'!$B:$I,8,0),No_Diagrama),IF(MID($A24,1,1)="M",Tab&amp;MID($A24,2,1)&amp;Salto,IF(OR(MOD(COUNTA($A$8:$A24),4)=0,J25="")," "&amp;
                                    MID($A24,2,1)&amp;Salto,Tab))),"")</f>
        <v/>
      </c>
      <c r="K24" t="str">
        <f>IFERROR(IF(MID(T_Resultados_FTP[[#This Row],[Nudo]],4,1)="j","En la barra "&amp;MID(A23,1,2)&amp;" el momento es de 
       {"&amp;$O$42&amp;":NM:"&amp;$P$3&amp;ABS(ROUND(L24,2))&amp;":"&amp;ABS(ROUND(L24,2))*$P$51&amp;"#"&amp;Retro_MuyBien&amp;
                       $Q$3&amp;ABS(ROUND(L24,2))&amp;":"&amp;ABS(ROUND(L24,2))*$Q$51&amp;"#"&amp;Retro_Bien&amp;
                       $R$3&amp;ABS(ROUND(L24,2))&amp;":"&amp;ABS(ROUND(L24,2))*$R$51&amp;"#"&amp;Retro_Mal&amp;"} kNm, a 
       {"&amp;$O$43&amp;":NM:"&amp;$P$3&amp;ABS(ROUND(L23,0))&amp;":"&amp;ABS(ROUND(L23,2))*$P$51&amp;"#"&amp;Retro_MuyBien&amp;
                       $Q$3&amp;ABS(ROUND(L23,0))&amp;":"&amp;ABS(ROUND(L23,2))*$Q$51&amp;"#"&amp;Retro_Bien&amp;
                       $R$3&amp;ABS(ROUND(L23,0))&amp;":"&amp;ABS(ROUND(L23,2))*$R$51&amp;"#"&amp;Retro_Mal&amp;"} mm del nudo "&amp;MID(A23,1,1)&amp;". "&amp;Salto,""),"")</f>
        <v/>
      </c>
      <c r="L24" s="103" t="str">
        <f ca="1">PROBLEMA!R50</f>
        <v/>
      </c>
      <c r="M24" t="str" cm="1">
        <f t="array" aca="1" ref="M24" ca="1">IF(INDIRECT("L_"&amp;MID($A24,1,2))&lt;&gt;0,IF(  MID(A24,1,2)=MID(A25,1,2),  "N "&amp;
  IF(  C24=0,  "CERO ",         IF(  C24&gt;0,   "POS ",  "NEG " )) &amp;
  IF(  C25=0,  "CERO",          IF(  C25&gt;0,   "POS",  "NEG"  )) &amp;
  IF(AND(C24&lt;&gt;C25,C24&lt;&gt;0,C25&lt;&gt;0),    IF(C24&gt;C25, " MAX_MIN",  " MIN_MAX"),  ""),  ""),"")</f>
        <v/>
      </c>
      <c r="N24" t="str" cm="1">
        <f t="array" aca="1" ref="N24" ca="1">IF(INDIRECT("L_"&amp;MID($A24,1,2))&lt;&gt;0,IF(  MID(A24,1,2)=MID(A25,1,2),  "V "&amp;  IF(  F24=0,  "CERO ",  IF(  F24&gt;0,   "POS ",  "NEG " )) &amp;
                                                                                            IF(  F25=0,  "CERO",   IF(  F25&gt;0,   "POS",   "NEG"  )) &amp;
                                                  IF(AND(F24&lt;&gt;F25,F24&lt;&gt;0,F25&lt;&gt;0),   IF(F24&gt;F25,  " MAX_MIN", " MIN_MAX" ),  ""),  ""),"")</f>
        <v/>
      </c>
      <c r="O24" t="str" cm="1">
        <f t="array" aca="1" ref="O24" ca="1">IF(INDIRECT("L_"&amp;MID($A24,1,2))&lt;&gt;0,IF(  MID(A24,1,2)=MID(A25,1,2),  "M "&amp;
IF(   I24=0,  "CERO ",  IF(  I24&gt;0,   "POS ",  "NEG " )) &amp;
IF(   I25=0,  "CERO",  IF(  ROUND(I25,1)&gt;0,   "POS",  "NEG"  )) &amp;
IF(AND(I24&lt;&gt;I25,I24&lt;&gt;0,I25&lt;&gt;0),   IF(I24&gt;I25,  " MAX_MIN", " MIN_MAX" ),  "") &amp;
IF(OR(INDIRECT("q_"&amp;MID(A24,1,2))&lt;&gt;0,AND(OR(MID(T_Resultados_FTP[[#This Row],[Nudo]],1,2)="CD",MID(T_Resultados_FTP[[#This Row],[Nudo]],1,2)="DE"),q_CE&lt;&gt;0)),
IF(L25="", IF(ABS(F24)&lt;ABS(F25)," M_0"," M_L"),
IF(L25&gt;0,  " POS",  " NEG") &amp;  IF(L25&gt;MAX(I24:I25),  "_MAX", "_MIN" )&amp;
IF(F24=0," M_0",IF(F25=0," M_L",""))),    ""),  ""),"")</f>
        <v/>
      </c>
      <c r="P24" t="str" cm="1">
        <f t="array" aca="1" ref="P24" ca="1">IF(INDIRECT("L_"&amp;MID($A24,1,2))&lt;&gt;0,IF(MID($A24,4,1)="i","N{"&amp;MID($A24,1,1)&amp;"}N ","")&amp;
            " "&amp;ABS(C24)&amp;" "&amp;
                IF(RIGHT($A24,1)="i",IFERROR(VLOOKUP(M24,'ENLACES DIAGRAMAS'!$B:$I,4,0),No_Diagrama),
                   IF(MID($A24,1,1)="M","N{"&amp;MID($A24,2,1)&amp;"}N&lt;br&gt;",IF(OR(MOD(COUNTA($A$8:$A24),4)=0,D25=""),      " N{"&amp;MID($A24,2,1)&amp;"}N&lt;br&gt;",""))),"")</f>
        <v/>
      </c>
      <c r="Q24" t="str" cm="1">
        <f t="array" aca="1" ref="Q24" ca="1">IF(INDIRECT("L_"&amp;MID($A24,1,2))&lt;&gt;0,IF(MID($A24,4,1)="i","N{"&amp;MID($A24,1,1)&amp;"}N ","")&amp;
            " "&amp;ABS(F24)&amp;" "&amp;
                IF(RIGHT($A24,1)="i",IFERROR(VLOOKUP(N24,'ENLACES DIAGRAMAS'!$B:$I,4,0),No_Diagrama),
                   IF(MID($A24,1,1)="M","N{"&amp;MID($A24,2,1)&amp;"}N &lt;br&gt;",IF(OR(MOD(COUNTA($A$8:$A24),4)=0,G25=""),      " N{"&amp;MID($A24,2,1)&amp;"}N &lt;br&gt;",""))),"")</f>
        <v/>
      </c>
      <c r="R24" t="str" cm="1">
        <f t="array" aca="1" ref="R24" ca="1">IF(INDIRECT("L_"&amp;MID($A24,1,2))&lt;&gt;0,IF(MID($A24,4,1)="i","N{"&amp;MID($A24,1,1)&amp;"}N ","")&amp;
            " "&amp;ABS(I24)&amp;" "&amp;
                IF(RIGHT($A24,1)="i",IFERROR(VLOOKUP(O24,'ENLACES DIAGRAMAS'!$B:$I,4,0),No_Diagrama),
                   IF(MID($A24,1,1)="M","N{"&amp;MID($A24,2,1)&amp;"}N &lt;br&gt;",IF(OR(MOD(COUNTA($A$8:$A24),4)=0,J25=""),      " "&amp;"N{"&amp;MID($A24,2,1)&amp;"}N &lt;br&gt;",""))),"")</f>
        <v/>
      </c>
      <c r="S24" s="303" t="str">
        <f ca="1">IF(T_Resultados_FTP[[#This Row],[Codigo axil]]="","",ABS(T_Resultados_FTP[[#This Row],[Axiles]])&amp;" kN")</f>
        <v/>
      </c>
      <c r="T24" s="303" t="str">
        <f ca="1">IF(T_Resultados_FTP[[#This Row],[Codigo Cortante]]="","",ABS(T_Resultados_FTP[[#This Row],[Cortantes]])&amp;" kN")</f>
        <v/>
      </c>
      <c r="U24" s="303" t="str">
        <f ca="1">IF(T_Resultados_FTP[[#This Row],[Codigo Momentos]]="","",ABS(T_Resultados_FTP[[#This Row],[Momentos]])&amp;" kNm")</f>
        <v/>
      </c>
    </row>
    <row r="25" spans="1:21" hidden="1" outlineLevel="1">
      <c r="A25" s="88" t="str">
        <f>PROBLEMA!W51</f>
        <v>GJ j</v>
      </c>
      <c r="B25" s="3" t="str">
        <f t="shared" si="0"/>
        <v>N GJ j</v>
      </c>
      <c r="C25" s="102" cm="1">
        <f t="array" aca="1" ref="C25" ca="1">ROUND(INDIRECT(B$6&amp;"_"&amp;REPLACE($A25,3,1,"_")),2)</f>
        <v>0</v>
      </c>
      <c r="D25" t="str" cm="1">
        <f t="array" aca="1" ref="D25" ca="1">IF(INDIRECT("L_"&amp;MID($A25,1,2))&lt;&gt;0,IF(MID($A25,4,1)="i",MID($A25,1,1)&amp;Tab,"    ")&amp;
  " {"&amp;$O$45&amp;":NM:"&amp;$P$3&amp;ABS(C25)&amp;":"&amp;ABS(C25)*$P$45&amp;"#"&amp;Retro_MuyBien&amp;$Q$3&amp;ABS(C25)&amp;":"&amp;ABS(C25)*$Q$45&amp;"#"&amp;Retro_Bien&amp;$R$3&amp;ABS(C25)&amp;":"&amp;ABS(C25)*$R$45&amp;"#"&amp;Retro_Mal&amp;"}"&amp;IF(RIGHT($A25,1)="i",IFERROR(VLOOKUP(M25,'ENLACES DIAGRAMAS'!$B:$I,8,0),No_Diagrama),IF(MID($A25,1,1)="M",Tab&amp;MID($A25,2,1)&amp;Salto,IF(OR(MOD(COUNTA($A$8:$A25),4)=0,D26="")," "&amp;
                                    MID($A25,2,1)&amp;Salto,Tab))),"")</f>
        <v/>
      </c>
      <c r="E25" s="3" t="str">
        <f t="shared" si="1"/>
        <v>V GJ j</v>
      </c>
      <c r="F25" s="102" cm="1">
        <f t="array" aca="1" ref="F25" ca="1">ROUND(INDIRECT(E$6&amp;"_"&amp;REPLACE($A25,3,1,"_")),2)</f>
        <v>0</v>
      </c>
      <c r="G25" t="str" cm="1">
        <f t="array" aca="1" ref="G25" ca="1">IF(INDIRECT("L_"&amp;MID($A25,1,2))&lt;&gt;0,IF(MID($A25,4,1)="i",MID($A25,1,1)&amp;Tab,"    ")&amp;
  " {"&amp;$O$45&amp;":NM:"&amp;$P$3&amp;ABS(F25)&amp;":"&amp;ABS(F25)*$P$45&amp;"#"&amp;Retro_MuyBien&amp;$Q$3&amp;ABS(F25)&amp;":"&amp;ABS(F25)*$Q$45&amp;"#"&amp;Retro_Bien&amp;$R$3&amp;ABS(F25)&amp;":"&amp;ABS(F25)*$R$45&amp;"#"&amp;Retro_Mal&amp;"}"&amp;IF(RIGHT($A25,1)="i",IFERROR(VLOOKUP(N25,'ENLACES DIAGRAMAS'!$B:$I,8,0),No_Diagrama),IF(MID($A25,1,1)="M",Tab&amp;MID($A25,2,1)&amp;Salto,IF(OR(MOD(COUNTA($A$8:$A25),4)=0,G26="")," "&amp;
                                    MID($A25,2,1)&amp;Salto,Tab))),"")</f>
        <v/>
      </c>
      <c r="H25" s="3" t="str">
        <f t="shared" si="2"/>
        <v>M GJ j</v>
      </c>
      <c r="I25" s="102" cm="1">
        <f t="array" aca="1" ref="I25" ca="1">ROUND(INDIRECT(H$6&amp;"_"&amp;REPLACE($A25,3,1,"_")),2)</f>
        <v>0</v>
      </c>
      <c r="J25" t="str" cm="1">
        <f t="array" aca="1" ref="J25" ca="1">IF(INDIRECT("L_"&amp;MID($A25,1,2))&lt;&gt;0,IF(MID($A25,4,1)="i",MID($A25,1,1)&amp;Tab,"    ")&amp;
  " {"&amp;$O$45&amp;":NM:"&amp;$P$3&amp;ABS(I25)&amp;":"&amp;ABS(I25)*$P$45&amp;"#"&amp;Retro_MuyBien&amp;$Q$3&amp;ABS(I25)&amp;":"&amp;ABS(I25)*$Q$45&amp;"#"&amp;Retro_Bien&amp;$R$3&amp;ABS(I25)&amp;":"&amp;ABS(I25)*$R$45&amp;"#"&amp;Retro_Mal&amp;"}"&amp;IF(RIGHT($A25,1)="i",IFERROR(VLOOKUP(O25,'ENLACES DIAGRAMAS'!$B:$I,8,0),No_Diagrama),IF(MID($A25,1,1)="M",Tab&amp;MID($A25,2,1)&amp;Salto,IF(OR(MOD(COUNTA($A$8:$A25),4)=0,J26="")," "&amp;
                                    MID($A25,2,1)&amp;Salto,Tab))),"")</f>
        <v/>
      </c>
      <c r="K25" t="str">
        <f ca="1">IFERROR(IF(MID(T_Resultados_FTP[[#This Row],[Nudo]],4,1)="j","En la barra "&amp;MID(A24,1,2)&amp;" el momento es de 
       {"&amp;$O$42&amp;":NM:"&amp;$P$3&amp;ABS(ROUND(L25,2))&amp;":"&amp;ABS(ROUND(L25,2))*$P$51&amp;"#"&amp;Retro_MuyBien&amp;
                       $Q$3&amp;ABS(ROUND(L25,2))&amp;":"&amp;ABS(ROUND(L25,2))*$Q$51&amp;"#"&amp;Retro_Bien&amp;
                       $R$3&amp;ABS(ROUND(L25,2))&amp;":"&amp;ABS(ROUND(L25,2))*$R$51&amp;"#"&amp;Retro_Mal&amp;"} kNm, a 
       {"&amp;$O$43&amp;":NM:"&amp;$P$3&amp;ABS(ROUND(L24,0))&amp;":"&amp;ABS(ROUND(L24,2))*$P$51&amp;"#"&amp;Retro_MuyBien&amp;
                       $Q$3&amp;ABS(ROUND(L24,0))&amp;":"&amp;ABS(ROUND(L24,2))*$Q$51&amp;"#"&amp;Retro_Bien&amp;
                       $R$3&amp;ABS(ROUND(L24,0))&amp;":"&amp;ABS(ROUND(L24,2))*$R$51&amp;"#"&amp;Retro_Mal&amp;"} mm del nudo "&amp;MID(A24,1,1)&amp;". "&amp;Salto,""),"")</f>
        <v/>
      </c>
      <c r="L25" s="104" t="str">
        <f ca="1">PROBLEMA!R51</f>
        <v/>
      </c>
      <c r="M25" t="str" cm="1">
        <f t="array" aca="1" ref="M25" ca="1">IF(INDIRECT("L_"&amp;MID($A25,1,2))&lt;&gt;0,IF(  MID(A25,1,2)=MID(A26,1,2),  "N "&amp;
  IF(  C25=0,  "CERO ",         IF(  C25&gt;0,   "POS ",  "NEG " )) &amp;
  IF(  C26=0,  "CERO",          IF(  C26&gt;0,   "POS",  "NEG"  )) &amp;
  IF(AND(C25&lt;&gt;C26,C25&lt;&gt;0,C26&lt;&gt;0),    IF(C25&gt;C26, " MAX_MIN",  " MIN_MAX"),  ""),  ""),"")</f>
        <v/>
      </c>
      <c r="N25" t="str" cm="1">
        <f t="array" aca="1" ref="N25" ca="1">IF(INDIRECT("L_"&amp;MID($A25,1,2))&lt;&gt;0,IF(  MID(A25,1,2)=MID(A26,1,2),  "V "&amp;  IF(  F25=0,  "CERO ",  IF(  F25&gt;0,   "POS ",  "NEG " )) &amp;
                                                                                            IF(  F26=0,  "CERO",   IF(  F26&gt;0,   "POS",   "NEG"  )) &amp;
                                                  IF(AND(F25&lt;&gt;F26,F25&lt;&gt;0,F26&lt;&gt;0),   IF(F25&gt;F26,  " MAX_MIN", " MIN_MAX" ),  ""),  ""),"")</f>
        <v/>
      </c>
      <c r="O25" t="str" cm="1">
        <f t="array" aca="1" ref="O25" ca="1">IF(INDIRECT("L_"&amp;MID($A25,1,2))&lt;&gt;0,IF(  MID(A25,1,2)=MID(A26,1,2),  "M "&amp;
IF(   I25=0,  "CERO ",  IF(  I25&gt;0,   "POS ",  "NEG " )) &amp;
IF(   I26=0,  "CERO",  IF(  ROUND(I26,1)&gt;0,   "POS",  "NEG"  )) &amp;
IF(AND(I25&lt;&gt;I26,I25&lt;&gt;0,I26&lt;&gt;0),   IF(I25&gt;I26,  " MAX_MIN", " MIN_MAX" ),  "") &amp;
IF(OR(INDIRECT("q_"&amp;MID(A25,1,2))&lt;&gt;0,AND(OR(MID(T_Resultados_FTP[[#This Row],[Nudo]],1,2)="CD",MID(T_Resultados_FTP[[#This Row],[Nudo]],1,2)="DE"),q_CE&lt;&gt;0)),
IF(L26="", IF(ABS(F25)&lt;ABS(F26)," M_0"," M_L"),
IF(L26&gt;0,  " POS",  " NEG") &amp;  IF(L26&gt;MAX(I25:I26),  "_MAX", "_MIN" )&amp;
IF(F25=0," M_0",IF(F26=0," M_L",""))),    ""),  ""),"")</f>
        <v/>
      </c>
      <c r="P25" t="str" cm="1">
        <f t="array" aca="1" ref="P25" ca="1">IF(INDIRECT("L_"&amp;MID($A25,1,2))&lt;&gt;0,IF(MID($A25,4,1)="i","N{"&amp;MID($A25,1,1)&amp;"}N ","")&amp;
            " "&amp;ABS(C25)&amp;" "&amp;
                IF(RIGHT($A25,1)="i",IFERROR(VLOOKUP(M25,'ENLACES DIAGRAMAS'!$B:$I,4,0),No_Diagrama),
                   IF(MID($A25,1,1)="M","N{"&amp;MID($A25,2,1)&amp;"}N&lt;br&gt;",IF(OR(MOD(COUNTA($A$8:$A25),4)=0,D26=""),      " N{"&amp;MID($A25,2,1)&amp;"}N&lt;br&gt;",""))),"")</f>
        <v/>
      </c>
      <c r="Q25" t="str" cm="1">
        <f t="array" aca="1" ref="Q25" ca="1">IF(INDIRECT("L_"&amp;MID($A25,1,2))&lt;&gt;0,IF(MID($A25,4,1)="i","N{"&amp;MID($A25,1,1)&amp;"}N ","")&amp;
            " "&amp;ABS(F25)&amp;" "&amp;
                IF(RIGHT($A25,1)="i",IFERROR(VLOOKUP(N25,'ENLACES DIAGRAMAS'!$B:$I,4,0),No_Diagrama),
                   IF(MID($A25,1,1)="M","N{"&amp;MID($A25,2,1)&amp;"}N &lt;br&gt;",IF(OR(MOD(COUNTA($A$8:$A25),4)=0,G26=""),      " N{"&amp;MID($A25,2,1)&amp;"}N &lt;br&gt;",""))),"")</f>
        <v/>
      </c>
      <c r="R25" t="str" cm="1">
        <f t="array" aca="1" ref="R25" ca="1">IF(INDIRECT("L_"&amp;MID($A25,1,2))&lt;&gt;0,IF(MID($A25,4,1)="i","N{"&amp;MID($A25,1,1)&amp;"}N ","")&amp;
            " "&amp;ABS(I25)&amp;" "&amp;
                IF(RIGHT($A25,1)="i",IFERROR(VLOOKUP(O25,'ENLACES DIAGRAMAS'!$B:$I,4,0),No_Diagrama),
                   IF(MID($A25,1,1)="M","N{"&amp;MID($A25,2,1)&amp;"}N &lt;br&gt;",IF(OR(MOD(COUNTA($A$8:$A25),4)=0,J26=""),      " "&amp;"N{"&amp;MID($A25,2,1)&amp;"}N &lt;br&gt;",""))),"")</f>
        <v/>
      </c>
      <c r="S25" s="303" t="str">
        <f ca="1">IF(T_Resultados_FTP[[#This Row],[Codigo axil]]="","",ABS(T_Resultados_FTP[[#This Row],[Axiles]])&amp;" kN")</f>
        <v/>
      </c>
      <c r="T25" s="303" t="str">
        <f ca="1">IF(T_Resultados_FTP[[#This Row],[Codigo Cortante]]="","",ABS(T_Resultados_FTP[[#This Row],[Cortantes]])&amp;" kN")</f>
        <v/>
      </c>
      <c r="U25" s="303" t="str">
        <f ca="1">IF(T_Resultados_FTP[[#This Row],[Codigo Momentos]]="","",ABS(T_Resultados_FTP[[#This Row],[Momentos]])&amp;" kNm")</f>
        <v/>
      </c>
    </row>
    <row r="26" spans="1:21" hidden="1" outlineLevel="1">
      <c r="A26" s="88" t="str">
        <f>PROBLEMA!W52</f>
        <v>JK i</v>
      </c>
      <c r="B26" s="3" t="str">
        <f t="shared" si="0"/>
        <v>N JK i</v>
      </c>
      <c r="C26" s="102" cm="1">
        <f t="array" aca="1" ref="C26" ca="1">ROUND(INDIRECT(B$6&amp;"_"&amp;REPLACE($A26,3,1,"_")),2)</f>
        <v>0</v>
      </c>
      <c r="D26" t="str" cm="1">
        <f t="array" aca="1" ref="D26" ca="1">IF(INDIRECT("L_"&amp;MID($A26,1,2))&lt;&gt;0,IF(MID($A26,4,1)="i",MID($A26,1,1)&amp;Tab,"    ")&amp;
  " {"&amp;$O$45&amp;":NM:"&amp;$P$3&amp;ABS(C26)&amp;":"&amp;ABS(C26)*$P$45&amp;"#"&amp;Retro_MuyBien&amp;$Q$3&amp;ABS(C26)&amp;":"&amp;ABS(C26)*$Q$45&amp;"#"&amp;Retro_Bien&amp;$R$3&amp;ABS(C26)&amp;":"&amp;ABS(C26)*$R$45&amp;"#"&amp;Retro_Mal&amp;"}"&amp;IF(RIGHT($A26,1)="i",IFERROR(VLOOKUP(M26,'ENLACES DIAGRAMAS'!$B:$I,8,0),No_Diagrama),IF(MID($A26,1,1)="M",Tab&amp;MID($A26,2,1)&amp;Salto,IF(OR(MOD(COUNTA($A$8:$A26),4)=0,D27="")," "&amp;
                                    MID($A26,2,1)&amp;Salto,Tab))),"")</f>
        <v/>
      </c>
      <c r="E26" s="3" t="str">
        <f t="shared" si="1"/>
        <v>V JK i</v>
      </c>
      <c r="F26" s="102" cm="1">
        <f t="array" aca="1" ref="F26" ca="1">ROUND(INDIRECT(E$6&amp;"_"&amp;REPLACE($A26,3,1,"_")),2)</f>
        <v>0</v>
      </c>
      <c r="G26" t="str" cm="1">
        <f t="array" aca="1" ref="G26" ca="1">IF(INDIRECT("L_"&amp;MID($A26,1,2))&lt;&gt;0,IF(MID($A26,4,1)="i",MID($A26,1,1)&amp;Tab,"    ")&amp;
  " {"&amp;$O$45&amp;":NM:"&amp;$P$3&amp;ABS(F26)&amp;":"&amp;ABS(F26)*$P$45&amp;"#"&amp;Retro_MuyBien&amp;$Q$3&amp;ABS(F26)&amp;":"&amp;ABS(F26)*$Q$45&amp;"#"&amp;Retro_Bien&amp;$R$3&amp;ABS(F26)&amp;":"&amp;ABS(F26)*$R$45&amp;"#"&amp;Retro_Mal&amp;"}"&amp;IF(RIGHT($A26,1)="i",IFERROR(VLOOKUP(N26,'ENLACES DIAGRAMAS'!$B:$I,8,0),No_Diagrama),IF(MID($A26,1,1)="M",Tab&amp;MID($A26,2,1)&amp;Salto,IF(OR(MOD(COUNTA($A$8:$A26),4)=0,G27="")," "&amp;
                                    MID($A26,2,1)&amp;Salto,Tab))),"")</f>
        <v/>
      </c>
      <c r="H26" s="3" t="str">
        <f t="shared" si="2"/>
        <v>M JK i</v>
      </c>
      <c r="I26" s="102" cm="1">
        <f t="array" aca="1" ref="I26" ca="1">ROUND(INDIRECT(H$6&amp;"_"&amp;REPLACE($A26,3,1,"_")),2)</f>
        <v>0</v>
      </c>
      <c r="J26" t="str" cm="1">
        <f t="array" aca="1" ref="J26" ca="1">IF(INDIRECT("L_"&amp;MID($A26,1,2))&lt;&gt;0,IF(MID($A26,4,1)="i",MID($A26,1,1)&amp;Tab,"    ")&amp;
  " {"&amp;$O$45&amp;":NM:"&amp;$P$3&amp;ABS(I26)&amp;":"&amp;ABS(I26)*$P$45&amp;"#"&amp;Retro_MuyBien&amp;$Q$3&amp;ABS(I26)&amp;":"&amp;ABS(I26)*$Q$45&amp;"#"&amp;Retro_Bien&amp;$R$3&amp;ABS(I26)&amp;":"&amp;ABS(I26)*$R$45&amp;"#"&amp;Retro_Mal&amp;"}"&amp;IF(RIGHT($A26,1)="i",IFERROR(VLOOKUP(O26,'ENLACES DIAGRAMAS'!$B:$I,8,0),No_Diagrama),IF(MID($A26,1,1)="M",Tab&amp;MID($A26,2,1)&amp;Salto,IF(OR(MOD(COUNTA($A$8:$A26),4)=0,J27="")," "&amp;
                                    MID($A26,2,1)&amp;Salto,Tab))),"")</f>
        <v/>
      </c>
      <c r="K26" t="str">
        <f>IFERROR(IF(MID(T_Resultados_FTP[[#This Row],[Nudo]],4,1)="j","En la barra "&amp;MID(A25,1,2)&amp;" el momento es de 
       {"&amp;$O$42&amp;":NM:"&amp;$P$3&amp;ABS(ROUND(L26,2))&amp;":"&amp;ABS(ROUND(L26,2))*$P$51&amp;"#"&amp;Retro_MuyBien&amp;
                       $Q$3&amp;ABS(ROUND(L26,2))&amp;":"&amp;ABS(ROUND(L26,2))*$Q$51&amp;"#"&amp;Retro_Bien&amp;
                       $R$3&amp;ABS(ROUND(L26,2))&amp;":"&amp;ABS(ROUND(L26,2))*$R$51&amp;"#"&amp;Retro_Mal&amp;"} kNm, a 
       {"&amp;$O$43&amp;":NM:"&amp;$P$3&amp;ABS(ROUND(L25,0))&amp;":"&amp;ABS(ROUND(L25,2))*$P$51&amp;"#"&amp;Retro_MuyBien&amp;
                       $Q$3&amp;ABS(ROUND(L25,0))&amp;":"&amp;ABS(ROUND(L25,2))*$Q$51&amp;"#"&amp;Retro_Bien&amp;
                       $R$3&amp;ABS(ROUND(L25,0))&amp;":"&amp;ABS(ROUND(L25,2))*$R$51&amp;"#"&amp;Retro_Mal&amp;"} mm del nudo "&amp;MID(A25,1,1)&amp;". "&amp;Salto,""),"")</f>
        <v/>
      </c>
      <c r="L26" s="103" t="str">
        <f ca="1">PROBLEMA!R52</f>
        <v/>
      </c>
      <c r="M26" t="str" cm="1">
        <f t="array" aca="1" ref="M26" ca="1">IF(INDIRECT("L_"&amp;MID($A26,1,2))&lt;&gt;0,IF(  MID(A26,1,2)=MID(A27,1,2),  "N "&amp;
  IF(  C26=0,  "CERO ",         IF(  C26&gt;0,   "POS ",  "NEG " )) &amp;
  IF(  C27=0,  "CERO",          IF(  C27&gt;0,   "POS",  "NEG"  )) &amp;
  IF(AND(C26&lt;&gt;C27,C26&lt;&gt;0,C27&lt;&gt;0),    IF(C26&gt;C27, " MAX_MIN",  " MIN_MAX"),  ""),  ""),"")</f>
        <v/>
      </c>
      <c r="N26" t="str" cm="1">
        <f t="array" aca="1" ref="N26" ca="1">IF(INDIRECT("L_"&amp;MID($A26,1,2))&lt;&gt;0,IF(  MID(A26,1,2)=MID(A27,1,2),  "V "&amp;  IF(  F26=0,  "CERO ",  IF(  F26&gt;0,   "POS ",  "NEG " )) &amp;
                                                                                            IF(  F27=0,  "CERO",   IF(  F27&gt;0,   "POS",   "NEG"  )) &amp;
                                                  IF(AND(F26&lt;&gt;F27,F26&lt;&gt;0,F27&lt;&gt;0),   IF(F26&gt;F27,  " MAX_MIN", " MIN_MAX" ),  ""),  ""),"")</f>
        <v/>
      </c>
      <c r="O26" t="str" cm="1">
        <f t="array" aca="1" ref="O26" ca="1">IF(INDIRECT("L_"&amp;MID($A26,1,2))&lt;&gt;0,IF(  MID(A26,1,2)=MID(A27,1,2),  "M "&amp;
IF(   I26=0,  "CERO ",  IF(  I26&gt;0,   "POS ",  "NEG " )) &amp;
IF(   I27=0,  "CERO",  IF(  ROUND(I27,1)&gt;0,   "POS",  "NEG"  )) &amp;
IF(AND(I26&lt;&gt;I27,I26&lt;&gt;0,I27&lt;&gt;0),   IF(I26&gt;I27,  " MAX_MIN", " MIN_MAX" ),  "") &amp;
IF(OR(INDIRECT("q_"&amp;MID(A26,1,2))&lt;&gt;0,AND(OR(MID(T_Resultados_FTP[[#This Row],[Nudo]],1,2)="CD",MID(T_Resultados_FTP[[#This Row],[Nudo]],1,2)="DE"),q_CE&lt;&gt;0)),
IF(L27="", IF(ABS(F26)&lt;ABS(F27)," M_0"," M_L"),
IF(L27&gt;0,  " POS",  " NEG") &amp;  IF(L27&gt;MAX(I26:I27),  "_MAX", "_MIN" )&amp;
IF(F26=0," M_0",IF(F27=0," M_L",""))),    ""),  ""),"")</f>
        <v/>
      </c>
      <c r="P26" t="str" cm="1">
        <f t="array" aca="1" ref="P26" ca="1">IF(INDIRECT("L_"&amp;MID($A26,1,2))&lt;&gt;0,IF(MID($A26,4,1)="i","N{"&amp;MID($A26,1,1)&amp;"}N ","")&amp;
            " "&amp;ABS(C26)&amp;" "&amp;
                IF(RIGHT($A26,1)="i",IFERROR(VLOOKUP(M26,'ENLACES DIAGRAMAS'!$B:$I,4,0),No_Diagrama),
                   IF(MID($A26,1,1)="M","N{"&amp;MID($A26,2,1)&amp;"}N&lt;br&gt;",IF(OR(MOD(COUNTA($A$8:$A26),4)=0,D27=""),      " N{"&amp;MID($A26,2,1)&amp;"}N&lt;br&gt;",""))),"")</f>
        <v/>
      </c>
      <c r="Q26" t="str" cm="1">
        <f t="array" aca="1" ref="Q26" ca="1">IF(INDIRECT("L_"&amp;MID($A26,1,2))&lt;&gt;0,IF(MID($A26,4,1)="i","N{"&amp;MID($A26,1,1)&amp;"}N ","")&amp;
            " "&amp;ABS(F26)&amp;" "&amp;
                IF(RIGHT($A26,1)="i",IFERROR(VLOOKUP(N26,'ENLACES DIAGRAMAS'!$B:$I,4,0),No_Diagrama),
                   IF(MID($A26,1,1)="M","N{"&amp;MID($A26,2,1)&amp;"}N &lt;br&gt;",IF(OR(MOD(COUNTA($A$8:$A26),4)=0,G27=""),      " N{"&amp;MID($A26,2,1)&amp;"}N &lt;br&gt;",""))),"")</f>
        <v/>
      </c>
      <c r="R26" t="str" cm="1">
        <f t="array" aca="1" ref="R26" ca="1">IF(INDIRECT("L_"&amp;MID($A26,1,2))&lt;&gt;0,IF(MID($A26,4,1)="i","N{"&amp;MID($A26,1,1)&amp;"}N ","")&amp;
            " "&amp;ABS(I26)&amp;" "&amp;
                IF(RIGHT($A26,1)="i",IFERROR(VLOOKUP(O26,'ENLACES DIAGRAMAS'!$B:$I,4,0),No_Diagrama),
                   IF(MID($A26,1,1)="M","N{"&amp;MID($A26,2,1)&amp;"}N &lt;br&gt;",IF(OR(MOD(COUNTA($A$8:$A26),4)=0,J27=""),      " "&amp;"N{"&amp;MID($A26,2,1)&amp;"}N &lt;br&gt;",""))),"")</f>
        <v/>
      </c>
      <c r="S26" s="303" t="str">
        <f ca="1">IF(T_Resultados_FTP[[#This Row],[Codigo axil]]="","",ABS(T_Resultados_FTP[[#This Row],[Axiles]])&amp;" kN")</f>
        <v/>
      </c>
      <c r="T26" s="303" t="str">
        <f ca="1">IF(T_Resultados_FTP[[#This Row],[Codigo Cortante]]="","",ABS(T_Resultados_FTP[[#This Row],[Cortantes]])&amp;" kN")</f>
        <v/>
      </c>
      <c r="U26" s="303" t="str">
        <f ca="1">IF(T_Resultados_FTP[[#This Row],[Codigo Momentos]]="","",ABS(T_Resultados_FTP[[#This Row],[Momentos]])&amp;" kNm")</f>
        <v/>
      </c>
    </row>
    <row r="27" spans="1:21" hidden="1" outlineLevel="1">
      <c r="A27" s="88" t="str">
        <f>PROBLEMA!W53</f>
        <v>JK j</v>
      </c>
      <c r="B27" s="3" t="str">
        <f t="shared" si="0"/>
        <v>N JK j</v>
      </c>
      <c r="C27" s="102" cm="1">
        <f t="array" aca="1" ref="C27" ca="1">ROUND(INDIRECT(B$6&amp;"_"&amp;REPLACE($A27,3,1,"_")),2)</f>
        <v>0</v>
      </c>
      <c r="D27" t="str" cm="1">
        <f t="array" aca="1" ref="D27" ca="1">IF(INDIRECT("L_"&amp;MID($A27,1,2))&lt;&gt;0,IF(MID($A27,4,1)="i",MID($A27,1,1)&amp;Tab,"    ")&amp;
  " {"&amp;$O$45&amp;":NM:"&amp;$P$3&amp;ABS(C27)&amp;":"&amp;ABS(C27)*$P$45&amp;"#"&amp;Retro_MuyBien&amp;$Q$3&amp;ABS(C27)&amp;":"&amp;ABS(C27)*$Q$45&amp;"#"&amp;Retro_Bien&amp;$R$3&amp;ABS(C27)&amp;":"&amp;ABS(C27)*$R$45&amp;"#"&amp;Retro_Mal&amp;"}"&amp;IF(RIGHT($A27,1)="i",IFERROR(VLOOKUP(M27,'ENLACES DIAGRAMAS'!$B:$I,8,0),No_Diagrama),IF(MID($A27,1,1)="M",Tab&amp;MID($A27,2,1)&amp;Salto,IF(OR(MOD(COUNTA($A$8:$A27),4)=0,D28="")," "&amp;
                                    MID($A27,2,1)&amp;Salto,Tab))),"")</f>
        <v/>
      </c>
      <c r="E27" s="3" t="str">
        <f t="shared" si="1"/>
        <v>V JK j</v>
      </c>
      <c r="F27" s="102" cm="1">
        <f t="array" aca="1" ref="F27" ca="1">ROUND(INDIRECT(E$6&amp;"_"&amp;REPLACE($A27,3,1,"_")),2)</f>
        <v>0</v>
      </c>
      <c r="G27" t="str" cm="1">
        <f t="array" aca="1" ref="G27" ca="1">IF(INDIRECT("L_"&amp;MID($A27,1,2))&lt;&gt;0,IF(MID($A27,4,1)="i",MID($A27,1,1)&amp;Tab,"    ")&amp;
  " {"&amp;$O$45&amp;":NM:"&amp;$P$3&amp;ABS(F27)&amp;":"&amp;ABS(F27)*$P$45&amp;"#"&amp;Retro_MuyBien&amp;$Q$3&amp;ABS(F27)&amp;":"&amp;ABS(F27)*$Q$45&amp;"#"&amp;Retro_Bien&amp;$R$3&amp;ABS(F27)&amp;":"&amp;ABS(F27)*$R$45&amp;"#"&amp;Retro_Mal&amp;"}"&amp;IF(RIGHT($A27,1)="i",IFERROR(VLOOKUP(N27,'ENLACES DIAGRAMAS'!$B:$I,8,0),No_Diagrama),IF(MID($A27,1,1)="M",Tab&amp;MID($A27,2,1)&amp;Salto,IF(OR(MOD(COUNTA($A$8:$A27),4)=0,G28="")," "&amp;
                                    MID($A27,2,1)&amp;Salto,Tab))),"")</f>
        <v/>
      </c>
      <c r="H27" s="3" t="str">
        <f t="shared" si="2"/>
        <v>M JK j</v>
      </c>
      <c r="I27" s="102" cm="1">
        <f t="array" aca="1" ref="I27" ca="1">ROUND(INDIRECT(H$6&amp;"_"&amp;REPLACE($A27,3,1,"_")),2)</f>
        <v>0</v>
      </c>
      <c r="J27" t="str" cm="1">
        <f t="array" aca="1" ref="J27" ca="1">IF(INDIRECT("L_"&amp;MID($A27,1,2))&lt;&gt;0,IF(MID($A27,4,1)="i",MID($A27,1,1)&amp;Tab,"    ")&amp;
  " {"&amp;$O$45&amp;":NM:"&amp;$P$3&amp;ABS(I27)&amp;":"&amp;ABS(I27)*$P$45&amp;"#"&amp;Retro_MuyBien&amp;$Q$3&amp;ABS(I27)&amp;":"&amp;ABS(I27)*$Q$45&amp;"#"&amp;Retro_Bien&amp;$R$3&amp;ABS(I27)&amp;":"&amp;ABS(I27)*$R$45&amp;"#"&amp;Retro_Mal&amp;"}"&amp;IF(RIGHT($A27,1)="i",IFERROR(VLOOKUP(O27,'ENLACES DIAGRAMAS'!$B:$I,8,0),No_Diagrama),IF(MID($A27,1,1)="M",Tab&amp;MID($A27,2,1)&amp;Salto,IF(OR(MOD(COUNTA($A$8:$A27),4)=0,J28="")," "&amp;
                                    MID($A27,2,1)&amp;Salto,Tab))),"")</f>
        <v/>
      </c>
      <c r="K27" t="str">
        <f ca="1">IFERROR(IF(MID(T_Resultados_FTP[[#This Row],[Nudo]],4,1)="j","En la barra "&amp;MID(A26,1,2)&amp;" el momento es de 
       {"&amp;$O$42&amp;":NM:"&amp;$P$3&amp;ABS(ROUND(L27,2))&amp;":"&amp;ABS(ROUND(L27,2))*$P$51&amp;"#"&amp;Retro_MuyBien&amp;
                       $Q$3&amp;ABS(ROUND(L27,2))&amp;":"&amp;ABS(ROUND(L27,2))*$Q$51&amp;"#"&amp;Retro_Bien&amp;
                       $R$3&amp;ABS(ROUND(L27,2))&amp;":"&amp;ABS(ROUND(L27,2))*$R$51&amp;"#"&amp;Retro_Mal&amp;"} kNm, a 
       {"&amp;$O$43&amp;":NM:"&amp;$P$3&amp;ABS(ROUND(L26,0))&amp;":"&amp;ABS(ROUND(L26,2))*$P$51&amp;"#"&amp;Retro_MuyBien&amp;
                       $Q$3&amp;ABS(ROUND(L26,0))&amp;":"&amp;ABS(ROUND(L26,2))*$Q$51&amp;"#"&amp;Retro_Bien&amp;
                       $R$3&amp;ABS(ROUND(L26,0))&amp;":"&amp;ABS(ROUND(L26,2))*$R$51&amp;"#"&amp;Retro_Mal&amp;"} mm del nudo "&amp;MID(A26,1,1)&amp;". "&amp;Salto,""),"")</f>
        <v/>
      </c>
      <c r="L27" s="104" t="str">
        <f ca="1">PROBLEMA!R53</f>
        <v/>
      </c>
      <c r="M27" t="str" cm="1">
        <f t="array" aca="1" ref="M27" ca="1">IF(INDIRECT("L_"&amp;MID($A27,1,2))&lt;&gt;0,IF(  MID(A27,1,2)=MID(A28,1,2),  "N "&amp;
  IF(  C27=0,  "CERO ",         IF(  C27&gt;0,   "POS ",  "NEG " )) &amp;
  IF(  C28=0,  "CERO",          IF(  C28&gt;0,   "POS",  "NEG"  )) &amp;
  IF(AND(C27&lt;&gt;C28,C27&lt;&gt;0,C28&lt;&gt;0),    IF(C27&gt;C28, " MAX_MIN",  " MIN_MAX"),  ""),  ""),"")</f>
        <v/>
      </c>
      <c r="N27" t="str" cm="1">
        <f t="array" aca="1" ref="N27" ca="1">IF(INDIRECT("L_"&amp;MID($A27,1,2))&lt;&gt;0,IF(  MID(A27,1,2)=MID(A28,1,2),  "V "&amp;  IF(  F27=0,  "CERO ",  IF(  F27&gt;0,   "POS ",  "NEG " )) &amp;
                                                                                            IF(  F28=0,  "CERO",   IF(  F28&gt;0,   "POS",   "NEG"  )) &amp;
                                                  IF(AND(F27&lt;&gt;F28,F27&lt;&gt;0,F28&lt;&gt;0),   IF(F27&gt;F28,  " MAX_MIN", " MIN_MAX" ),  ""),  ""),"")</f>
        <v/>
      </c>
      <c r="O27" t="str" cm="1">
        <f t="array" aca="1" ref="O27" ca="1">IF(INDIRECT("L_"&amp;MID($A27,1,2))&lt;&gt;0,IF(  MID(A27,1,2)=MID(A28,1,2),  "M "&amp;
IF(   I27=0,  "CERO ",  IF(  I27&gt;0,   "POS ",  "NEG " )) &amp;
IF(   I28=0,  "CERO",  IF(  ROUND(I28,1)&gt;0,   "POS",  "NEG"  )) &amp;
IF(AND(I27&lt;&gt;I28,I27&lt;&gt;0,I28&lt;&gt;0),   IF(I27&gt;I28,  " MAX_MIN", " MIN_MAX" ),  "") &amp;
IF(OR(INDIRECT("q_"&amp;MID(A27,1,2))&lt;&gt;0,AND(OR(MID(T_Resultados_FTP[[#This Row],[Nudo]],1,2)="CD",MID(T_Resultados_FTP[[#This Row],[Nudo]],1,2)="DE"),q_CE&lt;&gt;0)),
IF(L28="", IF(ABS(F27)&lt;ABS(F28)," M_0"," M_L"),
IF(L28&gt;0,  " POS",  " NEG") &amp;  IF(L28&gt;MAX(I27:I28),  "_MAX", "_MIN" )&amp;
IF(F27=0," M_0",IF(F28=0," M_L",""))),    ""),  ""),"")</f>
        <v/>
      </c>
      <c r="P27" t="str" cm="1">
        <f t="array" aca="1" ref="P27" ca="1">IF(INDIRECT("L_"&amp;MID($A27,1,2))&lt;&gt;0,IF(MID($A27,4,1)="i","N{"&amp;MID($A27,1,1)&amp;"}N ","")&amp;
            " "&amp;ABS(C27)&amp;" "&amp;
                IF(RIGHT($A27,1)="i",IFERROR(VLOOKUP(M27,'ENLACES DIAGRAMAS'!$B:$I,4,0),No_Diagrama),
                   IF(MID($A27,1,1)="M","N{"&amp;MID($A27,2,1)&amp;"}N&lt;br&gt;",IF(OR(MOD(COUNTA($A$8:$A27),4)=0,D28=""),      " N{"&amp;MID($A27,2,1)&amp;"}N&lt;br&gt;",""))),"")</f>
        <v/>
      </c>
      <c r="Q27" t="str" cm="1">
        <f t="array" aca="1" ref="Q27" ca="1">IF(INDIRECT("L_"&amp;MID($A27,1,2))&lt;&gt;0,IF(MID($A27,4,1)="i","N{"&amp;MID($A27,1,1)&amp;"}N ","")&amp;
            " "&amp;ABS(F27)&amp;" "&amp;
                IF(RIGHT($A27,1)="i",IFERROR(VLOOKUP(N27,'ENLACES DIAGRAMAS'!$B:$I,4,0),No_Diagrama),
                   IF(MID($A27,1,1)="M","N{"&amp;MID($A27,2,1)&amp;"}N &lt;br&gt;",IF(OR(MOD(COUNTA($A$8:$A27),4)=0,G28=""),      " N{"&amp;MID($A27,2,1)&amp;"}N &lt;br&gt;",""))),"")</f>
        <v/>
      </c>
      <c r="R27" t="str" cm="1">
        <f t="array" aca="1" ref="R27" ca="1">IF(INDIRECT("L_"&amp;MID($A27,1,2))&lt;&gt;0,IF(MID($A27,4,1)="i","N{"&amp;MID($A27,1,1)&amp;"}N ","")&amp;
            " "&amp;ABS(I27)&amp;" "&amp;
                IF(RIGHT($A27,1)="i",IFERROR(VLOOKUP(O27,'ENLACES DIAGRAMAS'!$B:$I,4,0),No_Diagrama),
                   IF(MID($A27,1,1)="M","N{"&amp;MID($A27,2,1)&amp;"}N &lt;br&gt;",IF(OR(MOD(COUNTA($A$8:$A27),4)=0,J28=""),      " "&amp;"N{"&amp;MID($A27,2,1)&amp;"}N &lt;br&gt;",""))),"")</f>
        <v/>
      </c>
      <c r="S27" s="303" t="str">
        <f ca="1">IF(T_Resultados_FTP[[#This Row],[Codigo axil]]="","",ABS(T_Resultados_FTP[[#This Row],[Axiles]])&amp;" kN")</f>
        <v/>
      </c>
      <c r="T27" s="303" t="str">
        <f ca="1">IF(T_Resultados_FTP[[#This Row],[Codigo Cortante]]="","",ABS(T_Resultados_FTP[[#This Row],[Cortantes]])&amp;" kN")</f>
        <v/>
      </c>
      <c r="U27" s="303" t="str">
        <f ca="1">IF(T_Resultados_FTP[[#This Row],[Codigo Momentos]]="","",ABS(T_Resultados_FTP[[#This Row],[Momentos]])&amp;" kNm")</f>
        <v/>
      </c>
    </row>
    <row r="28" spans="1:21" hidden="1" outlineLevel="1">
      <c r="A28" s="88" t="str">
        <f>PROBLEMA!W54</f>
        <v>KL i</v>
      </c>
      <c r="B28" s="3" t="str">
        <f t="shared" si="0"/>
        <v>N KL i</v>
      </c>
      <c r="C28" s="102" cm="1">
        <f t="array" aca="1" ref="C28" ca="1">ROUND(INDIRECT(B$6&amp;"_"&amp;REPLACE($A28,3,1,"_")),2)</f>
        <v>0</v>
      </c>
      <c r="D28" t="str" cm="1">
        <f t="array" aca="1" ref="D28" ca="1">IF(INDIRECT("L_"&amp;MID($A28,1,2))&lt;&gt;0,IF(MID($A28,4,1)="i",MID($A28,1,1)&amp;Tab,"    ")&amp;
  " {"&amp;$O$45&amp;":NM:"&amp;$P$3&amp;ABS(C28)&amp;":"&amp;ABS(C28)*$P$45&amp;"#"&amp;Retro_MuyBien&amp;$Q$3&amp;ABS(C28)&amp;":"&amp;ABS(C28)*$Q$45&amp;"#"&amp;Retro_Bien&amp;$R$3&amp;ABS(C28)&amp;":"&amp;ABS(C28)*$R$45&amp;"#"&amp;Retro_Mal&amp;"}"&amp;IF(RIGHT($A28,1)="i",IFERROR(VLOOKUP(M28,'ENLACES DIAGRAMAS'!$B:$I,8,0),No_Diagrama),IF(MID($A28,1,1)="M",Tab&amp;MID($A28,2,1)&amp;Salto,IF(OR(MOD(COUNTA($A$8:$A28),4)=0,D29="")," "&amp;
                                    MID($A28,2,1)&amp;Salto,Tab))),"")</f>
        <v/>
      </c>
      <c r="E28" s="3" t="str">
        <f t="shared" si="1"/>
        <v>V KL i</v>
      </c>
      <c r="F28" s="102" cm="1">
        <f t="array" aca="1" ref="F28" ca="1">ROUND(INDIRECT(E$6&amp;"_"&amp;REPLACE($A28,3,1,"_")),2)</f>
        <v>0</v>
      </c>
      <c r="G28" t="str" cm="1">
        <f t="array" aca="1" ref="G28" ca="1">IF(INDIRECT("L_"&amp;MID($A28,1,2))&lt;&gt;0,IF(MID($A28,4,1)="i",MID($A28,1,1)&amp;Tab,"    ")&amp;
  " {"&amp;$O$45&amp;":NM:"&amp;$P$3&amp;ABS(F28)&amp;":"&amp;ABS(F28)*$P$45&amp;"#"&amp;Retro_MuyBien&amp;$Q$3&amp;ABS(F28)&amp;":"&amp;ABS(F28)*$Q$45&amp;"#"&amp;Retro_Bien&amp;$R$3&amp;ABS(F28)&amp;":"&amp;ABS(F28)*$R$45&amp;"#"&amp;Retro_Mal&amp;"}"&amp;IF(RIGHT($A28,1)="i",IFERROR(VLOOKUP(N28,'ENLACES DIAGRAMAS'!$B:$I,8,0),No_Diagrama),IF(MID($A28,1,1)="M",Tab&amp;MID($A28,2,1)&amp;Salto,IF(OR(MOD(COUNTA($A$8:$A28),4)=0,G29="")," "&amp;
                                    MID($A28,2,1)&amp;Salto,Tab))),"")</f>
        <v/>
      </c>
      <c r="H28" s="3" t="str">
        <f t="shared" si="2"/>
        <v>M KL i</v>
      </c>
      <c r="I28" s="102" cm="1">
        <f t="array" aca="1" ref="I28" ca="1">ROUND(INDIRECT(H$6&amp;"_"&amp;REPLACE($A28,3,1,"_")),2)</f>
        <v>0</v>
      </c>
      <c r="J28" t="str" cm="1">
        <f t="array" aca="1" ref="J28" ca="1">IF(INDIRECT("L_"&amp;MID($A28,1,2))&lt;&gt;0,IF(MID($A28,4,1)="i",MID($A28,1,1)&amp;Tab,"    ")&amp;
  " {"&amp;$O$45&amp;":NM:"&amp;$P$3&amp;ABS(I28)&amp;":"&amp;ABS(I28)*$P$45&amp;"#"&amp;Retro_MuyBien&amp;$Q$3&amp;ABS(I28)&amp;":"&amp;ABS(I28)*$Q$45&amp;"#"&amp;Retro_Bien&amp;$R$3&amp;ABS(I28)&amp;":"&amp;ABS(I28)*$R$45&amp;"#"&amp;Retro_Mal&amp;"}"&amp;IF(RIGHT($A28,1)="i",IFERROR(VLOOKUP(O28,'ENLACES DIAGRAMAS'!$B:$I,8,0),No_Diagrama),IF(MID($A28,1,1)="M",Tab&amp;MID($A28,2,1)&amp;Salto,IF(OR(MOD(COUNTA($A$8:$A28),4)=0,J29="")," "&amp;
                                    MID($A28,2,1)&amp;Salto,Tab))),"")</f>
        <v/>
      </c>
      <c r="K28" t="str">
        <f>IFERROR(IF(MID(T_Resultados_FTP[[#This Row],[Nudo]],4,1)="j","En la barra "&amp;MID(A27,1,2)&amp;" el momento es de 
       {"&amp;$O$42&amp;":NM:"&amp;$P$3&amp;ABS(ROUND(L28,2))&amp;":"&amp;ABS(ROUND(L28,2))*$P$51&amp;"#"&amp;Retro_MuyBien&amp;
                       $Q$3&amp;ABS(ROUND(L28,2))&amp;":"&amp;ABS(ROUND(L28,2))*$Q$51&amp;"#"&amp;Retro_Bien&amp;
                       $R$3&amp;ABS(ROUND(L28,2))&amp;":"&amp;ABS(ROUND(L28,2))*$R$51&amp;"#"&amp;Retro_Mal&amp;"} kNm, a 
       {"&amp;$O$43&amp;":NM:"&amp;$P$3&amp;ABS(ROUND(L27,0))&amp;":"&amp;ABS(ROUND(L27,2))*$P$51&amp;"#"&amp;Retro_MuyBien&amp;
                       $Q$3&amp;ABS(ROUND(L27,0))&amp;":"&amp;ABS(ROUND(L27,2))*$Q$51&amp;"#"&amp;Retro_Bien&amp;
                       $R$3&amp;ABS(ROUND(L27,0))&amp;":"&amp;ABS(ROUND(L27,2))*$R$51&amp;"#"&amp;Retro_Mal&amp;"} mm del nudo "&amp;MID(A27,1,1)&amp;". "&amp;Salto,""),"")</f>
        <v/>
      </c>
      <c r="L28" s="103" t="str">
        <f ca="1">PROBLEMA!R54</f>
        <v/>
      </c>
      <c r="M28" t="str" cm="1">
        <f t="array" aca="1" ref="M28" ca="1">IF(INDIRECT("L_"&amp;MID($A28,1,2))&lt;&gt;0,IF(  MID(A28,1,2)=MID(A29,1,2),  "N "&amp;
  IF(  C28=0,  "CERO ",         IF(  C28&gt;0,   "POS ",  "NEG " )) &amp;
  IF(  C29=0,  "CERO",          IF(  C29&gt;0,   "POS",  "NEG"  )) &amp;
  IF(AND(C28&lt;&gt;C29,C28&lt;&gt;0,C29&lt;&gt;0),    IF(C28&gt;C29, " MAX_MIN",  " MIN_MAX"),  ""),  ""),"")</f>
        <v/>
      </c>
      <c r="N28" t="str" cm="1">
        <f t="array" aca="1" ref="N28" ca="1">IF(INDIRECT("L_"&amp;MID($A28,1,2))&lt;&gt;0,IF(  MID(A28,1,2)=MID(A29,1,2),  "V "&amp;  IF(  F28=0,  "CERO ",  IF(  F28&gt;0,   "POS ",  "NEG " )) &amp;
                                                                                            IF(  F29=0,  "CERO",   IF(  F29&gt;0,   "POS",   "NEG"  )) &amp;
                                                  IF(AND(F28&lt;&gt;F29,F28&lt;&gt;0,F29&lt;&gt;0),   IF(F28&gt;F29,  " MAX_MIN", " MIN_MAX" ),  ""),  ""),"")</f>
        <v/>
      </c>
      <c r="O28" t="str" cm="1">
        <f t="array" aca="1" ref="O28" ca="1">IF(INDIRECT("L_"&amp;MID($A28,1,2))&lt;&gt;0,IF(  MID(A28,1,2)=MID(A29,1,2),  "M "&amp;
IF(   I28=0,  "CERO ",  IF(  I28&gt;0,   "POS ",  "NEG " )) &amp;
IF(   I29=0,  "CERO",  IF(  ROUND(I29,1)&gt;0,   "POS",  "NEG"  )) &amp;
IF(AND(I28&lt;&gt;I29,I28&lt;&gt;0,I29&lt;&gt;0),   IF(I28&gt;I29,  " MAX_MIN", " MIN_MAX" ),  "") &amp;
IF(OR(INDIRECT("q_"&amp;MID(A28,1,2))&lt;&gt;0,AND(OR(MID(T_Resultados_FTP[[#This Row],[Nudo]],1,2)="CD",MID(T_Resultados_FTP[[#This Row],[Nudo]],1,2)="DE"),q_CE&lt;&gt;0)),
IF(L29="", IF(ABS(F28)&lt;ABS(F29)," M_0"," M_L"),
IF(L29&gt;0,  " POS",  " NEG") &amp;  IF(L29&gt;MAX(I28:I29),  "_MAX", "_MIN" )&amp;
IF(F28=0," M_0",IF(F29=0," M_L",""))),    ""),  ""),"")</f>
        <v/>
      </c>
      <c r="P28" t="str" cm="1">
        <f t="array" aca="1" ref="P28" ca="1">IF(INDIRECT("L_"&amp;MID($A28,1,2))&lt;&gt;0,IF(MID($A28,4,1)="i","N{"&amp;MID($A28,1,1)&amp;"}N ","")&amp;
            " "&amp;ABS(C28)&amp;" "&amp;
                IF(RIGHT($A28,1)="i",IFERROR(VLOOKUP(M28,'ENLACES DIAGRAMAS'!$B:$I,4,0),No_Diagrama),
                   IF(MID($A28,1,1)="M","N{"&amp;MID($A28,2,1)&amp;"}N&lt;br&gt;",IF(OR(MOD(COUNTA($A$8:$A28),4)=0,D29=""),      " N{"&amp;MID($A28,2,1)&amp;"}N&lt;br&gt;",""))),"")</f>
        <v/>
      </c>
      <c r="Q28" t="str" cm="1">
        <f t="array" aca="1" ref="Q28" ca="1">IF(INDIRECT("L_"&amp;MID($A28,1,2))&lt;&gt;0,IF(MID($A28,4,1)="i","N{"&amp;MID($A28,1,1)&amp;"}N ","")&amp;
            " "&amp;ABS(F28)&amp;" "&amp;
                IF(RIGHT($A28,1)="i",IFERROR(VLOOKUP(N28,'ENLACES DIAGRAMAS'!$B:$I,4,0),No_Diagrama),
                   IF(MID($A28,1,1)="M","N{"&amp;MID($A28,2,1)&amp;"}N &lt;br&gt;",IF(OR(MOD(COUNTA($A$8:$A28),4)=0,G29=""),      " N{"&amp;MID($A28,2,1)&amp;"}N &lt;br&gt;",""))),"")</f>
        <v/>
      </c>
      <c r="R28" t="str" cm="1">
        <f t="array" aca="1" ref="R28" ca="1">IF(INDIRECT("L_"&amp;MID($A28,1,2))&lt;&gt;0,IF(MID($A28,4,1)="i","N{"&amp;MID($A28,1,1)&amp;"}N ","")&amp;
            " "&amp;ABS(I28)&amp;" "&amp;
                IF(RIGHT($A28,1)="i",IFERROR(VLOOKUP(O28,'ENLACES DIAGRAMAS'!$B:$I,4,0),No_Diagrama),
                   IF(MID($A28,1,1)="M","N{"&amp;MID($A28,2,1)&amp;"}N &lt;br&gt;",IF(OR(MOD(COUNTA($A$8:$A28),4)=0,J29=""),      " "&amp;"N{"&amp;MID($A28,2,1)&amp;"}N &lt;br&gt;",""))),"")</f>
        <v/>
      </c>
      <c r="S28" s="303" t="str">
        <f ca="1">IF(T_Resultados_FTP[[#This Row],[Codigo axil]]="","",ABS(T_Resultados_FTP[[#This Row],[Axiles]])&amp;" kN")</f>
        <v/>
      </c>
      <c r="T28" s="303" t="str">
        <f ca="1">IF(T_Resultados_FTP[[#This Row],[Codigo Cortante]]="","",ABS(T_Resultados_FTP[[#This Row],[Cortantes]])&amp;" kN")</f>
        <v/>
      </c>
      <c r="U28" s="303" t="str">
        <f ca="1">IF(T_Resultados_FTP[[#This Row],[Codigo Momentos]]="","",ABS(T_Resultados_FTP[[#This Row],[Momentos]])&amp;" kNm")</f>
        <v/>
      </c>
    </row>
    <row r="29" spans="1:21" hidden="1" outlineLevel="1">
      <c r="A29" s="88" t="str">
        <f>PROBLEMA!W55</f>
        <v>KL j</v>
      </c>
      <c r="B29" s="3" t="str">
        <f t="shared" si="0"/>
        <v>N KL j</v>
      </c>
      <c r="C29" s="102" cm="1">
        <f t="array" aca="1" ref="C29" ca="1">ROUND(INDIRECT(B$6&amp;"_"&amp;REPLACE($A29,3,1,"_")),2)</f>
        <v>0</v>
      </c>
      <c r="D29" t="str" cm="1">
        <f t="array" aca="1" ref="D29" ca="1">IF(INDIRECT("L_"&amp;MID($A29,1,2))&lt;&gt;0,IF(MID($A29,4,1)="i",MID($A29,1,1)&amp;Tab,"    ")&amp;
  " {"&amp;$O$45&amp;":NM:"&amp;$P$3&amp;ABS(C29)&amp;":"&amp;ABS(C29)*$P$45&amp;"#"&amp;Retro_MuyBien&amp;$Q$3&amp;ABS(C29)&amp;":"&amp;ABS(C29)*$Q$45&amp;"#"&amp;Retro_Bien&amp;$R$3&amp;ABS(C29)&amp;":"&amp;ABS(C29)*$R$45&amp;"#"&amp;Retro_Mal&amp;"}"&amp;IF(RIGHT($A29,1)="i",IFERROR(VLOOKUP(M29,'ENLACES DIAGRAMAS'!$B:$I,8,0),No_Diagrama),IF(MID($A29,1,1)="M",Tab&amp;MID($A29,2,1)&amp;Salto,IF(OR(MOD(COUNTA($A$8:$A29),4)=0,D30="")," "&amp;
                                    MID($A29,2,1)&amp;Salto,Tab))),"")</f>
        <v/>
      </c>
      <c r="E29" s="3" t="str">
        <f t="shared" si="1"/>
        <v>V KL j</v>
      </c>
      <c r="F29" s="102" cm="1">
        <f t="array" aca="1" ref="F29" ca="1">ROUND(INDIRECT(E$6&amp;"_"&amp;REPLACE($A29,3,1,"_")),2)</f>
        <v>0</v>
      </c>
      <c r="G29" t="str" cm="1">
        <f t="array" aca="1" ref="G29" ca="1">IF(INDIRECT("L_"&amp;MID($A29,1,2))&lt;&gt;0,IF(MID($A29,4,1)="i",MID($A29,1,1)&amp;Tab,"    ")&amp;
  " {"&amp;$O$45&amp;":NM:"&amp;$P$3&amp;ABS(F29)&amp;":"&amp;ABS(F29)*$P$45&amp;"#"&amp;Retro_MuyBien&amp;$Q$3&amp;ABS(F29)&amp;":"&amp;ABS(F29)*$Q$45&amp;"#"&amp;Retro_Bien&amp;$R$3&amp;ABS(F29)&amp;":"&amp;ABS(F29)*$R$45&amp;"#"&amp;Retro_Mal&amp;"}"&amp;IF(RIGHT($A29,1)="i",IFERROR(VLOOKUP(N29,'ENLACES DIAGRAMAS'!$B:$I,8,0),No_Diagrama),IF(MID($A29,1,1)="M",Tab&amp;MID($A29,2,1)&amp;Salto,IF(OR(MOD(COUNTA($A$8:$A29),4)=0,G30="")," "&amp;
                                    MID($A29,2,1)&amp;Salto,Tab))),"")</f>
        <v/>
      </c>
      <c r="H29" s="3" t="str">
        <f t="shared" si="2"/>
        <v>M KL j</v>
      </c>
      <c r="I29" s="102" cm="1">
        <f t="array" aca="1" ref="I29" ca="1">ROUND(INDIRECT(H$6&amp;"_"&amp;REPLACE($A29,3,1,"_")),2)</f>
        <v>0</v>
      </c>
      <c r="J29" t="str" cm="1">
        <f t="array" aca="1" ref="J29" ca="1">IF(INDIRECT("L_"&amp;MID($A29,1,2))&lt;&gt;0,IF(MID($A29,4,1)="i",MID($A29,1,1)&amp;Tab,"    ")&amp;
  " {"&amp;$O$45&amp;":NM:"&amp;$P$3&amp;ABS(I29)&amp;":"&amp;ABS(I29)*$P$45&amp;"#"&amp;Retro_MuyBien&amp;$Q$3&amp;ABS(I29)&amp;":"&amp;ABS(I29)*$Q$45&amp;"#"&amp;Retro_Bien&amp;$R$3&amp;ABS(I29)&amp;":"&amp;ABS(I29)*$R$45&amp;"#"&amp;Retro_Mal&amp;"}"&amp;IF(RIGHT($A29,1)="i",IFERROR(VLOOKUP(O29,'ENLACES DIAGRAMAS'!$B:$I,8,0),No_Diagrama),IF(MID($A29,1,1)="M",Tab&amp;MID($A29,2,1)&amp;Salto,IF(OR(MOD(COUNTA($A$8:$A29),4)=0,J30="")," "&amp;
                                    MID($A29,2,1)&amp;Salto,Tab))),"")</f>
        <v/>
      </c>
      <c r="K29" t="str">
        <f ca="1">IFERROR(IF(MID(T_Resultados_FTP[[#This Row],[Nudo]],4,1)="j","En la barra "&amp;MID(A28,1,2)&amp;" el momento es de 
       {"&amp;$O$42&amp;":NM:"&amp;$P$3&amp;ABS(ROUND(L29,2))&amp;":"&amp;ABS(ROUND(L29,2))*$P$51&amp;"#"&amp;Retro_MuyBien&amp;
                       $Q$3&amp;ABS(ROUND(L29,2))&amp;":"&amp;ABS(ROUND(L29,2))*$Q$51&amp;"#"&amp;Retro_Bien&amp;
                       $R$3&amp;ABS(ROUND(L29,2))&amp;":"&amp;ABS(ROUND(L29,2))*$R$51&amp;"#"&amp;Retro_Mal&amp;"} kNm, a 
       {"&amp;$O$43&amp;":NM:"&amp;$P$3&amp;ABS(ROUND(L28,0))&amp;":"&amp;ABS(ROUND(L28,2))*$P$51&amp;"#"&amp;Retro_MuyBien&amp;
                       $Q$3&amp;ABS(ROUND(L28,0))&amp;":"&amp;ABS(ROUND(L28,2))*$Q$51&amp;"#"&amp;Retro_Bien&amp;
                       $R$3&amp;ABS(ROUND(L28,0))&amp;":"&amp;ABS(ROUND(L28,2))*$R$51&amp;"#"&amp;Retro_Mal&amp;"} mm del nudo "&amp;MID(A28,1,1)&amp;". "&amp;Salto,""),"")</f>
        <v/>
      </c>
      <c r="L29" s="104" t="str">
        <f ca="1">PROBLEMA!R55</f>
        <v/>
      </c>
      <c r="M29" t="str" cm="1">
        <f t="array" aca="1" ref="M29" ca="1">IF(INDIRECT("L_"&amp;MID($A29,1,2))&lt;&gt;0,IF(  MID(A29,1,2)=MID(A30,1,2),  "N "&amp;
  IF(  C29=0,  "CERO ",         IF(  C29&gt;0,   "POS ",  "NEG " )) &amp;
  IF(  C30=0,  "CERO",          IF(  C30&gt;0,   "POS",  "NEG"  )) &amp;
  IF(AND(C29&lt;&gt;C30,C29&lt;&gt;0,C30&lt;&gt;0),    IF(C29&gt;C30, " MAX_MIN",  " MIN_MAX"),  ""),  ""),"")</f>
        <v/>
      </c>
      <c r="N29" t="str" cm="1">
        <f t="array" aca="1" ref="N29" ca="1">IF(INDIRECT("L_"&amp;MID($A29,1,2))&lt;&gt;0,IF(  MID(A29,1,2)=MID(A30,1,2),  "V "&amp;  IF(  F29=0,  "CERO ",  IF(  F29&gt;0,   "POS ",  "NEG " )) &amp;
                                                                                            IF(  F30=0,  "CERO",   IF(  F30&gt;0,   "POS",   "NEG"  )) &amp;
                                                  IF(AND(F29&lt;&gt;F30,F29&lt;&gt;0,F30&lt;&gt;0),   IF(F29&gt;F30,  " MAX_MIN", " MIN_MAX" ),  ""),  ""),"")</f>
        <v/>
      </c>
      <c r="O29" t="str" cm="1">
        <f t="array" aca="1" ref="O29" ca="1">IF(INDIRECT("L_"&amp;MID($A29,1,2))&lt;&gt;0,IF(  MID(A29,1,2)=MID(A30,1,2),  "M "&amp;
IF(   I29=0,  "CERO ",  IF(  I29&gt;0,   "POS ",  "NEG " )) &amp;
IF(   I30=0,  "CERO",  IF(  ROUND(I30,1)&gt;0,   "POS",  "NEG"  )) &amp;
IF(AND(I29&lt;&gt;I30,I29&lt;&gt;0,I30&lt;&gt;0),   IF(I29&gt;I30,  " MAX_MIN", " MIN_MAX" ),  "") &amp;
IF(OR(INDIRECT("q_"&amp;MID(A29,1,2))&lt;&gt;0,AND(OR(MID(T_Resultados_FTP[[#This Row],[Nudo]],1,2)="CD",MID(T_Resultados_FTP[[#This Row],[Nudo]],1,2)="DE"),q_CE&lt;&gt;0)),
IF(L30="", IF(ABS(F29)&lt;ABS(F30)," M_0"," M_L"),
IF(L30&gt;0,  " POS",  " NEG") &amp;  IF(L30&gt;MAX(I29:I30),  "_MAX", "_MIN" )&amp;
IF(F29=0," M_0",IF(F30=0," M_L",""))),    ""),  ""),"")</f>
        <v/>
      </c>
      <c r="P29" t="str" cm="1">
        <f t="array" aca="1" ref="P29" ca="1">IF(INDIRECT("L_"&amp;MID($A29,1,2))&lt;&gt;0,IF(MID($A29,4,1)="i","N{"&amp;MID($A29,1,1)&amp;"}N ","")&amp;
            " "&amp;ABS(C29)&amp;" "&amp;
                IF(RIGHT($A29,1)="i",IFERROR(VLOOKUP(M29,'ENLACES DIAGRAMAS'!$B:$I,4,0),No_Diagrama),
                   IF(MID($A29,1,1)="M","N{"&amp;MID($A29,2,1)&amp;"}N&lt;br&gt;",IF(OR(MOD(COUNTA($A$8:$A29),4)=0,D30=""),      " N{"&amp;MID($A29,2,1)&amp;"}N&lt;br&gt;",""))),"")</f>
        <v/>
      </c>
      <c r="Q29" t="str" cm="1">
        <f t="array" aca="1" ref="Q29" ca="1">IF(INDIRECT("L_"&amp;MID($A29,1,2))&lt;&gt;0,IF(MID($A29,4,1)="i","N{"&amp;MID($A29,1,1)&amp;"}N ","")&amp;
            " "&amp;ABS(F29)&amp;" "&amp;
                IF(RIGHT($A29,1)="i",IFERROR(VLOOKUP(N29,'ENLACES DIAGRAMAS'!$B:$I,4,0),No_Diagrama),
                   IF(MID($A29,1,1)="M","N{"&amp;MID($A29,2,1)&amp;"}N &lt;br&gt;",IF(OR(MOD(COUNTA($A$8:$A29),4)=0,G30=""),      " N{"&amp;MID($A29,2,1)&amp;"}N &lt;br&gt;",""))),"")</f>
        <v/>
      </c>
      <c r="R29" t="str" cm="1">
        <f t="array" aca="1" ref="R29" ca="1">IF(INDIRECT("L_"&amp;MID($A29,1,2))&lt;&gt;0,IF(MID($A29,4,1)="i","N{"&amp;MID($A29,1,1)&amp;"}N ","")&amp;
            " "&amp;ABS(I29)&amp;" "&amp;
                IF(RIGHT($A29,1)="i",IFERROR(VLOOKUP(O29,'ENLACES DIAGRAMAS'!$B:$I,4,0),No_Diagrama),
                   IF(MID($A29,1,1)="M","N{"&amp;MID($A29,2,1)&amp;"}N &lt;br&gt;",IF(OR(MOD(COUNTA($A$8:$A29),4)=0,J30=""),      " "&amp;"N{"&amp;MID($A29,2,1)&amp;"}N &lt;br&gt;",""))),"")</f>
        <v/>
      </c>
      <c r="S29" s="303" t="str">
        <f ca="1">IF(T_Resultados_FTP[[#This Row],[Codigo axil]]="","",ABS(T_Resultados_FTP[[#This Row],[Axiles]])&amp;" kN")</f>
        <v/>
      </c>
      <c r="T29" s="303" t="str">
        <f ca="1">IF(T_Resultados_FTP[[#This Row],[Codigo Cortante]]="","",ABS(T_Resultados_FTP[[#This Row],[Cortantes]])&amp;" kN")</f>
        <v/>
      </c>
      <c r="U29" s="303" t="str">
        <f ca="1">IF(T_Resultados_FTP[[#This Row],[Codigo Momentos]]="","",ABS(T_Resultados_FTP[[#This Row],[Momentos]])&amp;" kNm")</f>
        <v/>
      </c>
    </row>
    <row r="30" spans="1:21" hidden="1" outlineLevel="1">
      <c r="A30" s="88" t="str">
        <f>PROBLEMA!W56</f>
        <v>LM i</v>
      </c>
      <c r="B30" s="3" t="str">
        <f t="shared" si="0"/>
        <v>N LM i</v>
      </c>
      <c r="C30" s="102" cm="1">
        <f t="array" aca="1" ref="C30" ca="1">ROUND(INDIRECT(B$6&amp;"_"&amp;REPLACE($A30,3,1,"_")),2)</f>
        <v>0</v>
      </c>
      <c r="D30" t="str" cm="1">
        <f t="array" aca="1" ref="D30" ca="1">IF(INDIRECT("L_"&amp;MID($A30,1,2))&lt;&gt;0,IF(MID($A30,4,1)="i",MID($A30,1,1)&amp;Tab,"    ")&amp;
  " {"&amp;$O$45&amp;":NM:"&amp;$P$3&amp;ABS(C30)&amp;":"&amp;ABS(C30)*$P$45&amp;"#"&amp;Retro_MuyBien&amp;$Q$3&amp;ABS(C30)&amp;":"&amp;ABS(C30)*$Q$45&amp;"#"&amp;Retro_Bien&amp;$R$3&amp;ABS(C30)&amp;":"&amp;ABS(C30)*$R$45&amp;"#"&amp;Retro_Mal&amp;"}"&amp;IF(RIGHT($A30,1)="i",IFERROR(VLOOKUP(M30,'ENLACES DIAGRAMAS'!$B:$I,8,0),No_Diagrama),IF(MID($A30,1,1)="M",Tab&amp;MID($A30,2,1)&amp;Salto,IF(OR(MOD(COUNTA($A$8:$A30),4)=0,D31="")," "&amp;
                                    MID($A30,2,1)&amp;Salto,Tab))),"")</f>
        <v/>
      </c>
      <c r="E30" s="3" t="str">
        <f t="shared" si="1"/>
        <v>V LM i</v>
      </c>
      <c r="F30" s="102" cm="1">
        <f t="array" aca="1" ref="F30" ca="1">ROUND(INDIRECT(E$6&amp;"_"&amp;REPLACE($A30,3,1,"_")),2)</f>
        <v>0</v>
      </c>
      <c r="G30" t="str" cm="1">
        <f t="array" aca="1" ref="G30" ca="1">IF(INDIRECT("L_"&amp;MID($A30,1,2))&lt;&gt;0,IF(MID($A30,4,1)="i",MID($A30,1,1)&amp;Tab,"    ")&amp;
  " {"&amp;$O$45&amp;":NM:"&amp;$P$3&amp;ABS(F30)&amp;":"&amp;ABS(F30)*$P$45&amp;"#"&amp;Retro_MuyBien&amp;$Q$3&amp;ABS(F30)&amp;":"&amp;ABS(F30)*$Q$45&amp;"#"&amp;Retro_Bien&amp;$R$3&amp;ABS(F30)&amp;":"&amp;ABS(F30)*$R$45&amp;"#"&amp;Retro_Mal&amp;"}"&amp;IF(RIGHT($A30,1)="i",IFERROR(VLOOKUP(N30,'ENLACES DIAGRAMAS'!$B:$I,8,0),No_Diagrama),IF(MID($A30,1,1)="M",Tab&amp;MID($A30,2,1)&amp;Salto,IF(OR(MOD(COUNTA($A$8:$A30),4)=0,G31="")," "&amp;
                                    MID($A30,2,1)&amp;Salto,Tab))),"")</f>
        <v/>
      </c>
      <c r="H30" s="3" t="str">
        <f t="shared" si="2"/>
        <v>M LM i</v>
      </c>
      <c r="I30" s="102" cm="1">
        <f t="array" aca="1" ref="I30" ca="1">ROUND(INDIRECT(H$6&amp;"_"&amp;REPLACE($A30,3,1,"_")),2)</f>
        <v>0</v>
      </c>
      <c r="J30" t="str" cm="1">
        <f t="array" aca="1" ref="J30" ca="1">IF(INDIRECT("L_"&amp;MID($A30,1,2))&lt;&gt;0,IF(MID($A30,4,1)="i",MID($A30,1,1)&amp;Tab,"    ")&amp;
  " {"&amp;$O$45&amp;":NM:"&amp;$P$3&amp;ABS(I30)&amp;":"&amp;ABS(I30)*$P$45&amp;"#"&amp;Retro_MuyBien&amp;$Q$3&amp;ABS(I30)&amp;":"&amp;ABS(I30)*$Q$45&amp;"#"&amp;Retro_Bien&amp;$R$3&amp;ABS(I30)&amp;":"&amp;ABS(I30)*$R$45&amp;"#"&amp;Retro_Mal&amp;"}"&amp;IF(RIGHT($A30,1)="i",IFERROR(VLOOKUP(O30,'ENLACES DIAGRAMAS'!$B:$I,8,0),No_Diagrama),IF(MID($A30,1,1)="M",Tab&amp;MID($A30,2,1)&amp;Salto,IF(OR(MOD(COUNTA($A$8:$A30),4)=0,J31="")," "&amp;
                                    MID($A30,2,1)&amp;Salto,Tab))),"")</f>
        <v/>
      </c>
      <c r="K30" t="str">
        <f>IFERROR(IF(MID(T_Resultados_FTP[[#This Row],[Nudo]],4,1)="j","En la barra "&amp;MID(A29,1,2)&amp;" el momento es de 
       {"&amp;$O$42&amp;":NM:"&amp;$P$3&amp;ABS(ROUND(L30,2))&amp;":"&amp;ABS(ROUND(L30,2))*$P$51&amp;"#"&amp;Retro_MuyBien&amp;
                       $Q$3&amp;ABS(ROUND(L30,2))&amp;":"&amp;ABS(ROUND(L30,2))*$Q$51&amp;"#"&amp;Retro_Bien&amp;
                       $R$3&amp;ABS(ROUND(L30,2))&amp;":"&amp;ABS(ROUND(L30,2))*$R$51&amp;"#"&amp;Retro_Mal&amp;"} kNm, a 
       {"&amp;$O$43&amp;":NM:"&amp;$P$3&amp;ABS(ROUND(L29,0))&amp;":"&amp;ABS(ROUND(L29,2))*$P$51&amp;"#"&amp;Retro_MuyBien&amp;
                       $Q$3&amp;ABS(ROUND(L29,0))&amp;":"&amp;ABS(ROUND(L29,2))*$Q$51&amp;"#"&amp;Retro_Bien&amp;
                       $R$3&amp;ABS(ROUND(L29,0))&amp;":"&amp;ABS(ROUND(L29,2))*$R$51&amp;"#"&amp;Retro_Mal&amp;"} mm del nudo "&amp;MID(A29,1,1)&amp;". "&amp;Salto,""),"")</f>
        <v/>
      </c>
      <c r="L30" s="103" t="str">
        <f ca="1">PROBLEMA!R56</f>
        <v/>
      </c>
      <c r="M30" t="str" cm="1">
        <f t="array" aca="1" ref="M30" ca="1">IF(INDIRECT("L_"&amp;MID($A30,1,2))&lt;&gt;0,IF(  MID(A30,1,2)=MID(A31,1,2),  "N "&amp;
  IF(  C30=0,  "CERO ",         IF(  C30&gt;0,   "POS ",  "NEG " )) &amp;
  IF(  C31=0,  "CERO",          IF(  C31&gt;0,   "POS",  "NEG"  )) &amp;
  IF(AND(C30&lt;&gt;C31,C30&lt;&gt;0,C31&lt;&gt;0),    IF(C30&gt;C31, " MAX_MIN",  " MIN_MAX"),  ""),  ""),"")</f>
        <v/>
      </c>
      <c r="N30" t="str" cm="1">
        <f t="array" aca="1" ref="N30" ca="1">IF(INDIRECT("L_"&amp;MID($A30,1,2))&lt;&gt;0,IF(  MID(A30,1,2)=MID(A31,1,2),  "V "&amp;  IF(  F30=0,  "CERO ",  IF(  F30&gt;0,   "POS ",  "NEG " )) &amp;
                                                                                            IF(  F31=0,  "CERO",   IF(  F31&gt;0,   "POS",   "NEG"  )) &amp;
                                                  IF(AND(F30&lt;&gt;F31,F30&lt;&gt;0,F31&lt;&gt;0),   IF(F30&gt;F31,  " MAX_MIN", " MIN_MAX" ),  ""),  ""),"")</f>
        <v/>
      </c>
      <c r="O30" t="str" cm="1">
        <f t="array" aca="1" ref="O30" ca="1">IF(INDIRECT("L_"&amp;MID($A30,1,2))&lt;&gt;0,IF(  MID(A30,1,2)=MID(A31,1,2),  "M "&amp;
IF(   I30=0,  "CERO ",  IF(  I30&gt;0,   "POS ",  "NEG " )) &amp;
IF(   I31=0,  "CERO",  IF(  ROUND(I31,1)&gt;0,   "POS",  "NEG"  )) &amp;
IF(AND(I30&lt;&gt;I31,I30&lt;&gt;0,I31&lt;&gt;0),   IF(I30&gt;I31,  " MAX_MIN", " MIN_MAX" ),  "") &amp;
IF(OR(INDIRECT("q_"&amp;MID(A30,1,2))&lt;&gt;0,AND(OR(MID(T_Resultados_FTP[[#This Row],[Nudo]],1,2)="CD",MID(T_Resultados_FTP[[#This Row],[Nudo]],1,2)="DE"),q_CE&lt;&gt;0)),
IF(L31="", IF(ABS(F30)&lt;ABS(F31)," M_0"," M_L"),
IF(L31&gt;0,  " POS",  " NEG") &amp;  IF(L31&gt;MAX(I30:I31),  "_MAX", "_MIN" )&amp;
IF(F30=0," M_0",IF(F31=0," M_L",""))),    ""),  ""),"")</f>
        <v/>
      </c>
      <c r="P30" t="str" cm="1">
        <f t="array" aca="1" ref="P30" ca="1">IF(INDIRECT("L_"&amp;MID($A30,1,2))&lt;&gt;0,IF(MID($A30,4,1)="i","N{"&amp;MID($A30,1,1)&amp;"}N ","")&amp;
            " "&amp;ABS(C30)&amp;" "&amp;
                IF(RIGHT($A30,1)="i",IFERROR(VLOOKUP(M30,'ENLACES DIAGRAMAS'!$B:$I,4,0),No_Diagrama),
                   IF(MID($A30,1,1)="M","N{"&amp;MID($A30,2,1)&amp;"}N&lt;br&gt;",IF(OR(MOD(COUNTA($A$8:$A30),4)=0,D31=""),      " N{"&amp;MID($A30,2,1)&amp;"}N&lt;br&gt;",""))),"")</f>
        <v/>
      </c>
      <c r="Q30" t="str" cm="1">
        <f t="array" aca="1" ref="Q30" ca="1">IF(INDIRECT("L_"&amp;MID($A30,1,2))&lt;&gt;0,IF(MID($A30,4,1)="i","N{"&amp;MID($A30,1,1)&amp;"}N ","")&amp;
            " "&amp;ABS(F30)&amp;" "&amp;
                IF(RIGHT($A30,1)="i",IFERROR(VLOOKUP(N30,'ENLACES DIAGRAMAS'!$B:$I,4,0),No_Diagrama),
                   IF(MID($A30,1,1)="M","N{"&amp;MID($A30,2,1)&amp;"}N &lt;br&gt;",IF(OR(MOD(COUNTA($A$8:$A30),4)=0,G31=""),      " N{"&amp;MID($A30,2,1)&amp;"}N &lt;br&gt;",""))),"")</f>
        <v/>
      </c>
      <c r="R30" t="str" cm="1">
        <f t="array" aca="1" ref="R30" ca="1">IF(INDIRECT("L_"&amp;MID($A30,1,2))&lt;&gt;0,IF(MID($A30,4,1)="i","N{"&amp;MID($A30,1,1)&amp;"}N ","")&amp;
            " "&amp;ABS(I30)&amp;" "&amp;
                IF(RIGHT($A30,1)="i",IFERROR(VLOOKUP(O30,'ENLACES DIAGRAMAS'!$B:$I,4,0),No_Diagrama),
                   IF(MID($A30,1,1)="M","N{"&amp;MID($A30,2,1)&amp;"}N &lt;br&gt;",IF(OR(MOD(COUNTA($A$8:$A30),4)=0,J31=""),      " "&amp;"N{"&amp;MID($A30,2,1)&amp;"}N &lt;br&gt;",""))),"")</f>
        <v/>
      </c>
      <c r="S30" s="303" t="str">
        <f ca="1">IF(T_Resultados_FTP[[#This Row],[Codigo axil]]="","",ABS(T_Resultados_FTP[[#This Row],[Axiles]])&amp;" kN")</f>
        <v/>
      </c>
      <c r="T30" s="303" t="str">
        <f ca="1">IF(T_Resultados_FTP[[#This Row],[Codigo Cortante]]="","",ABS(T_Resultados_FTP[[#This Row],[Cortantes]])&amp;" kN")</f>
        <v/>
      </c>
      <c r="U30" s="303" t="str">
        <f ca="1">IF(T_Resultados_FTP[[#This Row],[Codigo Momentos]]="","",ABS(T_Resultados_FTP[[#This Row],[Momentos]])&amp;" kNm")</f>
        <v/>
      </c>
    </row>
    <row r="31" spans="1:21" hidden="1" outlineLevel="1">
      <c r="A31" s="88" t="str">
        <f>PROBLEMA!W57</f>
        <v>LM j</v>
      </c>
      <c r="B31" s="3" t="str">
        <f t="shared" si="0"/>
        <v>N LM j</v>
      </c>
      <c r="C31" s="102" cm="1">
        <f t="array" aca="1" ref="C31" ca="1">ROUND(INDIRECT(B$6&amp;"_"&amp;REPLACE($A31,3,1,"_")),2)</f>
        <v>0</v>
      </c>
      <c r="D31" t="str" cm="1">
        <f t="array" aca="1" ref="D31" ca="1">IF(INDIRECT("L_"&amp;MID($A31,1,2))&lt;&gt;0,IF(MID($A31,4,1)="i",MID($A31,1,1)&amp;Tab,"    ")&amp;
  " {"&amp;$O$45&amp;":NM:"&amp;$P$3&amp;ABS(C31)&amp;":"&amp;ABS(C31)*$P$45&amp;"#"&amp;Retro_MuyBien&amp;$Q$3&amp;ABS(C31)&amp;":"&amp;ABS(C31)*$Q$45&amp;"#"&amp;Retro_Bien&amp;$R$3&amp;ABS(C31)&amp;":"&amp;ABS(C31)*$R$45&amp;"#"&amp;Retro_Mal&amp;"}"&amp;IF(RIGHT($A31,1)="i",IFERROR(VLOOKUP(M31,'ENLACES DIAGRAMAS'!$B:$I,8,0),No_Diagrama),IF(MID($A31,1,1)="M",Tab&amp;MID($A31,2,1)&amp;Salto,IF(OR(MOD(COUNTA($A$8:$A31),4)=0,D32="")," "&amp;
                                    MID($A31,2,1)&amp;Salto,Tab))),"")</f>
        <v/>
      </c>
      <c r="E31" s="3" t="str">
        <f t="shared" si="1"/>
        <v>V LM j</v>
      </c>
      <c r="F31" s="102" cm="1">
        <f t="array" aca="1" ref="F31" ca="1">ROUND(INDIRECT(E$6&amp;"_"&amp;REPLACE($A31,3,1,"_")),2)</f>
        <v>0</v>
      </c>
      <c r="G31" t="str" cm="1">
        <f t="array" aca="1" ref="G31" ca="1">IF(INDIRECT("L_"&amp;MID($A31,1,2))&lt;&gt;0,IF(MID($A31,4,1)="i",MID($A31,1,1)&amp;Tab,"    ")&amp;
  " {"&amp;$O$45&amp;":NM:"&amp;$P$3&amp;ABS(F31)&amp;":"&amp;ABS(F31)*$P$45&amp;"#"&amp;Retro_MuyBien&amp;$Q$3&amp;ABS(F31)&amp;":"&amp;ABS(F31)*$Q$45&amp;"#"&amp;Retro_Bien&amp;$R$3&amp;ABS(F31)&amp;":"&amp;ABS(F31)*$R$45&amp;"#"&amp;Retro_Mal&amp;"}"&amp;IF(RIGHT($A31,1)="i",IFERROR(VLOOKUP(N31,'ENLACES DIAGRAMAS'!$B:$I,8,0),No_Diagrama),IF(MID($A31,1,1)="M",Tab&amp;MID($A31,2,1)&amp;Salto,IF(OR(MOD(COUNTA($A$8:$A31),4)=0,G32="")," "&amp;
                                    MID($A31,2,1)&amp;Salto,Tab))),"")</f>
        <v/>
      </c>
      <c r="H31" s="3" t="str">
        <f t="shared" si="2"/>
        <v>M LM j</v>
      </c>
      <c r="I31" s="102" cm="1">
        <f t="array" aca="1" ref="I31" ca="1">ROUND(INDIRECT(H$6&amp;"_"&amp;REPLACE($A31,3,1,"_")),2)</f>
        <v>0</v>
      </c>
      <c r="J31" t="str" cm="1">
        <f t="array" aca="1" ref="J31" ca="1">IF(INDIRECT("L_"&amp;MID($A31,1,2))&lt;&gt;0,IF(MID($A31,4,1)="i",MID($A31,1,1)&amp;Tab,"    ")&amp;
  " {"&amp;$O$45&amp;":NM:"&amp;$P$3&amp;ABS(I31)&amp;":"&amp;ABS(I31)*$P$45&amp;"#"&amp;Retro_MuyBien&amp;$Q$3&amp;ABS(I31)&amp;":"&amp;ABS(I31)*$Q$45&amp;"#"&amp;Retro_Bien&amp;$R$3&amp;ABS(I31)&amp;":"&amp;ABS(I31)*$R$45&amp;"#"&amp;Retro_Mal&amp;"}"&amp;IF(RIGHT($A31,1)="i",IFERROR(VLOOKUP(O31,'ENLACES DIAGRAMAS'!$B:$I,8,0),No_Diagrama),IF(MID($A31,1,1)="M",Tab&amp;MID($A31,2,1)&amp;Salto,IF(OR(MOD(COUNTA($A$8:$A31),4)=0,J32="")," "&amp;
                                    MID($A31,2,1)&amp;Salto,Tab))),"")</f>
        <v/>
      </c>
      <c r="K31" t="str">
        <f ca="1">IFERROR(IF(MID(T_Resultados_FTP[[#This Row],[Nudo]],4,1)="j","En la barra "&amp;MID(A30,1,2)&amp;" el momento es de 
       {"&amp;$O$42&amp;":NM:"&amp;$P$3&amp;ABS(ROUND(L31,2))&amp;":"&amp;ABS(ROUND(L31,2))*$P$51&amp;"#"&amp;Retro_MuyBien&amp;
                       $Q$3&amp;ABS(ROUND(L31,2))&amp;":"&amp;ABS(ROUND(L31,2))*$Q$51&amp;"#"&amp;Retro_Bien&amp;
                       $R$3&amp;ABS(ROUND(L31,2))&amp;":"&amp;ABS(ROUND(L31,2))*$R$51&amp;"#"&amp;Retro_Mal&amp;"} kNm, a 
       {"&amp;$O$43&amp;":NM:"&amp;$P$3&amp;ABS(ROUND(L30,0))&amp;":"&amp;ABS(ROUND(L30,2))*$P$51&amp;"#"&amp;Retro_MuyBien&amp;
                       $Q$3&amp;ABS(ROUND(L30,0))&amp;":"&amp;ABS(ROUND(L30,2))*$Q$51&amp;"#"&amp;Retro_Bien&amp;
                       $R$3&amp;ABS(ROUND(L30,0))&amp;":"&amp;ABS(ROUND(L30,2))*$R$51&amp;"#"&amp;Retro_Mal&amp;"} mm del nudo "&amp;MID(A30,1,1)&amp;". "&amp;Salto,""),"")</f>
        <v/>
      </c>
      <c r="L31" s="104" t="str">
        <f ca="1">PROBLEMA!R57</f>
        <v/>
      </c>
      <c r="M31" t="str" cm="1">
        <f t="array" aca="1" ref="M31" ca="1">IF(INDIRECT("L_"&amp;MID($A31,1,2))&lt;&gt;0,IF(  MID(A31,1,2)=MID(A32,1,2),  "N "&amp;
  IF(  C31=0,  "CERO ",         IF(  C31&gt;0,   "POS ",  "NEG " )) &amp;
  IF(  C32=0,  "CERO",          IF(  C32&gt;0,   "POS",  "NEG"  )) &amp;
  IF(AND(C31&lt;&gt;C32,C31&lt;&gt;0,C32&lt;&gt;0),    IF(C31&gt;C32, " MAX_MIN",  " MIN_MAX"),  ""),  ""),"")</f>
        <v/>
      </c>
      <c r="N31" t="str" cm="1">
        <f t="array" aca="1" ref="N31" ca="1">IF(INDIRECT("L_"&amp;MID($A31,1,2))&lt;&gt;0,IF(  MID(A31,1,2)=MID(A32,1,2),  "V "&amp;  IF(  F31=0,  "CERO ",  IF(  F31&gt;0,   "POS ",  "NEG " )) &amp;
                                                                                            IF(  F32=0,  "CERO",   IF(  F32&gt;0,   "POS",   "NEG"  )) &amp;
                                                  IF(AND(F31&lt;&gt;F32,F31&lt;&gt;0,F32&lt;&gt;0),   IF(F31&gt;F32,  " MAX_MIN", " MIN_MAX" ),  ""),  ""),"")</f>
        <v/>
      </c>
      <c r="O31" t="str" cm="1">
        <f t="array" aca="1" ref="O31" ca="1">IF(INDIRECT("L_"&amp;MID($A31,1,2))&lt;&gt;0,IF(  MID(A31,1,2)=MID(A32,1,2),  "M "&amp;
IF(   I31=0,  "CERO ",  IF(  I31&gt;0,   "POS ",  "NEG " )) &amp;
IF(   I32=0,  "CERO",  IF(  ROUND(I32,1)&gt;0,   "POS",  "NEG"  )) &amp;
IF(AND(I31&lt;&gt;I32,I31&lt;&gt;0,I32&lt;&gt;0),   IF(I31&gt;I32,  " MAX_MIN", " MIN_MAX" ),  "") &amp;
IF(OR(INDIRECT("q_"&amp;MID(A31,1,2))&lt;&gt;0,AND(OR(MID(T_Resultados_FTP[[#This Row],[Nudo]],1,2)="CD",MID(T_Resultados_FTP[[#This Row],[Nudo]],1,2)="DE"),q_CE&lt;&gt;0)),
IF(L32="", IF(ABS(F31)&lt;ABS(F32)," M_0"," M_L"),
IF(L32&gt;0,  " POS",  " NEG") &amp;  IF(L32&gt;MAX(I31:I32),  "_MAX", "_MIN" )&amp;
IF(F31=0," M_0",IF(F32=0," M_L",""))),    ""),  ""),"")</f>
        <v/>
      </c>
      <c r="P31" t="str" cm="1">
        <f t="array" aca="1" ref="P31" ca="1">IF(INDIRECT("L_"&amp;MID($A31,1,2))&lt;&gt;0,IF(MID($A31,4,1)="i","N{"&amp;MID($A31,1,1)&amp;"}N ","")&amp;
            " "&amp;ABS(C31)&amp;" "&amp;
                IF(RIGHT($A31,1)="i",IFERROR(VLOOKUP(M31,'ENLACES DIAGRAMAS'!$B:$I,4,0),No_Diagrama),
                   IF(MID($A31,1,1)="M","N{"&amp;MID($A31,2,1)&amp;"}N&lt;br&gt;",IF(OR(MOD(COUNTA($A$8:$A31),4)=0,D32=""),      " N{"&amp;MID($A31,2,1)&amp;"}N&lt;br&gt;",""))),"")</f>
        <v/>
      </c>
      <c r="Q31" t="str" cm="1">
        <f t="array" aca="1" ref="Q31" ca="1">IF(INDIRECT("L_"&amp;MID($A31,1,2))&lt;&gt;0,IF(MID($A31,4,1)="i","N{"&amp;MID($A31,1,1)&amp;"}N ","")&amp;
            " "&amp;ABS(F31)&amp;" "&amp;
                IF(RIGHT($A31,1)="i",IFERROR(VLOOKUP(N31,'ENLACES DIAGRAMAS'!$B:$I,4,0),No_Diagrama),
                   IF(MID($A31,1,1)="M","N{"&amp;MID($A31,2,1)&amp;"}N &lt;br&gt;",IF(OR(MOD(COUNTA($A$8:$A31),4)=0,G32=""),      " N{"&amp;MID($A31,2,1)&amp;"}N &lt;br&gt;",""))),"")</f>
        <v/>
      </c>
      <c r="R31" t="str" cm="1">
        <f t="array" aca="1" ref="R31" ca="1">IF(INDIRECT("L_"&amp;MID($A31,1,2))&lt;&gt;0,IF(MID($A31,4,1)="i","N{"&amp;MID($A31,1,1)&amp;"}N ","")&amp;
            " "&amp;ABS(I31)&amp;" "&amp;
                IF(RIGHT($A31,1)="i",IFERROR(VLOOKUP(O31,'ENLACES DIAGRAMAS'!$B:$I,4,0),No_Diagrama),
                   IF(MID($A31,1,1)="M","N{"&amp;MID($A31,2,1)&amp;"}N &lt;br&gt;",IF(OR(MOD(COUNTA($A$8:$A31),4)=0,J32=""),      " "&amp;"N{"&amp;MID($A31,2,1)&amp;"}N &lt;br&gt;",""))),"")</f>
        <v/>
      </c>
      <c r="S31" s="303" t="str">
        <f ca="1">IF(T_Resultados_FTP[[#This Row],[Codigo axil]]="","",ABS(T_Resultados_FTP[[#This Row],[Axiles]])&amp;" kN")</f>
        <v/>
      </c>
      <c r="T31" s="303" t="str">
        <f ca="1">IF(T_Resultados_FTP[[#This Row],[Codigo Cortante]]="","",ABS(T_Resultados_FTP[[#This Row],[Cortantes]])&amp;" kN")</f>
        <v/>
      </c>
      <c r="U31" s="303" t="str">
        <f ca="1">IF(T_Resultados_FTP[[#This Row],[Codigo Momentos]]="","",ABS(T_Resultados_FTP[[#This Row],[Momentos]])&amp;" kNm")</f>
        <v/>
      </c>
    </row>
    <row r="32" spans="1:21" hidden="1" outlineLevel="1">
      <c r="A32" s="88" t="str">
        <f>PROBLEMA!W58</f>
        <v>MN i</v>
      </c>
      <c r="B32" s="3" t="str">
        <f t="shared" si="0"/>
        <v>N MN i</v>
      </c>
      <c r="C32" s="102" cm="1">
        <f t="array" aca="1" ref="C32" ca="1">ROUND(INDIRECT(B$6&amp;"_"&amp;REPLACE($A32,3,1,"_")),2)</f>
        <v>0</v>
      </c>
      <c r="D32" t="str" cm="1">
        <f t="array" aca="1" ref="D32" ca="1">IF(INDIRECT("L_"&amp;MID($A32,1,2))&lt;&gt;0,IF(MID($A32,4,1)="i",MID($A32,1,1)&amp;Tab,"    ")&amp;
  " {"&amp;$O$45&amp;":NM:"&amp;$P$3&amp;ABS(C32)&amp;":"&amp;ABS(C32)*$P$45&amp;"#"&amp;Retro_MuyBien&amp;$Q$3&amp;ABS(C32)&amp;":"&amp;ABS(C32)*$Q$45&amp;"#"&amp;Retro_Bien&amp;$R$3&amp;ABS(C32)&amp;":"&amp;ABS(C32)*$R$45&amp;"#"&amp;Retro_Mal&amp;"}"&amp;IF(RIGHT($A32,1)="i",IFERROR(VLOOKUP(M32,'ENLACES DIAGRAMAS'!$B:$I,8,0),No_Diagrama),IF(MID($A32,1,1)="M",Tab&amp;MID($A32,2,1)&amp;Salto,IF(OR(MOD(COUNTA($A$8:$A32),4)=0,D33="")," "&amp;
                                    MID($A32,2,1)&amp;Salto,Tab))),"")</f>
        <v/>
      </c>
      <c r="E32" s="3" t="str">
        <f t="shared" si="1"/>
        <v>V MN i</v>
      </c>
      <c r="F32" s="102" cm="1">
        <f t="array" aca="1" ref="F32" ca="1">ROUND(INDIRECT(E$6&amp;"_"&amp;REPLACE($A32,3,1,"_")),2)</f>
        <v>0</v>
      </c>
      <c r="G32" t="str" cm="1">
        <f t="array" aca="1" ref="G32" ca="1">IF(INDIRECT("L_"&amp;MID($A32,1,2))&lt;&gt;0,IF(MID($A32,4,1)="i",MID($A32,1,1)&amp;Tab,"    ")&amp;
  " {"&amp;$O$45&amp;":NM:"&amp;$P$3&amp;ABS(F32)&amp;":"&amp;ABS(F32)*$P$45&amp;"#"&amp;Retro_MuyBien&amp;$Q$3&amp;ABS(F32)&amp;":"&amp;ABS(F32)*$Q$45&amp;"#"&amp;Retro_Bien&amp;$R$3&amp;ABS(F32)&amp;":"&amp;ABS(F32)*$R$45&amp;"#"&amp;Retro_Mal&amp;"}"&amp;IF(RIGHT($A32,1)="i",IFERROR(VLOOKUP(N32,'ENLACES DIAGRAMAS'!$B:$I,8,0),No_Diagrama),IF(MID($A32,1,1)="M",Tab&amp;MID($A32,2,1)&amp;Salto,IF(OR(MOD(COUNTA($A$8:$A32),4)=0,G33="")," "&amp;
                                    MID($A32,2,1)&amp;Salto,Tab))),"")</f>
        <v/>
      </c>
      <c r="H32" s="3" t="str">
        <f t="shared" si="2"/>
        <v>M MN i</v>
      </c>
      <c r="I32" s="102" cm="1">
        <f t="array" aca="1" ref="I32" ca="1">ROUND(INDIRECT(H$6&amp;"_"&amp;REPLACE($A32,3,1,"_")),2)</f>
        <v>0</v>
      </c>
      <c r="J32" t="str" cm="1">
        <f t="array" aca="1" ref="J32" ca="1">IF(INDIRECT("L_"&amp;MID($A32,1,2))&lt;&gt;0,IF(MID($A32,4,1)="i",MID($A32,1,1)&amp;Tab,"    ")&amp;
  " {"&amp;$O$45&amp;":NM:"&amp;$P$3&amp;ABS(I32)&amp;":"&amp;ABS(I32)*$P$45&amp;"#"&amp;Retro_MuyBien&amp;$Q$3&amp;ABS(I32)&amp;":"&amp;ABS(I32)*$Q$45&amp;"#"&amp;Retro_Bien&amp;$R$3&amp;ABS(I32)&amp;":"&amp;ABS(I32)*$R$45&amp;"#"&amp;Retro_Mal&amp;"}"&amp;IF(RIGHT($A32,1)="i",IFERROR(VLOOKUP(O32,'ENLACES DIAGRAMAS'!$B:$I,8,0),No_Diagrama),IF(MID($A32,1,1)="M",Tab&amp;MID($A32,2,1)&amp;Salto,IF(OR(MOD(COUNTA($A$8:$A32),4)=0,J33="")," "&amp;
                                    MID($A32,2,1)&amp;Salto,Tab))),"")</f>
        <v/>
      </c>
      <c r="K32" t="str">
        <f>IFERROR(IF(MID(T_Resultados_FTP[[#This Row],[Nudo]],4,1)="j","En la barra "&amp;MID(A31,1,2)&amp;" el momento es de 
       {"&amp;$O$42&amp;":NM:"&amp;$P$3&amp;ABS(ROUND(L32,2))&amp;":"&amp;ABS(ROUND(L32,2))*$P$51&amp;"#"&amp;Retro_MuyBien&amp;
                       $Q$3&amp;ABS(ROUND(L32,2))&amp;":"&amp;ABS(ROUND(L32,2))*$Q$51&amp;"#"&amp;Retro_Bien&amp;
                       $R$3&amp;ABS(ROUND(L32,2))&amp;":"&amp;ABS(ROUND(L32,2))*$R$51&amp;"#"&amp;Retro_Mal&amp;"} kNm, a 
       {"&amp;$O$43&amp;":NM:"&amp;$P$3&amp;ABS(ROUND(L31,0))&amp;":"&amp;ABS(ROUND(L31,2))*$P$51&amp;"#"&amp;Retro_MuyBien&amp;
                       $Q$3&amp;ABS(ROUND(L31,0))&amp;":"&amp;ABS(ROUND(L31,2))*$Q$51&amp;"#"&amp;Retro_Bien&amp;
                       $R$3&amp;ABS(ROUND(L31,0))&amp;":"&amp;ABS(ROUND(L31,2))*$R$51&amp;"#"&amp;Retro_Mal&amp;"} mm del nudo "&amp;MID(A31,1,1)&amp;". "&amp;Salto,""),"")</f>
        <v/>
      </c>
      <c r="L32" s="103" t="str">
        <f ca="1">PROBLEMA!R58</f>
        <v/>
      </c>
      <c r="M32" t="str" cm="1">
        <f t="array" aca="1" ref="M32" ca="1">IF(INDIRECT("L_"&amp;MID($A32,1,2))&lt;&gt;0,IF(  MID(A32,1,2)=MID(A33,1,2),  "N "&amp;
  IF(  C32=0,  "CERO ",         IF(  C32&gt;0,   "POS ",  "NEG " )) &amp;
  IF(  C33=0,  "CERO",          IF(  C33&gt;0,   "POS",  "NEG"  )) &amp;
  IF(AND(C32&lt;&gt;C33,C32&lt;&gt;0,C33&lt;&gt;0),    IF(C32&gt;C33, " MAX_MIN",  " MIN_MAX"),  ""),  ""),"")</f>
        <v/>
      </c>
      <c r="N32" t="str" cm="1">
        <f t="array" aca="1" ref="N32" ca="1">IF(INDIRECT("L_"&amp;MID($A32,1,2))&lt;&gt;0,IF(  MID(A32,1,2)=MID(A33,1,2),  "V "&amp;  IF(  F32=0,  "CERO ",  IF(  F32&gt;0,   "POS ",  "NEG " )) &amp;
                                                                                            IF(  F33=0,  "CERO",   IF(  F33&gt;0,   "POS",   "NEG"  )) &amp;
                                                  IF(AND(F32&lt;&gt;F33,F32&lt;&gt;0,F33&lt;&gt;0),   IF(F32&gt;F33,  " MAX_MIN", " MIN_MAX" ),  ""),  ""),"")</f>
        <v/>
      </c>
      <c r="O32" t="str" cm="1">
        <f t="array" aca="1" ref="O32" ca="1">IF(INDIRECT("L_"&amp;MID($A32,1,2))&lt;&gt;0,IF(  MID(A32,1,2)=MID(A33,1,2),  "M "&amp;
IF(   I32=0,  "CERO ",  IF(  I32&gt;0,   "POS ",  "NEG " )) &amp;
IF(   I33=0,  "CERO",  IF(  ROUND(I33,1)&gt;0,   "POS",  "NEG"  )) &amp;
IF(AND(I32&lt;&gt;I33,I32&lt;&gt;0,I33&lt;&gt;0),   IF(I32&gt;I33,  " MAX_MIN", " MIN_MAX" ),  "") &amp;
IF(OR(INDIRECT("q_"&amp;MID(A32,1,2))&lt;&gt;0,AND(OR(MID(T_Resultados_FTP[[#This Row],[Nudo]],1,2)="CD",MID(T_Resultados_FTP[[#This Row],[Nudo]],1,2)="DE"),q_CE&lt;&gt;0)),
IF(L33="", IF(ABS(F32)&lt;ABS(F33)," M_0"," M_L"),
IF(L33&gt;0,  " POS",  " NEG") &amp;  IF(L33&gt;MAX(I32:I33),  "_MAX", "_MIN" )&amp;
IF(F32=0," M_0",IF(F33=0," M_L",""))),    ""),  ""),"")</f>
        <v/>
      </c>
      <c r="P32" t="str" cm="1">
        <f t="array" aca="1" ref="P32" ca="1">IF(INDIRECT("L_"&amp;MID($A32,1,2))&lt;&gt;0,IF(MID($A32,4,1)="i","N{"&amp;MID($A32,1,1)&amp;"}N ","")&amp;
            " "&amp;ABS(C32)&amp;" "&amp;
                IF(RIGHT($A32,1)="i",IFERROR(VLOOKUP(M32,'ENLACES DIAGRAMAS'!$B:$I,4,0),No_Diagrama),
                   IF(MID($A32,1,1)="M","N{"&amp;MID($A32,2,1)&amp;"}N&lt;br&gt;",IF(OR(MOD(COUNTA($A$8:$A32),4)=0,D33=""),      " N{"&amp;MID($A32,2,1)&amp;"}N&lt;br&gt;",""))),"")</f>
        <v/>
      </c>
      <c r="Q32" t="str" cm="1">
        <f t="array" aca="1" ref="Q32" ca="1">IF(INDIRECT("L_"&amp;MID($A32,1,2))&lt;&gt;0,IF(MID($A32,4,1)="i","N{"&amp;MID($A32,1,1)&amp;"}N ","")&amp;
            " "&amp;ABS(F32)&amp;" "&amp;
                IF(RIGHT($A32,1)="i",IFERROR(VLOOKUP(N32,'ENLACES DIAGRAMAS'!$B:$I,4,0),No_Diagrama),
                   IF(MID($A32,1,1)="M","N{"&amp;MID($A32,2,1)&amp;"}N &lt;br&gt;",IF(OR(MOD(COUNTA($A$8:$A32),4)=0,G33=""),      " N{"&amp;MID($A32,2,1)&amp;"}N &lt;br&gt;",""))),"")</f>
        <v/>
      </c>
      <c r="R32" t="str" cm="1">
        <f t="array" aca="1" ref="R32" ca="1">IF(INDIRECT("L_"&amp;MID($A32,1,2))&lt;&gt;0,IF(MID($A32,4,1)="i","N{"&amp;MID($A32,1,1)&amp;"}N ","")&amp;
            " "&amp;ABS(I32)&amp;" "&amp;
                IF(RIGHT($A32,1)="i",IFERROR(VLOOKUP(O32,'ENLACES DIAGRAMAS'!$B:$I,4,0),No_Diagrama),
                   IF(MID($A32,1,1)="M","N{"&amp;MID($A32,2,1)&amp;"}N &lt;br&gt;",IF(OR(MOD(COUNTA($A$8:$A32),4)=0,J33=""),      " "&amp;"N{"&amp;MID($A32,2,1)&amp;"}N &lt;br&gt;",""))),"")</f>
        <v/>
      </c>
      <c r="S32" s="303" t="str">
        <f ca="1">IF(T_Resultados_FTP[[#This Row],[Codigo axil]]="","",ABS(T_Resultados_FTP[[#This Row],[Axiles]])&amp;" kN")</f>
        <v/>
      </c>
      <c r="T32" s="303" t="str">
        <f ca="1">IF(T_Resultados_FTP[[#This Row],[Codigo Cortante]]="","",ABS(T_Resultados_FTP[[#This Row],[Cortantes]])&amp;" kN")</f>
        <v/>
      </c>
      <c r="U32" s="303" t="str">
        <f ca="1">IF(T_Resultados_FTP[[#This Row],[Codigo Momentos]]="","",ABS(T_Resultados_FTP[[#This Row],[Momentos]])&amp;" kNm")</f>
        <v/>
      </c>
    </row>
    <row r="33" spans="1:21" hidden="1" outlineLevel="1">
      <c r="A33" s="88" t="str">
        <f>PROBLEMA!W59</f>
        <v>MN j</v>
      </c>
      <c r="B33" s="3" t="str">
        <f t="shared" si="0"/>
        <v>N MN j</v>
      </c>
      <c r="C33" s="102" cm="1">
        <f t="array" aca="1" ref="C33" ca="1">ROUND(INDIRECT(B$6&amp;"_"&amp;REPLACE($A33,3,1,"_")),2)</f>
        <v>0</v>
      </c>
      <c r="D33" t="str" cm="1">
        <f t="array" aca="1" ref="D33" ca="1">IF(INDIRECT("L_"&amp;MID($A33,1,2))&lt;&gt;0,IF(MID($A33,4,1)="i",MID($A33,1,1)&amp;Tab,"    ")&amp;
  " {"&amp;$O$45&amp;":NM:"&amp;$P$3&amp;ABS(C33)&amp;":"&amp;ABS(C33)*$P$45&amp;"#"&amp;Retro_MuyBien&amp;$Q$3&amp;ABS(C33)&amp;":"&amp;ABS(C33)*$Q$45&amp;"#"&amp;Retro_Bien&amp;$R$3&amp;ABS(C33)&amp;":"&amp;ABS(C33)*$R$45&amp;"#"&amp;Retro_Mal&amp;"}"&amp;IF(RIGHT($A33,1)="i",IFERROR(VLOOKUP(M33,'ENLACES DIAGRAMAS'!$B:$I,8,0),No_Diagrama),IF(MID($A33,1,1)="M",Tab&amp;MID($A33,2,1)&amp;Salto,IF(OR(MOD(COUNTA($A$8:$A33),4)=0,D34="")," "&amp;
                                    MID($A33,2,1)&amp;Salto,Tab))),"")</f>
        <v/>
      </c>
      <c r="E33" s="3" t="str">
        <f t="shared" si="1"/>
        <v>V MN j</v>
      </c>
      <c r="F33" s="102" cm="1">
        <f t="array" aca="1" ref="F33" ca="1">ROUND(INDIRECT(E$6&amp;"_"&amp;REPLACE($A33,3,1,"_")),2)</f>
        <v>0</v>
      </c>
      <c r="G33" t="str" cm="1">
        <f t="array" aca="1" ref="G33" ca="1">IF(INDIRECT("L_"&amp;MID($A33,1,2))&lt;&gt;0,IF(MID($A33,4,1)="i",MID($A33,1,1)&amp;Tab,"    ")&amp;
  " {"&amp;$O$45&amp;":NM:"&amp;$P$3&amp;ABS(F33)&amp;":"&amp;ABS(F33)*$P$45&amp;"#"&amp;Retro_MuyBien&amp;$Q$3&amp;ABS(F33)&amp;":"&amp;ABS(F33)*$Q$45&amp;"#"&amp;Retro_Bien&amp;$R$3&amp;ABS(F33)&amp;":"&amp;ABS(F33)*$R$45&amp;"#"&amp;Retro_Mal&amp;"}"&amp;IF(RIGHT($A33,1)="i",IFERROR(VLOOKUP(N33,'ENLACES DIAGRAMAS'!$B:$I,8,0),No_Diagrama),IF(MID($A33,1,1)="M",Tab&amp;MID($A33,2,1)&amp;Salto,IF(OR(MOD(COUNTA($A$8:$A33),4)=0,G34="")," "&amp;
                                    MID($A33,2,1)&amp;Salto,Tab))),"")</f>
        <v/>
      </c>
      <c r="H33" s="3" t="str">
        <f t="shared" si="2"/>
        <v>M MN j</v>
      </c>
      <c r="I33" s="102" cm="1">
        <f t="array" aca="1" ref="I33" ca="1">ROUND(INDIRECT(H$6&amp;"_"&amp;REPLACE($A33,3,1,"_")),2)</f>
        <v>0</v>
      </c>
      <c r="J33" t="str" cm="1">
        <f t="array" aca="1" ref="J33" ca="1">IF(INDIRECT("L_"&amp;MID($A33,1,2))&lt;&gt;0,IF(MID($A33,4,1)="i",MID($A33,1,1)&amp;Tab,"    ")&amp;
  " {"&amp;$O$45&amp;":NM:"&amp;$P$3&amp;ABS(I33)&amp;":"&amp;ABS(I33)*$P$45&amp;"#"&amp;Retro_MuyBien&amp;$Q$3&amp;ABS(I33)&amp;":"&amp;ABS(I33)*$Q$45&amp;"#"&amp;Retro_Bien&amp;$R$3&amp;ABS(I33)&amp;":"&amp;ABS(I33)*$R$45&amp;"#"&amp;Retro_Mal&amp;"}"&amp;IF(RIGHT($A33,1)="i",IFERROR(VLOOKUP(O33,'ENLACES DIAGRAMAS'!$B:$I,8,0),No_Diagrama),IF(MID($A33,1,1)="M",Tab&amp;MID($A33,2,1)&amp;Salto,IF(OR(MOD(COUNTA($A$8:$A33),4)=0,J34="")," "&amp;
                                    MID($A33,2,1)&amp;Salto,Tab))),"")</f>
        <v/>
      </c>
      <c r="K33" t="str">
        <f ca="1">IFERROR(IF(MID(T_Resultados_FTP[[#This Row],[Nudo]],4,1)="j","En la barra "&amp;MID(A32,1,2)&amp;" el momento es de 
       {"&amp;$O$42&amp;":NM:"&amp;$P$3&amp;ABS(ROUND(L33,2))&amp;":"&amp;ABS(ROUND(L33,2))*$P$51&amp;"#"&amp;Retro_MuyBien&amp;
                       $Q$3&amp;ABS(ROUND(L33,2))&amp;":"&amp;ABS(ROUND(L33,2))*$Q$51&amp;"#"&amp;Retro_Bien&amp;
                       $R$3&amp;ABS(ROUND(L33,2))&amp;":"&amp;ABS(ROUND(L33,2))*$R$51&amp;"#"&amp;Retro_Mal&amp;"} kNm, a 
       {"&amp;$O$43&amp;":NM:"&amp;$P$3&amp;ABS(ROUND(L32,0))&amp;":"&amp;ABS(ROUND(L32,2))*$P$51&amp;"#"&amp;Retro_MuyBien&amp;
                       $Q$3&amp;ABS(ROUND(L32,0))&amp;":"&amp;ABS(ROUND(L32,2))*$Q$51&amp;"#"&amp;Retro_Bien&amp;
                       $R$3&amp;ABS(ROUND(L32,0))&amp;":"&amp;ABS(ROUND(L32,2))*$R$51&amp;"#"&amp;Retro_Mal&amp;"} mm del nudo "&amp;MID(A32,1,1)&amp;". "&amp;Salto,""),"")</f>
        <v/>
      </c>
      <c r="L33" s="104" t="str">
        <f ca="1">PROBLEMA!R59</f>
        <v/>
      </c>
      <c r="M33" t="str" cm="1">
        <f t="array" aca="1" ref="M33" ca="1">IF(INDIRECT("L_"&amp;MID($A33,1,2))&lt;&gt;0,IF(  MID(A33,1,2)=MID(A34,1,2),  "N "&amp;
  IF(  C33=0,  "CERO ",         IF(  C33&gt;0,   "POS ",  "NEG " )) &amp;
  IF(  C34=0,  "CERO",          IF(  C34&gt;0,   "POS",  "NEG"  )) &amp;
  IF(AND(C33&lt;&gt;C34,C33&lt;&gt;0,C34&lt;&gt;0),    IF(C33&gt;C34, " MAX_MIN",  " MIN_MAX"),  ""),  ""),"")</f>
        <v/>
      </c>
      <c r="N33" t="str" cm="1">
        <f t="array" aca="1" ref="N33" ca="1">IF(INDIRECT("L_"&amp;MID($A33,1,2))&lt;&gt;0,IF(  MID(A33,1,2)=MID(A34,1,2),  "V "&amp;  IF(  F33=0,  "CERO ",  IF(  F33&gt;0,   "POS ",  "NEG " )) &amp;
                                                                                            IF(  F34=0,  "CERO",   IF(  F34&gt;0,   "POS",   "NEG"  )) &amp;
                                                  IF(AND(F33&lt;&gt;F34,F33&lt;&gt;0,F34&lt;&gt;0),   IF(F33&gt;F34,  " MAX_MIN", " MIN_MAX" ),  ""),  ""),"")</f>
        <v/>
      </c>
      <c r="O33" t="str" cm="1">
        <f t="array" aca="1" ref="O33" ca="1">IF(INDIRECT("L_"&amp;MID($A33,1,2))&lt;&gt;0,IF(  MID(A33,1,2)=MID(A34,1,2),  "M "&amp;
IF(   I33=0,  "CERO ",  IF(  I33&gt;0,   "POS ",  "NEG " )) &amp;
IF(   I34=0,  "CERO",  IF(  ROUND(I34,1)&gt;0,   "POS",  "NEG"  )) &amp;
IF(AND(I33&lt;&gt;I34,I33&lt;&gt;0,I34&lt;&gt;0),   IF(I33&gt;I34,  " MAX_MIN", " MIN_MAX" ),  "") &amp;
IF(OR(INDIRECT("q_"&amp;MID(A33,1,2))&lt;&gt;0,AND(OR(MID(T_Resultados_FTP[[#This Row],[Nudo]],1,2)="CD",MID(T_Resultados_FTP[[#This Row],[Nudo]],1,2)="DE"),q_CE&lt;&gt;0)),
IF(L34="", IF(ABS(F33)&lt;ABS(F34)," M_0"," M_L"),
IF(L34&gt;0,  " POS",  " NEG") &amp;  IF(L34&gt;MAX(I33:I34),  "_MAX", "_MIN" )&amp;
IF(F33=0," M_0",IF(F34=0," M_L",""))),    ""),  ""),"")</f>
        <v/>
      </c>
      <c r="P33" t="str" cm="1">
        <f t="array" aca="1" ref="P33" ca="1">IF(INDIRECT("L_"&amp;MID($A33,1,2))&lt;&gt;0,IF(MID($A33,4,1)="i","N{"&amp;MID($A33,1,1)&amp;"}N ","")&amp;
            " "&amp;ABS(C33)&amp;" "&amp;
                IF(RIGHT($A33,1)="i",IFERROR(VLOOKUP(M33,'ENLACES DIAGRAMAS'!$B:$I,4,0),No_Diagrama),
                   IF(MID($A33,1,1)="M","N{"&amp;MID($A33,2,1)&amp;"}N&lt;br&gt;",IF(OR(MOD(COUNTA($A$8:$A33),4)=0,D34=""),      " N{"&amp;MID($A33,2,1)&amp;"}N&lt;br&gt;",""))),"")</f>
        <v/>
      </c>
      <c r="Q33" t="str" cm="1">
        <f t="array" aca="1" ref="Q33" ca="1">IF(INDIRECT("L_"&amp;MID($A33,1,2))&lt;&gt;0,IF(MID($A33,4,1)="i","N{"&amp;MID($A33,1,1)&amp;"}N ","")&amp;
            " "&amp;ABS(F33)&amp;" "&amp;
                IF(RIGHT($A33,1)="i",IFERROR(VLOOKUP(N33,'ENLACES DIAGRAMAS'!$B:$I,4,0),No_Diagrama),
                   IF(MID($A33,1,1)="M","N{"&amp;MID($A33,2,1)&amp;"}N &lt;br&gt;",IF(OR(MOD(COUNTA($A$8:$A33),4)=0,G34=""),      " N{"&amp;MID($A33,2,1)&amp;"}N &lt;br&gt;",""))),"")</f>
        <v/>
      </c>
      <c r="R33" t="str" cm="1">
        <f t="array" aca="1" ref="R33" ca="1">IF(INDIRECT("L_"&amp;MID($A33,1,2))&lt;&gt;0,IF(MID($A33,4,1)="i","N{"&amp;MID($A33,1,1)&amp;"}N ","")&amp;
            " "&amp;ABS(I33)&amp;" "&amp;
                IF(RIGHT($A33,1)="i",IFERROR(VLOOKUP(O33,'ENLACES DIAGRAMAS'!$B:$I,4,0),No_Diagrama),
                   IF(MID($A33,1,1)="M","N{"&amp;MID($A33,2,1)&amp;"}N &lt;br&gt;",IF(OR(MOD(COUNTA($A$8:$A33),4)=0,J34=""),      " "&amp;"N{"&amp;MID($A33,2,1)&amp;"}N &lt;br&gt;",""))),"")</f>
        <v/>
      </c>
      <c r="S33" s="303" t="str">
        <f ca="1">IF(T_Resultados_FTP[[#This Row],[Codigo axil]]="","",ABS(T_Resultados_FTP[[#This Row],[Axiles]])&amp;" kN")</f>
        <v/>
      </c>
      <c r="T33" s="303" t="str">
        <f ca="1">IF(T_Resultados_FTP[[#This Row],[Codigo Cortante]]="","",ABS(T_Resultados_FTP[[#This Row],[Cortantes]])&amp;" kN")</f>
        <v/>
      </c>
      <c r="U33" s="303" t="str">
        <f ca="1">IF(T_Resultados_FTP[[#This Row],[Codigo Momentos]]="","",ABS(T_Resultados_FTP[[#This Row],[Momentos]])&amp;" kNm")</f>
        <v/>
      </c>
    </row>
    <row r="34" spans="1:21" hidden="1" outlineLevel="1">
      <c r="A34" s="88" t="str">
        <f>PROBLEMA!W60</f>
        <v>MO i</v>
      </c>
      <c r="B34" s="3" t="str">
        <f t="shared" si="0"/>
        <v>N MO i</v>
      </c>
      <c r="C34" s="102" cm="1">
        <f t="array" aca="1" ref="C34" ca="1">ROUND(INDIRECT(B$6&amp;"_"&amp;REPLACE($A34,3,1,"_")),2)</f>
        <v>0</v>
      </c>
      <c r="D34" t="str" cm="1">
        <f t="array" aca="1" ref="D34" ca="1">IF(INDIRECT("L_"&amp;MID($A34,1,2))&lt;&gt;0,IF(MID($A34,4,1)="i",MID($A34,1,1)&amp;Tab,"    ")&amp;
  " {"&amp;$O$45&amp;":NM:"&amp;$P$3&amp;ABS(C34)&amp;":"&amp;ABS(C34)*$P$45&amp;"#"&amp;Retro_MuyBien&amp;$Q$3&amp;ABS(C34)&amp;":"&amp;ABS(C34)*$Q$45&amp;"#"&amp;Retro_Bien&amp;$R$3&amp;ABS(C34)&amp;":"&amp;ABS(C34)*$R$45&amp;"#"&amp;Retro_Mal&amp;"}"&amp;IF(RIGHT($A34,1)="i",IFERROR(VLOOKUP(M34,'ENLACES DIAGRAMAS'!$B:$I,8,0),No_Diagrama),IF(MID($A34,1,1)="M",Tab&amp;MID($A34,2,1)&amp;Salto,IF(OR(MOD(COUNTA($A$8:$A34),4)=0,D35="")," "&amp;
                                    MID($A34,2,1)&amp;Salto,Tab))),"")</f>
        <v/>
      </c>
      <c r="E34" s="3" t="str">
        <f t="shared" si="1"/>
        <v>V MO i</v>
      </c>
      <c r="F34" s="102" cm="1">
        <f t="array" aca="1" ref="F34" ca="1">ROUND(INDIRECT(E$6&amp;"_"&amp;REPLACE($A34,3,1,"_")),2)</f>
        <v>0</v>
      </c>
      <c r="G34" t="str" cm="1">
        <f t="array" aca="1" ref="G34" ca="1">IF(INDIRECT("L_"&amp;MID($A34,1,2))&lt;&gt;0,IF(MID($A34,4,1)="i",MID($A34,1,1)&amp;Tab,"    ")&amp;
  " {"&amp;$O$45&amp;":NM:"&amp;$P$3&amp;ABS(F34)&amp;":"&amp;ABS(F34)*$P$45&amp;"#"&amp;Retro_MuyBien&amp;$Q$3&amp;ABS(F34)&amp;":"&amp;ABS(F34)*$Q$45&amp;"#"&amp;Retro_Bien&amp;$R$3&amp;ABS(F34)&amp;":"&amp;ABS(F34)*$R$45&amp;"#"&amp;Retro_Mal&amp;"}"&amp;IF(RIGHT($A34,1)="i",IFERROR(VLOOKUP(N34,'ENLACES DIAGRAMAS'!$B:$I,8,0),No_Diagrama),IF(MID($A34,1,1)="M",Tab&amp;MID($A34,2,1)&amp;Salto,IF(OR(MOD(COUNTA($A$8:$A34),4)=0,G35="")," "&amp;
                                    MID($A34,2,1)&amp;Salto,Tab))),"")</f>
        <v/>
      </c>
      <c r="H34" s="3" t="str">
        <f t="shared" si="2"/>
        <v>M MO i</v>
      </c>
      <c r="I34" s="102" cm="1">
        <f t="array" aca="1" ref="I34" ca="1">ROUND(INDIRECT(H$6&amp;"_"&amp;REPLACE($A34,3,1,"_")),2)</f>
        <v>0</v>
      </c>
      <c r="J34" t="str" cm="1">
        <f t="array" aca="1" ref="J34" ca="1">IF(INDIRECT("L_"&amp;MID($A34,1,2))&lt;&gt;0,IF(MID($A34,4,1)="i",MID($A34,1,1)&amp;Tab,"    ")&amp;
  " {"&amp;$O$45&amp;":NM:"&amp;$P$3&amp;ABS(I34)&amp;":"&amp;ABS(I34)*$P$45&amp;"#"&amp;Retro_MuyBien&amp;$Q$3&amp;ABS(I34)&amp;":"&amp;ABS(I34)*$Q$45&amp;"#"&amp;Retro_Bien&amp;$R$3&amp;ABS(I34)&amp;":"&amp;ABS(I34)*$R$45&amp;"#"&amp;Retro_Mal&amp;"}"&amp;IF(RIGHT($A34,1)="i",IFERROR(VLOOKUP(O34,'ENLACES DIAGRAMAS'!$B:$I,8,0),No_Diagrama),IF(MID($A34,1,1)="M",Tab&amp;MID($A34,2,1)&amp;Salto,IF(OR(MOD(COUNTA($A$8:$A34),4)=0,J35="")," "&amp;
                                    MID($A34,2,1)&amp;Salto,Tab))),"")</f>
        <v/>
      </c>
      <c r="K34" t="str">
        <f>IFERROR(IF(MID(T_Resultados_FTP[[#This Row],[Nudo]],4,1)="j","En la barra "&amp;MID(A33,1,2)&amp;" el momento es de 
       {"&amp;$O$42&amp;":NM:"&amp;$P$3&amp;ABS(ROUND(L34,2))&amp;":"&amp;ABS(ROUND(L34,2))*$P$51&amp;"#"&amp;Retro_MuyBien&amp;
                       $Q$3&amp;ABS(ROUND(L34,2))&amp;":"&amp;ABS(ROUND(L34,2))*$Q$51&amp;"#"&amp;Retro_Bien&amp;
                       $R$3&amp;ABS(ROUND(L34,2))&amp;":"&amp;ABS(ROUND(L34,2))*$R$51&amp;"#"&amp;Retro_Mal&amp;"} kNm, a 
       {"&amp;$O$43&amp;":NM:"&amp;$P$3&amp;ABS(ROUND(L33,0))&amp;":"&amp;ABS(ROUND(L33,2))*$P$51&amp;"#"&amp;Retro_MuyBien&amp;
                       $Q$3&amp;ABS(ROUND(L33,0))&amp;":"&amp;ABS(ROUND(L33,2))*$Q$51&amp;"#"&amp;Retro_Bien&amp;
                       $R$3&amp;ABS(ROUND(L33,0))&amp;":"&amp;ABS(ROUND(L33,2))*$R$51&amp;"#"&amp;Retro_Mal&amp;"} mm del nudo "&amp;MID(A33,1,1)&amp;". "&amp;Salto,""),"")</f>
        <v/>
      </c>
      <c r="L34" s="103" t="str">
        <f ca="1">PROBLEMA!R60</f>
        <v/>
      </c>
      <c r="M34" t="str" cm="1">
        <f t="array" aca="1" ref="M34" ca="1">IF(INDIRECT("L_"&amp;MID($A34,1,2))&lt;&gt;0,IF(  MID(A34,1,2)=MID(A35,1,2),  "N "&amp;
  IF(  C34=0,  "CERO ",         IF(  C34&gt;0,   "POS ",  "NEG " )) &amp;
  IF(  C35=0,  "CERO",          IF(  C35&gt;0,   "POS",  "NEG"  )) &amp;
  IF(AND(C34&lt;&gt;C35,C34&lt;&gt;0,C35&lt;&gt;0),    IF(C34&gt;C35, " MAX_MIN",  " MIN_MAX"),  ""),  ""),"")</f>
        <v/>
      </c>
      <c r="N34" t="str" cm="1">
        <f t="array" aca="1" ref="N34" ca="1">IF(INDIRECT("L_"&amp;MID($A34,1,2))&lt;&gt;0,IF(  MID(A34,1,2)=MID(A35,1,2),  "V "&amp;  IF(  F34=0,  "CERO ",  IF(  F34&gt;0,   "POS ",  "NEG " )) &amp;
                                                                                            IF(  F35=0,  "CERO",   IF(  F35&gt;0,   "POS",   "NEG"  )) &amp;
                                                  IF(AND(F34&lt;&gt;F35,F34&lt;&gt;0,F35&lt;&gt;0),   IF(F34&gt;F35,  " MAX_MIN", " MIN_MAX" ),  ""),  ""),"")</f>
        <v/>
      </c>
      <c r="O34" t="str" cm="1">
        <f t="array" aca="1" ref="O34" ca="1">IF(INDIRECT("L_"&amp;MID($A34,1,2))&lt;&gt;0,IF(  MID(A34,1,2)=MID(A35,1,2),  "M "&amp;
IF(   I34=0,  "CERO ",  IF(  I34&gt;0,   "POS ",  "NEG " )) &amp;
IF(   I35=0,  "CERO",  IF(  ROUND(I35,1)&gt;0,   "POS",  "NEG"  )) &amp;
IF(AND(I34&lt;&gt;I35,I34&lt;&gt;0,I35&lt;&gt;0),   IF(I34&gt;I35,  " MAX_MIN", " MIN_MAX" ),  "") &amp;
IF(OR(INDIRECT("q_"&amp;MID(A34,1,2))&lt;&gt;0,AND(OR(MID(T_Resultados_FTP[[#This Row],[Nudo]],1,2)="CD",MID(T_Resultados_FTP[[#This Row],[Nudo]],1,2)="DE"),q_CE&lt;&gt;0)),
IF(L35="", IF(ABS(F34)&lt;ABS(F35)," M_0"," M_L"),
IF(L35&gt;0,  " POS",  " NEG") &amp;  IF(L35&gt;MAX(I34:I35),  "_MAX", "_MIN" )&amp;
IF(F34=0," M_0",IF(F35=0," M_L",""))),    ""),  ""),"")</f>
        <v/>
      </c>
      <c r="P34" t="str" cm="1">
        <f t="array" aca="1" ref="P34" ca="1">IF(INDIRECT("L_"&amp;MID($A34,1,2))&lt;&gt;0,IF(MID($A34,4,1)="i","N{"&amp;MID($A34,1,1)&amp;"}N ","")&amp;
            " "&amp;ABS(C34)&amp;" "&amp;
                IF(RIGHT($A34,1)="i",IFERROR(VLOOKUP(M34,'ENLACES DIAGRAMAS'!$B:$I,4,0),No_Diagrama),
                   IF(MID($A34,1,1)="M","N{"&amp;MID($A34,2,1)&amp;"}N&lt;br&gt;",IF(OR(MOD(COUNTA($A$8:$A34),4)=0,D35=""),      " N{"&amp;MID($A34,2,1)&amp;"}N&lt;br&gt;",""))),"")</f>
        <v/>
      </c>
      <c r="Q34" t="str" cm="1">
        <f t="array" aca="1" ref="Q34" ca="1">IF(INDIRECT("L_"&amp;MID($A34,1,2))&lt;&gt;0,IF(MID($A34,4,1)="i","N{"&amp;MID($A34,1,1)&amp;"}N ","")&amp;
            " "&amp;ABS(F34)&amp;" "&amp;
                IF(RIGHT($A34,1)="i",IFERROR(VLOOKUP(N34,'ENLACES DIAGRAMAS'!$B:$I,4,0),No_Diagrama),
                   IF(MID($A34,1,1)="M","N{"&amp;MID($A34,2,1)&amp;"}N &lt;br&gt;",IF(OR(MOD(COUNTA($A$8:$A34),4)=0,G35=""),      " N{"&amp;MID($A34,2,1)&amp;"}N &lt;br&gt;",""))),"")</f>
        <v/>
      </c>
      <c r="R34" t="str" cm="1">
        <f t="array" aca="1" ref="R34" ca="1">IF(INDIRECT("L_"&amp;MID($A34,1,2))&lt;&gt;0,IF(MID($A34,4,1)="i","N{"&amp;MID($A34,1,1)&amp;"}N ","")&amp;
            " "&amp;ABS(I34)&amp;" "&amp;
                IF(RIGHT($A34,1)="i",IFERROR(VLOOKUP(O34,'ENLACES DIAGRAMAS'!$B:$I,4,0),No_Diagrama),
                   IF(MID($A34,1,1)="M","N{"&amp;MID($A34,2,1)&amp;"}N &lt;br&gt;",IF(OR(MOD(COUNTA($A$8:$A34),4)=0,J35=""),      " "&amp;"N{"&amp;MID($A34,2,1)&amp;"}N &lt;br&gt;",""))),"")</f>
        <v/>
      </c>
      <c r="S34" s="303" t="str">
        <f ca="1">IF(T_Resultados_FTP[[#This Row],[Codigo axil]]="","",ABS(T_Resultados_FTP[[#This Row],[Axiles]])&amp;" kN")</f>
        <v/>
      </c>
      <c r="T34" s="303" t="str">
        <f ca="1">IF(T_Resultados_FTP[[#This Row],[Codigo Cortante]]="","",ABS(T_Resultados_FTP[[#This Row],[Cortantes]])&amp;" kN")</f>
        <v/>
      </c>
      <c r="U34" s="303" t="str">
        <f ca="1">IF(T_Resultados_FTP[[#This Row],[Codigo Momentos]]="","",ABS(T_Resultados_FTP[[#This Row],[Momentos]])&amp;" kNm")</f>
        <v/>
      </c>
    </row>
    <row r="35" spans="1:21" hidden="1" outlineLevel="1">
      <c r="A35" s="88" t="str">
        <f>PROBLEMA!W61</f>
        <v>MO j</v>
      </c>
      <c r="B35" s="3" t="str">
        <f t="shared" si="0"/>
        <v>N MO j</v>
      </c>
      <c r="C35" s="102" cm="1">
        <f t="array" aca="1" ref="C35" ca="1">ROUND(INDIRECT(B$6&amp;"_"&amp;REPLACE($A35,3,1,"_")),2)</f>
        <v>0</v>
      </c>
      <c r="D35" t="str" cm="1">
        <f t="array" aca="1" ref="D35" ca="1">IF(INDIRECT("L_"&amp;MID($A35,1,2))&lt;&gt;0,IF(MID($A35,4,1)="i",MID($A35,1,1)&amp;Tab,"    ")&amp;
  " {"&amp;$O$45&amp;":NM:"&amp;$P$3&amp;ABS(C35)&amp;":"&amp;ABS(C35)*$P$45&amp;"#"&amp;Retro_MuyBien&amp;$Q$3&amp;ABS(C35)&amp;":"&amp;ABS(C35)*$Q$45&amp;"#"&amp;Retro_Bien&amp;$R$3&amp;ABS(C35)&amp;":"&amp;ABS(C35)*$R$45&amp;"#"&amp;Retro_Mal&amp;"}"&amp;IF(RIGHT($A35,1)="i",IFERROR(VLOOKUP(M35,'ENLACES DIAGRAMAS'!$B:$I,8,0),No_Diagrama),IF(MID($A35,1,1)="M",Tab&amp;MID($A35,2,1)&amp;Salto,IF(OR(MOD(COUNTA($A$8:$A35),4)=0,D36="")," "&amp;
                                    MID($A35,2,1)&amp;Salto,Tab))),"")</f>
        <v/>
      </c>
      <c r="E35" s="3" t="str">
        <f t="shared" si="1"/>
        <v>V MO j</v>
      </c>
      <c r="F35" s="102" cm="1">
        <f t="array" aca="1" ref="F35" ca="1">ROUND(INDIRECT(E$6&amp;"_"&amp;REPLACE($A35,3,1,"_")),2)</f>
        <v>0</v>
      </c>
      <c r="G35" t="str" cm="1">
        <f t="array" aca="1" ref="G35" ca="1">IF(INDIRECT("L_"&amp;MID($A35,1,2))&lt;&gt;0,IF(MID($A35,4,1)="i",MID($A35,1,1)&amp;Tab,"    ")&amp;
  " {"&amp;$O$45&amp;":NM:"&amp;$P$3&amp;ABS(F35)&amp;":"&amp;ABS(F35)*$P$45&amp;"#"&amp;Retro_MuyBien&amp;$Q$3&amp;ABS(F35)&amp;":"&amp;ABS(F35)*$Q$45&amp;"#"&amp;Retro_Bien&amp;$R$3&amp;ABS(F35)&amp;":"&amp;ABS(F35)*$R$45&amp;"#"&amp;Retro_Mal&amp;"}"&amp;IF(RIGHT($A35,1)="i",IFERROR(VLOOKUP(N35,'ENLACES DIAGRAMAS'!$B:$I,8,0),No_Diagrama),IF(MID($A35,1,1)="M",Tab&amp;MID($A35,2,1)&amp;Salto,IF(OR(MOD(COUNTA($A$8:$A35),4)=0,G36="")," "&amp;
                                    MID($A35,2,1)&amp;Salto,Tab))),"")</f>
        <v/>
      </c>
      <c r="H35" s="3" t="str">
        <f t="shared" si="2"/>
        <v>M MO j</v>
      </c>
      <c r="I35" s="102" cm="1">
        <f t="array" aca="1" ref="I35" ca="1">ROUND(INDIRECT(H$6&amp;"_"&amp;REPLACE($A35,3,1,"_")),2)</f>
        <v>0</v>
      </c>
      <c r="J35" t="str" cm="1">
        <f t="array" aca="1" ref="J35" ca="1">IF(INDIRECT("L_"&amp;MID($A35,1,2))&lt;&gt;0,IF(MID($A35,4,1)="i",MID($A35,1,1)&amp;Tab,"    ")&amp;
  " {"&amp;$O$45&amp;":NM:"&amp;$P$3&amp;ABS(I35)&amp;":"&amp;ABS(I35)*$P$45&amp;"#"&amp;Retro_MuyBien&amp;$Q$3&amp;ABS(I35)&amp;":"&amp;ABS(I35)*$Q$45&amp;"#"&amp;Retro_Bien&amp;$R$3&amp;ABS(I35)&amp;":"&amp;ABS(I35)*$R$45&amp;"#"&amp;Retro_Mal&amp;"}"&amp;IF(RIGHT($A35,1)="i",IFERROR(VLOOKUP(O35,'ENLACES DIAGRAMAS'!$B:$I,8,0),No_Diagrama),IF(MID($A35,1,1)="M",Tab&amp;MID($A35,2,1)&amp;Salto,IF(OR(MOD(COUNTA($A$8:$A35),4)=0,J36="")," "&amp;
                                    MID($A35,2,1)&amp;Salto,Tab))),"")</f>
        <v/>
      </c>
      <c r="K35" t="str">
        <f ca="1">IFERROR(IF(MID(T_Resultados_FTP[[#This Row],[Nudo]],4,1)="j","En la barra "&amp;MID(A34,1,2)&amp;" el momento es de 
       {"&amp;$O$42&amp;":NM:"&amp;$P$3&amp;ABS(ROUND(L35,2))&amp;":"&amp;ABS(ROUND(L35,2))*$P$51&amp;"#"&amp;Retro_MuyBien&amp;
                       $Q$3&amp;ABS(ROUND(L35,2))&amp;":"&amp;ABS(ROUND(L35,2))*$Q$51&amp;"#"&amp;Retro_Bien&amp;
                       $R$3&amp;ABS(ROUND(L35,2))&amp;":"&amp;ABS(ROUND(L35,2))*$R$51&amp;"#"&amp;Retro_Mal&amp;"} kNm, a 
       {"&amp;$O$43&amp;":NM:"&amp;$P$3&amp;ABS(ROUND(L34,0))&amp;":"&amp;ABS(ROUND(L34,2))*$P$51&amp;"#"&amp;Retro_MuyBien&amp;
                       $Q$3&amp;ABS(ROUND(L34,0))&amp;":"&amp;ABS(ROUND(L34,2))*$Q$51&amp;"#"&amp;Retro_Bien&amp;
                       $R$3&amp;ABS(ROUND(L34,0))&amp;":"&amp;ABS(ROUND(L34,2))*$R$51&amp;"#"&amp;Retro_Mal&amp;"} mm del nudo "&amp;MID(A34,1,1)&amp;". "&amp;Salto,""),"")</f>
        <v/>
      </c>
      <c r="L35" s="104" t="str">
        <f ca="1">PROBLEMA!R61</f>
        <v/>
      </c>
      <c r="M35" t="str" cm="1">
        <f t="array" aca="1" ref="M35" ca="1">IF(INDIRECT("L_"&amp;MID($A35,1,2))&lt;&gt;0,IF(  MID(A35,1,2)=MID(A36,1,2),  "N "&amp;
  IF(  C35=0,  "CERO ",         IF(  C35&gt;0,   "POS ",  "NEG " )) &amp;
  IF(  C36=0,  "CERO",          IF(  C36&gt;0,   "POS",  "NEG"  )) &amp;
  IF(AND(C35&lt;&gt;C36,C35&lt;&gt;0,C36&lt;&gt;0),    IF(C35&gt;C36, " MAX_MIN",  " MIN_MAX"),  ""),  ""),"")</f>
        <v/>
      </c>
      <c r="N35" t="str" cm="1">
        <f t="array" aca="1" ref="N35" ca="1">IF(INDIRECT("L_"&amp;MID($A35,1,2))&lt;&gt;0,IF(  MID(A35,1,2)=MID(A37,1,2),  "V "&amp;  IF(  F35=0,  "CERO ",  IF(  F35&gt;0,   "POS ",  "NEG " )) &amp;
                                                                                            IF(  F37=0,  "CERO",   IF(  F37&gt;0,   "POS",   "NEG"  )) &amp;
                                                  IF(AND(F35&lt;&gt;F37,F35&lt;&gt;0,F37&lt;&gt;0),   IF(F35&gt;F37,  " MAX_MIN", " MIN_MAX" ),  ""),  ""),"")</f>
        <v/>
      </c>
      <c r="O35" t="str" cm="1">
        <f t="array" aca="1" ref="O35" ca="1">IF(INDIRECT("L_"&amp;MID($A35,1,2))&lt;&gt;0,IF(  MID(A35,1,2)=MID(A36,1,2),  "M "&amp;
IF(   I35=0,  "CERO ",  IF(  I35&gt;0,   "POS ",  "NEG " )) &amp;
IF(   I36=0,  "CERO",  IF(  ROUND(I36,1)&gt;0,   "POS",  "NEG"  )) &amp;
IF(AND(I35&lt;&gt;I36,I35&lt;&gt;0,I36&lt;&gt;0),   IF(I35&gt;I36,  " MAX_MIN", " MIN_MAX" ),  "") &amp;
IF(OR(INDIRECT("q_"&amp;MID(A35,1,2))&lt;&gt;0,AND(OR(MID(T_Resultados_FTP[[#This Row],[Nudo]],1,2)="CD",MID(T_Resultados_FTP[[#This Row],[Nudo]],1,2)="DE"),q_CE&lt;&gt;0)),
IF(L36="", IF(ABS(F35)&lt;ABS(F36)," M_0"," M_L"),
IF(L36&gt;0,  " POS",  " NEG") &amp;  IF(L36&gt;MAX(I35:I36),  "_MAX", "_MIN" )&amp;
IF(F35=0," M_0",IF(F36=0," M_L",""))),    ""),  ""),"")</f>
        <v/>
      </c>
      <c r="P35" t="str" cm="1">
        <f t="array" aca="1" ref="P35" ca="1">IF(INDIRECT("L_"&amp;MID($A35,1,2))&lt;&gt;0,IF(MID($A35,4,1)="i","N{"&amp;MID($A35,1,1)&amp;"}N ","")&amp;
            " "&amp;ABS(C35)&amp;" "&amp;
                IF(RIGHT($A35,1)="i",IFERROR(VLOOKUP(M35,'ENLACES DIAGRAMAS'!$B:$I,4,0),No_Diagrama),
                   IF(MID($A35,1,1)="M","N{"&amp;MID($A35,2,1)&amp;"}N&lt;br&gt;",IF(OR(MOD(COUNTA($A$8:$A35),4)=0,D37=""),      " N{"&amp;MID($A35,2,1)&amp;"}N&lt;br&gt;",""))),"")</f>
        <v/>
      </c>
      <c r="Q35" t="str" cm="1">
        <f t="array" aca="1" ref="Q35" ca="1">IF(INDIRECT("L_"&amp;MID($A35,1,2))&lt;&gt;0,IF(MID($A35,4,1)="i","N{"&amp;MID($A35,1,1)&amp;"}N ","")&amp;
            " "&amp;ABS(F35)&amp;" "&amp;
                IF(RIGHT($A35,1)="i",IFERROR(VLOOKUP(N35,'ENLACES DIAGRAMAS'!$B:$I,4,0),No_Diagrama),
                   IF(MID($A35,1,1)="M","N{"&amp;MID($A35,2,1)&amp;"}N &lt;br&gt;",IF(OR(MOD(COUNTA($A$8:$A35),4)=0,G37=""),      " N{"&amp;MID($A35,2,1)&amp;"}N &lt;br&gt;",""))),"")</f>
        <v/>
      </c>
      <c r="R35" t="str" cm="1">
        <f t="array" aca="1" ref="R35" ca="1">IF(INDIRECT("L_"&amp;MID($A35,1,2))&lt;&gt;0,IF(MID($A35,4,1)="i","N{"&amp;MID($A35,1,1)&amp;"}N ","")&amp;
            " "&amp;ABS(I35)&amp;" "&amp;
                IF(RIGHT($A35,1)="i",IFERROR(VLOOKUP(O35,'ENLACES DIAGRAMAS'!$B:$I,4,0),No_Diagrama),
                   IF(MID($A35,1,1)="M","N{"&amp;MID($A35,2,1)&amp;"}N &lt;br&gt;",IF(OR(MOD(COUNTA($A$8:$A35),4)=0,J37=""),      " "&amp;"N{"&amp;MID($A35,2,1)&amp;"}N &lt;br&gt;",""))),"")</f>
        <v/>
      </c>
      <c r="S35" s="303" t="str">
        <f ca="1">IF(T_Resultados_FTP[[#This Row],[Codigo axil]]="","",ABS(T_Resultados_FTP[[#This Row],[Axiles]])&amp;" kN")</f>
        <v/>
      </c>
      <c r="T35" s="303" t="str">
        <f ca="1">IF(T_Resultados_FTP[[#This Row],[Codigo Cortante]]="","",ABS(T_Resultados_FTP[[#This Row],[Cortantes]])&amp;" kN")</f>
        <v/>
      </c>
      <c r="U35" s="303" t="str">
        <f ca="1">IF(T_Resultados_FTP[[#This Row],[Codigo Momentos]]="","",ABS(T_Resultados_FTP[[#This Row],[Momentos]])&amp;" kNm")</f>
        <v/>
      </c>
    </row>
    <row r="36" spans="1:21" hidden="1" outlineLevel="1">
      <c r="A36" s="88"/>
      <c r="B36" s="3"/>
      <c r="C36" s="102"/>
      <c r="E36" s="3"/>
      <c r="F36" s="102"/>
      <c r="H36" s="3"/>
      <c r="I36" s="102"/>
      <c r="L36" s="104"/>
      <c r="S36" s="303"/>
      <c r="T36" s="303"/>
      <c r="U36" s="303"/>
    </row>
    <row r="37" spans="1:21" hidden="1" outlineLevel="1">
      <c r="C37" s="353" t="s">
        <v>728</v>
      </c>
      <c r="D37" t="str">
        <f ca="1" xml:space="preserve"> D8 &amp; IF(D9="", "",S_L) &amp;D9 &amp; IF(D10="","",S_L)  &amp;D10&amp; IF(D11="","",S_L) &amp;D11&amp; IF(D12="","",S_L)
 &amp;D12&amp; IF(D13="","",S_L) &amp;D13&amp; IF(D14="","",S_L)  &amp;D14&amp; IF(D15="","",S_L) &amp;D15&amp; IF(D16="","",S_L)
 &amp;D16&amp; IF(D17="","",S_L) &amp;D17&amp; IF(D18="","",S_L)  &amp;D18&amp; IF(D19="","",S_L) &amp;D19&amp; IF(D20="","",S_L)
 &amp;D20&amp; IF(D21="","",S_L) &amp;D21&amp; IF(D22="","",S_L)  &amp;D22&amp; IF(D23="","",S_L) &amp;D23&amp; IF(D24="","",S_L)
 &amp;D24&amp; IF(D25="","",S_L) &amp;D25&amp; IF(D26="","",S_L)  &amp;D26&amp; IF(D27="","",S_L) &amp;D27&amp; IF(D28="","",S_L)
 &amp;D28&amp; IF(D29="","",S_L) &amp;D29&amp; IF(D30="","",S_L)  &amp;D30&amp; IF(D31="","",S_L) &amp;D31&amp; IF(D32="","",S_L)
 &amp;D32&amp; IF(D33="","",S_L) &amp;D33&amp; IF(D34="","",S_L)  &amp;D34&amp; IF(D35="","",S_L) &amp;D35</f>
        <v/>
      </c>
      <c r="F37" t="s">
        <v>568</v>
      </c>
      <c r="G37" t="str">
        <f ca="1" xml:space="preserve"> G8 &amp; IF(G9="", "",S_L) &amp;G9 &amp; IF(G10="","",S_L)  &amp;G10&amp; IF(G11="","",S_L) &amp;G11&amp; IF(G12="","",S_L)
 &amp;G12&amp; IF(G13="","",S_L) &amp;G13&amp; IF(G14="","",S_L)  &amp;G14&amp; IF(G15="","",S_L) &amp;G15&amp; IF(G16="","",S_L)
 &amp;G16&amp; IF(G17="","",S_L) &amp;G17&amp; IF(G18="","",S_L)  &amp;G18&amp; IF(G19="","",S_L) &amp;G19&amp; IF(G20="","",S_L)
 &amp;G20&amp; IF(G21="","",S_L) &amp;G21&amp; IF(G22="","",S_L)  &amp;G22&amp; IF(G23="","",S_L) &amp;G23&amp; IF(G24="","",S_L)
 &amp;G24&amp; IF(G25="","",S_L) &amp;G25&amp; IF(G26="","",S_L)  &amp;G26&amp; IF(G27="","",S_L) &amp;G27&amp; IF(G28="","",S_L)
 &amp;G28&amp; IF(G29="","",S_L) &amp;G29&amp; IF(G30="","",S_L)  &amp;G30&amp; IF(G31="","",S_L) &amp;G31&amp; IF(G32="","",S_L)
 &amp;G32&amp; IF(G33="","",S_L) &amp;G33&amp; IF(G34="","",S_L)  &amp;G34&amp; IF(G35="","",S_L) &amp;G35</f>
        <v/>
      </c>
      <c r="I37" t="s">
        <v>568</v>
      </c>
      <c r="J37" t="str">
        <f ca="1" xml:space="preserve"> J8 &amp; IF(J9="", "",S_L) &amp;J9 &amp; IF(J10="","",S_L)  &amp;J10&amp; IF(J11="","",S_L) &amp;J11&amp; IF(J12="","",S_L)
 &amp;J12&amp; IF(J13="","",S_L) &amp;J13&amp; IF(J14="","",S_L)  &amp;J14&amp; IF(J15="","",S_L) &amp;J15&amp; IF(J16="","",S_L)
 &amp;J16&amp; IF(J17="","",S_L) &amp;J17&amp; IF(J18="","",S_L)  &amp;J18&amp; IF(J19="","",S_L) &amp;J19&amp; IF(J20="","",S_L)
 &amp;J20&amp; IF(J21="","",S_L) &amp;J21&amp; IF(J22="","",S_L)  &amp;J22&amp; IF(J23="","",S_L) &amp;J23&amp; IF(J24="","",S_L)
 &amp;J24&amp; IF(J25="","",S_L) &amp;J25&amp; IF(J26="","",S_L)  &amp;J26&amp; IF(J27="","",S_L) &amp;J27&amp; IF(J28="","",S_L)
 &amp;J28&amp; IF(J29="","",S_L) &amp;J29&amp; IF(J30="","",S_L)  &amp;J30&amp; IF(J31="","",S_L) &amp;J31&amp; IF(J32="","",S_L)
 &amp;J32&amp; IF(J33="","",S_L) &amp;J33&amp; IF(J34="","",S_L)  &amp;J34&amp; IF(J35="","",S_L) &amp;J35</f>
        <v/>
      </c>
      <c r="K37" t="str">
        <f ca="1">IF(K8 &amp;K9 &amp;K10&amp;K11&amp;K12&amp;K13&amp;K14&amp;K15&amp;K16&amp;K17
       &amp;K18&amp;K19&amp;K20&amp;K21&amp;K22&amp;K23&amp;K24&amp;K25&amp;K26&amp;K27
       &amp;K28&amp;K29&amp;K30&amp;K31&amp;K32&amp;K33&amp;K34&amp;K35="","","
"&amp;Salto&amp;K8 &amp;K9 &amp;K10&amp;K11&amp;K12&amp;K13&amp;K14&amp;K15&amp;K16&amp;K17
       &amp;K18&amp;K19&amp;K20&amp;K21&amp;K22&amp;K23&amp;K24&amp;K25&amp;K26&amp;K27
       &amp;K28&amp;K29&amp;K30&amp;K31&amp;K32&amp;K33&amp;K34&amp;K35)</f>
        <v/>
      </c>
      <c r="M37" t="s">
        <v>568</v>
      </c>
      <c r="P37" s="37" t="str">
        <f ca="1" xml:space="preserve"> P8 &amp;P9 &amp;"
"&amp;P10&amp;P11&amp;"
"&amp;P12&amp;P13&amp;"
"&amp;P14&amp;P15&amp;"
"&amp;P16&amp;P17&amp;"
"&amp;P18&amp;P19&amp;"
"&amp;P20&amp;P21&amp;"
"&amp;P22&amp;P23&amp;"
"&amp;P24&amp;P25&amp;"
"&amp;P26&amp;P27&amp;"
"&amp;P28&amp;P29&amp;"
"&amp;P30&amp;P31&amp;"
"&amp;P32&amp;P33&amp;"
"&amp;P34&amp;P35</f>
        <v xml:space="preserve">
</v>
      </c>
      <c r="Q37" t="str">
        <f ca="1" xml:space="preserve"> Q8 &amp;Q9 &amp;"
"&amp;Q10&amp;Q11&amp;"
"&amp;Q12&amp;Q13&amp;"
"&amp;Q14&amp;Q15&amp;"
"&amp;Q16&amp;Q17&amp;"
"&amp;Q18&amp;Q19&amp;"
"&amp;Q20&amp;Q21&amp;"
"&amp;Q22&amp;Q23&amp;"
"&amp;Q24&amp;Q25&amp;"
"&amp;Q26&amp;Q27&amp;"
"&amp;Q28&amp;Q29&amp;"
"&amp;Q30&amp;Q31&amp;"
"&amp;Q32&amp;Q33&amp;"
"&amp;Q34&amp;Q35</f>
        <v xml:space="preserve">
</v>
      </c>
      <c r="R37" t="str">
        <f ca="1" xml:space="preserve"> R8 &amp;R9 &amp;"
"&amp;R10&amp;R11&amp;"
"&amp;R12&amp;R13&amp;"
"&amp;R14&amp;R15&amp;"
"&amp;R16&amp;R17&amp;"
"&amp;R18&amp;R19&amp;"
"&amp;R20&amp;R21&amp;"
"&amp;R22&amp;R23&amp;"
"&amp;R24&amp;R25&amp;"
"&amp;R26&amp;R27&amp;"
"&amp;R28&amp;R29&amp;"
"&amp;R30&amp;R31&amp;"
"&amp;R32&amp;R33&amp;"
"&amp;R34&amp;R35</f>
        <v xml:space="preserve">
</v>
      </c>
      <c r="S37" t="s">
        <v>568</v>
      </c>
      <c r="U37" t="s">
        <v>568</v>
      </c>
    </row>
    <row r="38" spans="1:21" ht="30" customHeight="1" collapsed="1">
      <c r="B38" s="665" t="s">
        <v>724</v>
      </c>
      <c r="C38" s="591"/>
      <c r="D38" s="591"/>
      <c r="E38" s="591"/>
      <c r="F38" s="591"/>
      <c r="G38" s="591"/>
      <c r="H38" s="591"/>
      <c r="I38" s="591"/>
      <c r="J38" s="591"/>
      <c r="K38" s="591"/>
      <c r="L38" s="591"/>
      <c r="M38" s="591"/>
      <c r="N38" s="591"/>
      <c r="O38" s="591"/>
      <c r="P38" s="591"/>
      <c r="Q38" s="591"/>
      <c r="R38" s="591"/>
      <c r="S38" s="591"/>
      <c r="T38" s="591"/>
      <c r="U38" s="591"/>
    </row>
    <row r="39" spans="1:21" ht="49.1" customHeight="1">
      <c r="B39" s="674" t="str">
        <f ca="1">Enunciado &amp;Salto&amp; "
" &amp; Preg_1_FTP &amp; Resultado_1_FTP &amp; "
" &amp; Preg_2_FTP &amp; Resultado_2_FTP &amp; "
" &amp; Preg_3_FTP &amp; Resultado_3_FTP &amp; "
" &amp; Preg_4_FTP &amp; FTP_Momentos &amp; B54</f>
        <v xml:space="preserve">De la estructura de la figura (no está a escala), que tiene un , tenemos los siguientes datos:&lt;br&gt;
- COTAS:  &lt;br&gt;
1) Las Reacciones en los apoyos (dos decimales y en valor absoluto) y su dirección.[12 puntos] &lt;br&gt;N{ REACCIONES }N&lt;br&gt;&amp;emsp;
    Fv : {3:NM:%100%0:0#¡Muy bien!~%95%0:0#Cuidado al redondear.~%-10%0:0#Incorrecto.} kN 
               {1:MCS:%100%--#¡Muy bien!~%-33%↓#Incorrecto.~%-33%↑#Incorrecto.}&amp;emsp;  
    Fh : {3:NM:%100%0:0#¡Muy bien!~%95%0:0#Cuidado al redondear.~%-10%0:0#Incorrecto.} kN 
               {1:MCS:%100%--#¡Muy bien!~%-33%←#Incorrecto.~%-33%→#Incorrecto.}&amp;emsp; 
    M : {3:NM:%100%0:0#¡Muy bien!~%95%0:0#Cuidado al redondear.~%-10%0:0#Incorrecto.} kNm 
           {1:MCS:%100%--#¡Muy bien!~%-33%↺#Incorrecto.~%-33%↻#Incorrecto.}&lt;br&gt;
2) Los valores de los esfuerzos AXILES a los que está sometida la estructura (dos decimales y en valor absoluto) y sus diagramas.[0 puntos] &lt;br&gt;N{ ESFUERZOS AXILES (kN) }N &lt;br&gt;
3) Los valores de los esfuerzos CORTANTES a los que está sometida la estructura (dos decimales y en valor absoluto) y sus diagramas.[0 puntos] &lt;br&gt;N{ ESFUERZOS CORTANTES (kN) }N&lt;br&gt;
4) Los valores de los MOMENTOS FLECTORES a los que está sometida la estructura (dos decimales y en valor absoluto) y sus diagramas.[0 puntos] &lt;br&gt;N{ MOMENTOS FLECTORES (kNm) }N&lt;br&gt;
</v>
      </c>
      <c r="C39" s="675"/>
      <c r="D39" s="675"/>
      <c r="E39" s="675"/>
      <c r="F39" s="675"/>
      <c r="G39" s="675"/>
      <c r="H39" s="675"/>
      <c r="I39" s="675"/>
      <c r="J39" s="675"/>
      <c r="K39" s="675"/>
      <c r="L39" s="675"/>
      <c r="M39" s="675"/>
      <c r="N39" s="562"/>
    </row>
    <row r="40" spans="1:21" ht="30" customHeight="1">
      <c r="B40" s="657"/>
      <c r="C40" s="658"/>
      <c r="D40" s="658"/>
      <c r="E40" s="658"/>
      <c r="F40" s="658"/>
      <c r="G40" s="658"/>
      <c r="H40" s="658"/>
      <c r="I40" s="658"/>
      <c r="J40" s="658"/>
      <c r="K40" s="658"/>
      <c r="L40" s="658"/>
      <c r="M40" s="658"/>
      <c r="N40" s="562"/>
      <c r="P40" s="356" t="str">
        <f>"Datos Fijos: 
"&amp;D_Fijos</f>
        <v>Datos Fijos: 
Sí</v>
      </c>
      <c r="Q40" s="357" t="str">
        <f>"Salto: 
"&amp;Salto</f>
        <v>Salto: 
&lt;br&gt;</v>
      </c>
    </row>
    <row r="41" spans="1:21" ht="90.35" customHeight="1">
      <c r="B41" s="676"/>
      <c r="C41" s="677"/>
      <c r="D41" s="677"/>
      <c r="E41" s="677"/>
      <c r="F41" s="677"/>
      <c r="G41" s="677"/>
      <c r="H41" s="677"/>
      <c r="I41" s="677"/>
      <c r="J41" s="677"/>
      <c r="K41" s="677"/>
      <c r="L41" s="677"/>
      <c r="M41" s="677"/>
      <c r="N41" s="562"/>
      <c r="O41" s="350" t="s">
        <v>722</v>
      </c>
      <c r="P41" s="354" t="str">
        <f>P2&amp;
"
"&amp;P3&amp;
"
"&amp;P4</f>
        <v>TOLERANCIA 
1
%100%
¡Muy bien!</v>
      </c>
      <c r="Q41" s="354" t="str">
        <f>Q2&amp;
"
"&amp;Q3&amp;
"
"&amp;Q4</f>
        <v>TOLERANCIA
2
~%95%
Cuidado al redondear.</v>
      </c>
      <c r="R41" s="354" t="str">
        <f>R2&amp;
"
"&amp;R3&amp;
"
"&amp;R4</f>
        <v>RESTO
ERROR
~%-10%
Incorrecto.</v>
      </c>
      <c r="S41" s="666" t="str">
        <f>S2&amp;
"
"&amp;S3&amp;
"
"&amp;S4</f>
        <v xml:space="preserve">
⇐ % PUNT. NUM.
⇐ RETROALIM.</v>
      </c>
      <c r="T41" s="666"/>
      <c r="U41" s="355"/>
    </row>
    <row r="42" spans="1:21">
      <c r="B42" s="678" t="str">
        <f ca="1">Preg_1&amp;"["&amp;SUM('RESULTADOS - FTP'!O42:O43)*IF(Art=0,3,4)&amp;" puntos] "&amp;Salto</f>
        <v>1) Las Reacciones en los apoyos (dos decimales y en valor absoluto) y su dirección.[12 puntos] &lt;br&gt;</v>
      </c>
      <c r="C42" s="679"/>
      <c r="D42" s="679"/>
      <c r="E42" s="679"/>
      <c r="F42" s="679"/>
      <c r="G42" s="679"/>
      <c r="H42" s="679"/>
      <c r="I42" s="679"/>
      <c r="J42" s="679"/>
      <c r="K42" s="679"/>
      <c r="L42" s="679"/>
      <c r="M42" s="679"/>
      <c r="N42" s="352" t="s">
        <v>725</v>
      </c>
      <c r="O42" s="527">
        <v>3</v>
      </c>
      <c r="P42" s="529">
        <v>2E-3</v>
      </c>
      <c r="Q42" s="529">
        <v>0.01</v>
      </c>
      <c r="R42" s="530">
        <v>100</v>
      </c>
      <c r="S42" s="661" t="s">
        <v>726</v>
      </c>
      <c r="T42" s="661"/>
    </row>
    <row r="43" spans="1:21" ht="30" customHeight="1">
      <c r="B43" s="657" t="str" cm="1">
        <f t="array" aca="1" ref="B43" ca="1" xml:space="preserve"> "N{ REACCIONES }N"&amp;Salto&amp;Tab&amp;"
    "&amp; Reaccion_1_FTP&amp;Tab&amp;"  
    "&amp; Reaccion_2_FTP&amp;Tab&amp;" 
    "&amp; Reaccion_3_FTP &amp; IF(Art=0, "", Tab&amp;"   
    "&amp; Reaccion_4_FTP)&amp;Salto</f>
        <v>N{ REACCIONES }N&lt;br&gt;&amp;emsp;
    Fv : {3:NM:%100%0:0#¡Muy bien!~%95%0:0#Cuidado al redondear.~%-10%0:0#Incorrecto.} kN 
               {1:MCS:%100%--#¡Muy bien!~%-33%↓#Incorrecto.~%-33%↑#Incorrecto.}&amp;emsp;  
    Fh : {3:NM:%100%0:0#¡Muy bien!~%95%0:0#Cuidado al redondear.~%-10%0:0#Incorrecto.} kN 
               {1:MCS:%100%--#¡Muy bien!~%-33%←#Incorrecto.~%-33%→#Incorrecto.}&amp;emsp; 
    M : {3:NM:%100%0:0#¡Muy bien!~%95%0:0#Cuidado al redondear.~%-10%0:0#Incorrecto.} kNm 
           {1:MCS:%100%--#¡Muy bien!~%-33%↺#Incorrecto.~%-33%↻#Incorrecto.}&lt;br&gt;</v>
      </c>
      <c r="C43" s="658"/>
      <c r="D43" s="658"/>
      <c r="E43" s="658"/>
      <c r="F43" s="658"/>
      <c r="G43" s="658"/>
      <c r="H43" s="658"/>
      <c r="I43" s="658"/>
      <c r="J43" s="658"/>
      <c r="K43" s="658"/>
      <c r="L43" s="658"/>
      <c r="M43" s="658"/>
      <c r="N43" s="352" t="s">
        <v>727</v>
      </c>
      <c r="O43" s="527">
        <v>1</v>
      </c>
      <c r="P43" s="37"/>
      <c r="Q43" s="37"/>
      <c r="R43" s="527">
        <v>-33</v>
      </c>
    </row>
    <row r="44" spans="1:21" ht="103.1" hidden="1" customHeight="1" outlineLevel="1">
      <c r="B44" s="676"/>
      <c r="C44" s="677"/>
      <c r="D44" s="677"/>
      <c r="E44" s="677"/>
      <c r="F44" s="677"/>
      <c r="G44" s="677"/>
      <c r="H44" s="677"/>
      <c r="I44" s="677"/>
      <c r="J44" s="677"/>
      <c r="K44" s="677"/>
      <c r="L44" s="677"/>
      <c r="M44" s="677"/>
      <c r="O44" s="528"/>
      <c r="R44" s="528"/>
    </row>
    <row r="45" spans="1:21" collapsed="1">
      <c r="B45" s="678" t="str">
        <f ca="1">Preg_2&amp;"["&amp;(O45*2+O46)*(COUNTA(T_Resultados_FTP[Codigo axil])-COUNTBLANK(T_Resultados_FTP[Codigo axil])) / 2 &amp;" puntos] "&amp;Salto</f>
        <v>2) Los valores de los esfuerzos AXILES a los que está sometida la estructura (dos decimales y en valor absoluto) y sus diagramas.[0 puntos] &lt;br&gt;</v>
      </c>
      <c r="C45" s="679"/>
      <c r="D45" s="679"/>
      <c r="E45" s="679"/>
      <c r="F45" s="679"/>
      <c r="G45" s="679"/>
      <c r="H45" s="679"/>
      <c r="I45" s="679"/>
      <c r="J45" s="679"/>
      <c r="K45" s="679"/>
      <c r="L45" s="679"/>
      <c r="M45" s="679"/>
      <c r="N45" s="352" t="s">
        <v>725</v>
      </c>
      <c r="O45" s="527">
        <v>1</v>
      </c>
      <c r="P45" s="529">
        <v>2E-3</v>
      </c>
      <c r="Q45" s="529">
        <v>0.01</v>
      </c>
      <c r="R45" s="530">
        <v>100</v>
      </c>
      <c r="S45" s="661" t="s">
        <v>726</v>
      </c>
      <c r="T45" s="661"/>
    </row>
    <row r="46" spans="1:21" ht="30" customHeight="1">
      <c r="B46" s="657" t="str">
        <f ca="1" xml:space="preserve">   "N{ ESFUERZOS AXILES (kN) }N "&amp;Salto&amp;"
"&amp;D37</f>
        <v xml:space="preserve">N{ ESFUERZOS AXILES (kN) }N &lt;br&gt;
</v>
      </c>
      <c r="C46" s="658"/>
      <c r="D46" s="658"/>
      <c r="E46" s="658"/>
      <c r="F46" s="658"/>
      <c r="G46" s="658"/>
      <c r="H46" s="658"/>
      <c r="I46" s="658"/>
      <c r="J46" s="658"/>
      <c r="K46" s="658"/>
      <c r="L46" s="658"/>
      <c r="M46" s="658"/>
      <c r="N46" s="352" t="s">
        <v>727</v>
      </c>
      <c r="O46" s="527">
        <v>3</v>
      </c>
      <c r="P46" s="37"/>
      <c r="Q46" s="37"/>
      <c r="R46" s="527">
        <v>-33</v>
      </c>
    </row>
    <row r="47" spans="1:21" ht="313.7" hidden="1" customHeight="1" outlineLevel="1">
      <c r="B47" s="676"/>
      <c r="C47" s="677"/>
      <c r="D47" s="677"/>
      <c r="E47" s="677"/>
      <c r="F47" s="677"/>
      <c r="G47" s="677"/>
      <c r="H47" s="677"/>
      <c r="I47" s="677"/>
      <c r="J47" s="677"/>
      <c r="K47" s="677"/>
      <c r="L47" s="677"/>
      <c r="M47" s="677"/>
      <c r="N47" t="s">
        <v>650</v>
      </c>
      <c r="O47" s="528"/>
      <c r="P47" t="s">
        <v>650</v>
      </c>
      <c r="R47" s="528"/>
    </row>
    <row r="48" spans="1:21" collapsed="1">
      <c r="B48" s="678" t="str">
        <f ca="1">Preg_3&amp;"["&amp;(O48*2+O49)*(COUNTA(T_Resultados_FTP[Codigo Cortante])-COUNTBLANK(T_Resultados_FTP[Codigo Cortante])) / 2 &amp;" puntos] "&amp;Salto</f>
        <v>3) Los valores de los esfuerzos CORTANTES a los que está sometida la estructura (dos decimales y en valor absoluto) y sus diagramas.[0 puntos] &lt;br&gt;</v>
      </c>
      <c r="C48" s="679"/>
      <c r="D48" s="679"/>
      <c r="E48" s="679"/>
      <c r="F48" s="679"/>
      <c r="G48" s="679"/>
      <c r="H48" s="679"/>
      <c r="I48" s="679"/>
      <c r="J48" s="679"/>
      <c r="K48" s="679"/>
      <c r="L48" s="679"/>
      <c r="M48" s="288"/>
      <c r="N48" s="352" t="s">
        <v>725</v>
      </c>
      <c r="O48" s="527">
        <v>2</v>
      </c>
      <c r="P48" s="529">
        <v>2E-3</v>
      </c>
      <c r="Q48" s="529">
        <v>0.01</v>
      </c>
      <c r="R48" s="530">
        <v>100</v>
      </c>
      <c r="S48" s="661" t="s">
        <v>726</v>
      </c>
      <c r="T48" s="661"/>
    </row>
    <row r="49" spans="2:22" ht="30" customHeight="1">
      <c r="B49" s="657" t="str">
        <f ca="1">"N{ ESFUERZOS CORTANTES (kN) }N&lt;br&gt;
"&amp;G37</f>
        <v xml:space="preserve">N{ ESFUERZOS CORTANTES (kN) }N&lt;br&gt;
</v>
      </c>
      <c r="C49" s="658"/>
      <c r="D49" s="658"/>
      <c r="E49" s="658"/>
      <c r="F49" s="658"/>
      <c r="G49" s="658"/>
      <c r="H49" s="658"/>
      <c r="I49" s="658"/>
      <c r="J49" s="658"/>
      <c r="K49" s="658"/>
      <c r="L49" s="658"/>
      <c r="N49" s="352" t="s">
        <v>727</v>
      </c>
      <c r="O49" s="527">
        <v>4</v>
      </c>
      <c r="P49" s="37"/>
      <c r="Q49" s="37"/>
      <c r="R49" s="527">
        <v>-33</v>
      </c>
    </row>
    <row r="50" spans="2:22" ht="409.6" hidden="1" customHeight="1" outlineLevel="1">
      <c r="B50" s="676"/>
      <c r="C50" s="677"/>
      <c r="D50" s="677"/>
      <c r="E50" s="677"/>
      <c r="F50" s="677"/>
      <c r="G50" s="677"/>
      <c r="H50" s="677"/>
      <c r="I50" s="677"/>
      <c r="J50" s="677"/>
      <c r="K50" s="677"/>
      <c r="L50" s="677"/>
      <c r="M50" s="25"/>
      <c r="N50" t="s">
        <v>650</v>
      </c>
      <c r="O50" s="528"/>
      <c r="P50" t="s">
        <v>650</v>
      </c>
      <c r="R50" s="528"/>
    </row>
    <row r="51" spans="2:22" collapsed="1">
      <c r="B51" s="678" t="str">
        <f ca="1">Preg_4&amp;"["&amp;(O51*2+O52)*(COUNTA(T_Resultados_FTP[Codigo Momentos])-COUNTBLANK(T_Resultados_FTP[Codigo Momentos])) / 2
          +  IF(B54="",0, (O42+O43) * (COUNTA(T_Resultados_FTP[M max]) - COUNTBLANK(T_Resultados_FTP[M max]))  ) &amp;   " puntos] "&amp;Salto</f>
        <v>4) Los valores de los MOMENTOS FLECTORES a los que está sometida la estructura (dos decimales y en valor absoluto) y sus diagramas.[0 puntos] &lt;br&gt;</v>
      </c>
      <c r="C51" s="679"/>
      <c r="D51" s="679"/>
      <c r="E51" s="679"/>
      <c r="F51" s="679"/>
      <c r="G51" s="679"/>
      <c r="H51" s="679"/>
      <c r="I51" s="679"/>
      <c r="J51" s="679"/>
      <c r="K51" s="679"/>
      <c r="L51" s="679"/>
      <c r="M51" s="288"/>
      <c r="N51" s="352" t="s">
        <v>725</v>
      </c>
      <c r="O51" s="527">
        <v>3</v>
      </c>
      <c r="P51" s="529">
        <v>2E-3</v>
      </c>
      <c r="Q51" s="529">
        <v>0.01</v>
      </c>
      <c r="R51" s="530">
        <v>100</v>
      </c>
      <c r="S51" s="661" t="s">
        <v>726</v>
      </c>
      <c r="T51" s="661"/>
    </row>
    <row r="52" spans="2:22" ht="30" customHeight="1">
      <c r="B52" s="662" t="str">
        <f ca="1">"N{ MOMENTOS FLECTORES (kNm) }N&lt;br&gt;
"&amp;J37</f>
        <v xml:space="preserve">N{ MOMENTOS FLECTORES (kNm) }N&lt;br&gt;
</v>
      </c>
      <c r="C52" s="602"/>
      <c r="D52" s="602"/>
      <c r="E52" s="602"/>
      <c r="F52" s="602"/>
      <c r="G52" s="602"/>
      <c r="H52" s="602"/>
      <c r="I52" s="602"/>
      <c r="J52" s="602"/>
      <c r="K52" s="602"/>
      <c r="L52" s="602"/>
      <c r="M52" s="602"/>
      <c r="N52" s="352" t="s">
        <v>727</v>
      </c>
      <c r="O52" s="527">
        <v>6</v>
      </c>
      <c r="P52" s="37"/>
      <c r="Q52" s="37"/>
      <c r="R52" s="527">
        <v>-33</v>
      </c>
      <c r="V52" s="39"/>
    </row>
    <row r="53" spans="2:22" ht="409.6" hidden="1" customHeight="1" outlineLevel="1">
      <c r="B53" s="662"/>
      <c r="C53" s="602"/>
      <c r="D53" s="602"/>
      <c r="E53" s="602"/>
      <c r="F53" s="602"/>
      <c r="G53" s="602"/>
      <c r="H53" s="602"/>
      <c r="I53" s="602"/>
      <c r="J53" s="602"/>
      <c r="K53" s="602"/>
      <c r="L53" s="602"/>
      <c r="M53" s="602"/>
      <c r="N53" s="352"/>
      <c r="P53" s="37"/>
      <c r="Q53" s="37"/>
      <c r="V53" s="39"/>
    </row>
    <row r="54" spans="2:22" ht="79.349999999999994" hidden="1" customHeight="1" outlineLevel="1">
      <c r="B54" s="663" t="str">
        <f ca="1">K37</f>
        <v/>
      </c>
      <c r="C54" s="664"/>
      <c r="D54" s="664"/>
      <c r="E54" s="664"/>
      <c r="F54" s="664"/>
      <c r="G54" s="664"/>
      <c r="H54" s="664"/>
      <c r="I54" s="664"/>
      <c r="J54" s="664"/>
      <c r="K54" s="664"/>
      <c r="L54" s="664"/>
      <c r="M54" s="664"/>
      <c r="N54" t="s">
        <v>650</v>
      </c>
      <c r="V54" t="s">
        <v>729</v>
      </c>
    </row>
    <row r="55" spans="2:22" collapsed="1"/>
    <row r="56" spans="2:22" hidden="1" outlineLevel="1">
      <c r="B56" s="665" t="s">
        <v>723</v>
      </c>
      <c r="C56" s="591"/>
      <c r="D56" s="591"/>
      <c r="E56" s="591"/>
      <c r="F56" s="591"/>
      <c r="G56" s="591"/>
      <c r="H56" s="591"/>
      <c r="I56" s="591"/>
      <c r="J56" s="591"/>
      <c r="K56" s="591"/>
      <c r="L56" s="591"/>
      <c r="M56" s="591"/>
      <c r="N56" s="591"/>
      <c r="O56" s="591"/>
      <c r="P56" s="591"/>
      <c r="Q56" s="591"/>
      <c r="R56" s="591"/>
      <c r="S56" s="591"/>
      <c r="T56" s="591"/>
      <c r="U56" s="591"/>
    </row>
    <row r="57" spans="2:22" ht="56.45" hidden="1" customHeight="1" outlineLevel="1">
      <c r="B57" s="657" t="str">
        <f ca="1">"De la estructura de la figura (no está a escala), que tiene un "&amp;OCULTOS!W2&amp;OCULTOS!W3&amp;OCULTOS!W4&amp;", tenemos los siguientes datos:"&amp;Salto&amp;"
- COTAS: "&amp;Longitudes&amp;IF(AND(alfa_C&lt;&gt;90,alfa_C&lt;&gt;0),", y el ángulo α= "&amp;ROUND(alfa_C,1)&amp;"º","")&amp;IF(Fuerzas_Verticales="","",Salto&amp;"
Teniendo en cuenta los diagramas de esfuerzos que se indican a continuación, se pide indicar los valores de las cargas en cada punto y barra (dejar en blanco donde no haya carga):")</f>
        <v xml:space="preserve">De la estructura de la figura (no está a escala), que tiene un , tenemos los siguientes datos:&lt;br&gt;
- COTAS:  </v>
      </c>
      <c r="C57" s="658"/>
      <c r="D57" s="658"/>
      <c r="E57" s="658"/>
      <c r="F57" s="658"/>
      <c r="G57" s="658"/>
      <c r="H57" s="658"/>
      <c r="I57" s="658"/>
      <c r="J57" s="658"/>
      <c r="K57" s="658"/>
      <c r="L57" s="658"/>
      <c r="M57" s="658"/>
      <c r="N57" s="658"/>
      <c r="O57" s="658"/>
      <c r="P57" s="658"/>
      <c r="Q57" s="658"/>
      <c r="R57" s="658"/>
    </row>
    <row r="58" spans="2:22" ht="19.350000000000001" hidden="1" customHeight="1" outlineLevel="1">
      <c r="B58" s="659" t="str">
        <f ca="1">P37&amp;Q37&amp;R37</f>
        <v xml:space="preserve">
</v>
      </c>
      <c r="C58" s="660"/>
      <c r="D58" s="660"/>
      <c r="E58" s="660"/>
      <c r="F58" s="660"/>
      <c r="G58" s="660"/>
      <c r="H58" s="660"/>
      <c r="I58" s="660"/>
      <c r="J58" s="660"/>
      <c r="K58" s="660"/>
      <c r="L58" s="660"/>
      <c r="M58" s="660"/>
      <c r="N58" s="660"/>
      <c r="O58" s="660"/>
      <c r="P58" s="660"/>
      <c r="Q58" s="660"/>
      <c r="R58" s="660"/>
    </row>
    <row r="59" spans="2:22" ht="37.35" hidden="1" customHeight="1" collapsed="1">
      <c r="B59" s="655" t="str">
        <f ca="1">"&lt;br&gt;R{ N{ RESULTADOS EN VALORES ABSOLUTOS y SIN DECIMALES }N }R &lt;br&gt;
"&amp;PROBLEMA!AG48&amp;"
R{N{CARGAS UNIFORMES}N}R&lt;br&gt;"&amp;PROBLEMA!AV48</f>
        <v>&lt;br&gt;R{ N{ RESULTADOS EN VALORES ABSOLUTOS y SIN DECIMALES }N }R &lt;br&gt;
R{N{CARGAS UNIFORMES}N}R&lt;br&gt;</v>
      </c>
      <c r="C59" s="656"/>
      <c r="D59" s="656"/>
      <c r="E59" s="656"/>
      <c r="F59" s="656"/>
      <c r="G59" s="656"/>
      <c r="H59" s="656"/>
      <c r="I59" s="656"/>
      <c r="J59" s="656"/>
      <c r="K59" s="656"/>
      <c r="L59" s="656"/>
      <c r="M59" s="656"/>
      <c r="N59" s="656"/>
      <c r="O59" s="656"/>
      <c r="P59" s="656"/>
      <c r="Q59" s="656"/>
      <c r="R59" s="656"/>
    </row>
    <row r="60" spans="2:22" hidden="1">
      <c r="B60" s="655" t="s">
        <v>568</v>
      </c>
      <c r="C60" s="656"/>
      <c r="D60" s="656"/>
      <c r="E60" s="656"/>
      <c r="F60" s="656"/>
      <c r="G60" s="656"/>
      <c r="H60" s="656"/>
      <c r="I60" s="656"/>
      <c r="J60" s="656"/>
      <c r="K60" s="656"/>
      <c r="L60" s="656"/>
      <c r="M60" s="656"/>
      <c r="N60" s="656"/>
      <c r="O60" s="656"/>
      <c r="P60" s="656"/>
      <c r="Q60" s="656"/>
      <c r="R60" s="656"/>
    </row>
    <row r="67"/>
    <row r="92" spans="2:2" hidden="1">
      <c r="B92" s="39"/>
    </row>
  </sheetData>
  <sheetProtection algorithmName="SHA-512" hashValue="lppg+3ayRfoR757+UD8I7XCtyAn2XcDnTrbFQgZ9pIgjYS8sEO2v0Gp0a3sd/THfebMFS4aShFrUK+uBRFQnsQ==" saltValue="rGZJhEZ70zJCDvWZa52Y5A==" spinCount="100000" sheet="1" objects="1" scenarios="1" formatRows="0" selectLockedCells="1"/>
  <mergeCells count="31">
    <mergeCell ref="I1:M1"/>
    <mergeCell ref="B5:J5"/>
    <mergeCell ref="B39:M41"/>
    <mergeCell ref="B48:L48"/>
    <mergeCell ref="B51:L51"/>
    <mergeCell ref="B42:M42"/>
    <mergeCell ref="B43:M44"/>
    <mergeCell ref="B45:M45"/>
    <mergeCell ref="B46:M47"/>
    <mergeCell ref="B49:L50"/>
    <mergeCell ref="B2:M2"/>
    <mergeCell ref="B3:C3"/>
    <mergeCell ref="E3:F3"/>
    <mergeCell ref="H3:I3"/>
    <mergeCell ref="K3:L3"/>
    <mergeCell ref="N1:S1"/>
    <mergeCell ref="B60:R60"/>
    <mergeCell ref="B57:R57"/>
    <mergeCell ref="B58:R58"/>
    <mergeCell ref="S51:T51"/>
    <mergeCell ref="S48:T48"/>
    <mergeCell ref="B52:M53"/>
    <mergeCell ref="B54:M54"/>
    <mergeCell ref="N39:N41"/>
    <mergeCell ref="B38:U38"/>
    <mergeCell ref="B59:R59"/>
    <mergeCell ref="S45:T45"/>
    <mergeCell ref="S42:T42"/>
    <mergeCell ref="B56:U56"/>
    <mergeCell ref="S41:T41"/>
    <mergeCell ref="B1:H1"/>
  </mergeCells>
  <conditionalFormatting sqref="Q40">
    <cfRule type="expression" dxfId="37" priority="5">
      <formula>Salto=""</formula>
    </cfRule>
  </conditionalFormatting>
  <conditionalFormatting sqref="I1:M1">
    <cfRule type="cellIs" dxfId="36" priority="2" operator="equal">
      <formula>""</formula>
    </cfRule>
  </conditionalFormatting>
  <conditionalFormatting sqref="P8 D8:D36 G8:G36 J8:J36">
    <cfRule type="containsText" dxfId="35" priority="2499" operator="containsText" text="No_Diagrama">
      <formula>NOT(ISERROR(SEARCH("No_Diagrama",D8)))</formula>
    </cfRule>
  </conditionalFormatting>
  <conditionalFormatting sqref="P40">
    <cfRule type="expression" dxfId="34" priority="1">
      <formula>D_Fijos=_NO</formula>
    </cfRule>
  </conditionalFormatting>
  <dataValidations disablePrompts="1" count="2">
    <dataValidation type="whole" allowBlank="1" showInputMessage="1" showErrorMessage="1" sqref="R43 R46 R49 R52" xr:uid="{00000000-0002-0000-0500-000000000000}">
      <formula1>-100</formula1>
      <formula2>0</formula2>
    </dataValidation>
    <dataValidation type="list" allowBlank="1" showInputMessage="1" sqref="I1:M1" xr:uid="{00000000-0002-0000-0500-000001000000}">
      <formula1>IF(D_Fijos=_OK,Lista_Imagenes,Lista_T_Figuras)</formula1>
    </dataValidation>
  </dataValidations>
  <pageMargins left="0.7" right="0.7" top="0.75" bottom="0.75" header="0.3" footer="0.3"/>
  <pageSetup paperSize="9" orientation="portrait" horizontalDpi="1200" verticalDpi="120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e_Enlaces_Diagramas"/>
  <dimension ref="A1:N104"/>
  <sheetViews>
    <sheetView showGridLines="0" showRowColHeaders="0" zoomScaleNormal="100" workbookViewId="0">
      <pane xSplit="13" ySplit="1" topLeftCell="N2" activePane="bottomRight" state="frozen"/>
      <selection pane="topRight" activeCell="N1" sqref="N1"/>
      <selection pane="bottomLeft" activeCell="A2" sqref="A2"/>
      <selection pane="bottomRight" activeCell="B41" sqref="B41"/>
    </sheetView>
  </sheetViews>
  <sheetFormatPr baseColWidth="10" defaultColWidth="0" defaultRowHeight="14.35" outlineLevelRow="1"/>
  <cols>
    <col min="1" max="1" width="4.41015625" customWidth="1"/>
    <col min="2" max="2" width="31.64453125" bestFit="1" customWidth="1"/>
    <col min="3" max="3" width="7.41015625" customWidth="1"/>
    <col min="4" max="4" width="4" customWidth="1"/>
    <col min="5" max="8" width="4.41015625" customWidth="1"/>
    <col min="9" max="9" width="40.234375" customWidth="1"/>
    <col min="10" max="10" width="8.3515625" customWidth="1"/>
    <col min="11" max="11" width="5.1171875" customWidth="1"/>
    <col min="12" max="12" width="5.87890625" customWidth="1"/>
    <col min="13" max="13" width="28" bestFit="1" customWidth="1"/>
    <col min="14" max="14" width="2.64453125" customWidth="1"/>
    <col min="15" max="16384" width="10.76171875" hidden="1"/>
  </cols>
  <sheetData>
    <row r="1" spans="1:13" ht="22.7" customHeight="1">
      <c r="A1" s="347" t="s">
        <v>210</v>
      </c>
      <c r="B1" s="348" t="s">
        <v>211</v>
      </c>
      <c r="C1" s="349" t="s">
        <v>712</v>
      </c>
      <c r="D1" s="349" t="s">
        <v>714</v>
      </c>
      <c r="E1" s="345" t="s">
        <v>551</v>
      </c>
      <c r="F1" s="345" t="s">
        <v>732</v>
      </c>
      <c r="G1" s="345" t="s">
        <v>733</v>
      </c>
      <c r="H1" s="345"/>
      <c r="I1" s="348" t="s">
        <v>212</v>
      </c>
      <c r="J1" s="345" t="s">
        <v>713</v>
      </c>
      <c r="K1" s="345" t="s">
        <v>659</v>
      </c>
      <c r="L1" s="345" t="s">
        <v>660</v>
      </c>
    </row>
    <row r="2" spans="1:13" ht="33.450000000000003" customHeight="1">
      <c r="A2">
        <v>1</v>
      </c>
      <c r="B2" s="106" t="s">
        <v>213</v>
      </c>
      <c r="C2" t="s">
        <v>214</v>
      </c>
      <c r="D2" s="107" t="s">
        <v>453</v>
      </c>
      <c r="E2" s="108" t="str">
        <f t="shared" ref="E2:E42" si="0">$E$1&amp;D2&amp;$F$1</f>
        <v>&lt;img src="https://i.ibb.co/5Y2G5Pk/CERO.png" width="100"&gt;</v>
      </c>
      <c r="F2" s="107" cm="1">
        <f t="array" aca="1" ref="F2" ca="1">INDIRECT("A"&amp;ROW()+1)</f>
        <v>2</v>
      </c>
      <c r="G2" s="107" cm="1">
        <f t="array" aca="1" ref="G2" ca="1">INDIRECT("A"&amp;ROW()+2)</f>
        <v>3</v>
      </c>
      <c r="H2" s="107">
        <f ca="1">RANDBETWEEN(MAX(F2:G2)+1,$A$14)</f>
        <v>6</v>
      </c>
      <c r="I2" s="238" t="str" cm="1">
        <f t="array" aca="1" ref="I2" ca="1">" [[[{"&amp;'RESULTADOS - FTP'!$O$46&amp;":MCVS:"&amp;'RESULTADOS - FTP'!$P$3 &amp;   E2                         &amp;"#"&amp;Retro_MuyBien&amp;
                                      "~%"&amp;'RESULTADOS - FTP'!$R$46&amp;"%" &amp; INDIRECT("E"&amp; F2 + 1 )  &amp;"#"&amp;Retro_Mal&amp;
                                      "~%"&amp;'RESULTADOS - FTP'!$R$46&amp;"%" &amp; INDIRECT("E"&amp; G2 + 1 )  &amp;"#"&amp;Retro_Mal&amp;"}]]]"</f>
        <v xml:space="preserve"> [[[{3:MCVS:%100%&lt;img src="https://i.ibb.co/5Y2G5Pk/CERO.png" width="100"&gt;#¡Muy bien!~%-33%&lt;img src="https://i.ibb.co/QvckjPj/N-POS-POS.png" width="100"&gt;#Incorrecto.~%-33%&lt;img src="https://i.ibb.co/b64jM8s/N-NEG-NEG.png" width="100"&gt;#Incorrecto.}]]]</v>
      </c>
      <c r="J2" s="293" t="e" vm="1">
        <v>#VALUE!</v>
      </c>
      <c r="K2" s="293" t="e" vm="2">
        <v>#VALUE!</v>
      </c>
      <c r="L2" s="293" t="e" vm="2">
        <v>#VALUE!</v>
      </c>
      <c r="M2" s="106" t="s">
        <v>661</v>
      </c>
    </row>
    <row r="3" spans="1:13" ht="33.450000000000003" customHeight="1" outlineLevel="1">
      <c r="A3">
        <f>A2+1</f>
        <v>2</v>
      </c>
      <c r="B3" s="107" t="s">
        <v>215</v>
      </c>
      <c r="C3" s="107" t="s">
        <v>216</v>
      </c>
      <c r="D3" s="107" t="s">
        <v>518</v>
      </c>
      <c r="E3" s="108" t="str">
        <f t="shared" si="0"/>
        <v>&lt;img src="https://i.ibb.co/QvckjPj/N-POS-POS.png" width="100"&gt;</v>
      </c>
      <c r="F3" s="107" cm="1">
        <f t="array" aca="1" ref="F3" ca="1">INDIRECT("A"&amp;ROW()+1)</f>
        <v>3</v>
      </c>
      <c r="G3" s="107" cm="1">
        <f t="array" aca="1" ref="G3" ca="1">INDIRECT("A"&amp;ROW()-1)</f>
        <v>1</v>
      </c>
      <c r="H3" s="107">
        <f t="shared" ref="H3:H11" ca="1" si="1">RANDBETWEEN(MAX(F3:G3)+1,$A$14)</f>
        <v>11</v>
      </c>
      <c r="I3" s="238" t="str" cm="1">
        <f t="array" aca="1" ref="I3" ca="1">" [[[{"&amp;'RESULTADOS - FTP'!$O$46&amp;":MCVS:"&amp;'RESULTADOS - FTP'!$P$3 &amp;   E3                         &amp;"#"&amp;Retro_MuyBien&amp;
                                      "~%"&amp;'RESULTADOS - FTP'!$R$46&amp;"%" &amp; INDIRECT("E"&amp; F3 + 1 )  &amp;"#"&amp;Retro_Mal&amp;
                                      "~%"&amp;'RESULTADOS - FTP'!$R$46&amp;"%" &amp; INDIRECT("E"&amp; G3 + 1 )  &amp;"#"&amp;Retro_Mal&amp;"}]]]"</f>
        <v xml:space="preserve"> [[[{3:MCVS:%100%&lt;img src="https://i.ibb.co/QvckjPj/N-POS-POS.png" width="100"&gt;#¡Muy bien!~%-33%&lt;img src="https://i.ibb.co/b64jM8s/N-NEG-NEG.png" width="100"&gt;#Incorrecto.~%-33%&lt;img src="https://i.ibb.co/5Y2G5Pk/CERO.png" width="100"&gt;#Incorrecto.}]]]</v>
      </c>
      <c r="J3" s="293" t="e" vm="3">
        <v>#VALUE!</v>
      </c>
      <c r="K3" s="294" t="e" vm="4">
        <v>#VALUE!</v>
      </c>
      <c r="L3" s="293" t="e" vm="5">
        <v>#VALUE!</v>
      </c>
      <c r="M3" s="107" t="s">
        <v>662</v>
      </c>
    </row>
    <row r="4" spans="1:13" ht="33.450000000000003" customHeight="1" outlineLevel="1">
      <c r="A4">
        <f t="shared" ref="A4:A67" si="2">A3+1</f>
        <v>3</v>
      </c>
      <c r="B4" s="107" t="s">
        <v>217</v>
      </c>
      <c r="C4" s="107" t="s">
        <v>218</v>
      </c>
      <c r="D4" s="107" t="s">
        <v>512</v>
      </c>
      <c r="E4" s="108" t="str">
        <f t="shared" si="0"/>
        <v>&lt;img src="https://i.ibb.co/b64jM8s/N-NEG-NEG.png" width="100"&gt;</v>
      </c>
      <c r="F4" s="107" cm="1">
        <f t="array" aca="1" ref="F4" ca="1">INDIRECT("A"&amp;ROW()+1)</f>
        <v>4</v>
      </c>
      <c r="G4" s="107" cm="1">
        <f t="array" aca="1" ref="G4" ca="1">INDIRECT("A"&amp;ROW()+2)</f>
        <v>5</v>
      </c>
      <c r="H4" s="107">
        <f t="shared" ca="1" si="1"/>
        <v>13</v>
      </c>
      <c r="I4" s="238" t="str" cm="1">
        <f t="array" aca="1" ref="I4" ca="1">" [[[{"&amp;'RESULTADOS - FTP'!$O$46&amp;":MCVS:"&amp;'RESULTADOS - FTP'!$P$3 &amp;   E4                         &amp;"#"&amp;Retro_MuyBien&amp;
                                      "~%"&amp;'RESULTADOS - FTP'!$R$46&amp;"%" &amp; INDIRECT("E"&amp; F4 + 1 )  &amp;"#"&amp;Retro_Mal&amp;
                                      "~%"&amp;'RESULTADOS - FTP'!$R$46&amp;"%" &amp; INDIRECT("E"&amp; G4 + 1 )  &amp;"#"&amp;Retro_Mal&amp;"}]]]"</f>
        <v xml:space="preserve"> [[[{3:MCVS:%100%&lt;img src="https://i.ibb.co/b64jM8s/N-NEG-NEG.png" width="100"&gt;#¡Muy bien!~%-33%&lt;img src="https://i.ibb.co/BVz7HMc/N-NEG-CERO.png" width="100"&gt;#Incorrecto.~%-33%&lt;img src="https://i.ibb.co/YpHb18Z/N-POS-CERO.png" width="100"&gt;#Incorrecto.}]]]</v>
      </c>
      <c r="J4" s="293" t="e" vm="6">
        <v>#VALUE!</v>
      </c>
      <c r="K4" s="293" t="e" vm="7">
        <v>#VALUE!</v>
      </c>
      <c r="L4" s="293" t="e" vm="8">
        <v>#VALUE!</v>
      </c>
      <c r="M4" s="107" t="s">
        <v>663</v>
      </c>
    </row>
    <row r="5" spans="1:13" ht="33.450000000000003" customHeight="1" outlineLevel="1">
      <c r="A5">
        <f t="shared" si="2"/>
        <v>4</v>
      </c>
      <c r="B5" s="107" t="s">
        <v>219</v>
      </c>
      <c r="C5" s="107" t="s">
        <v>220</v>
      </c>
      <c r="D5" s="107" t="s">
        <v>521</v>
      </c>
      <c r="E5" s="108" t="str">
        <f t="shared" si="0"/>
        <v>&lt;img src="https://i.ibb.co/BVz7HMc/N-NEG-CERO.png" width="100"&gt;</v>
      </c>
      <c r="F5" s="107" cm="1">
        <f t="array" aca="1" ref="F5" ca="1">INDIRECT("A"&amp;ROW()+1)</f>
        <v>5</v>
      </c>
      <c r="G5" s="107" cm="1">
        <f t="array" aca="1" ref="G5" ca="1">INDIRECT("A"&amp;ROW()-1)</f>
        <v>3</v>
      </c>
      <c r="H5" s="107">
        <f t="shared" ca="1" si="1"/>
        <v>10</v>
      </c>
      <c r="I5" s="238" t="str" cm="1">
        <f t="array" aca="1" ref="I5" ca="1">" [[[{"&amp;'RESULTADOS - FTP'!$O$46&amp;":MCVS:"&amp;'RESULTADOS - FTP'!$P$3 &amp;   E5                         &amp;"#"&amp;Retro_MuyBien&amp;
                                      "~%"&amp;'RESULTADOS - FTP'!$R$46&amp;"%" &amp; INDIRECT("E"&amp; F5 + 1 )  &amp;"#"&amp;Retro_Mal&amp;
                                      "~%"&amp;'RESULTADOS - FTP'!$R$46&amp;"%" &amp; INDIRECT("E"&amp; G5 + 1 )  &amp;"#"&amp;Retro_Mal&amp;"}]]]"</f>
        <v xml:space="preserve"> [[[{3:MCVS:%100%&lt;img src="https://i.ibb.co/BVz7HMc/N-NEG-CERO.png" width="100"&gt;#¡Muy bien!~%-33%&lt;img src="https://i.ibb.co/YpHb18Z/N-POS-CERO.png" width="100"&gt;#Incorrecto.~%-33%&lt;img src="https://i.ibb.co/b64jM8s/N-NEG-NEG.png" width="100"&gt;#Incorrecto.}]]]</v>
      </c>
      <c r="J5" s="293" t="e" vm="9">
        <v>#VALUE!</v>
      </c>
      <c r="K5" s="293" t="e" vm="10">
        <v>#VALUE!</v>
      </c>
      <c r="L5" s="293" t="e" vm="11">
        <v>#VALUE!</v>
      </c>
      <c r="M5" s="107" t="s">
        <v>664</v>
      </c>
    </row>
    <row r="6" spans="1:13" ht="33.450000000000003" customHeight="1" outlineLevel="1">
      <c r="A6">
        <f t="shared" si="2"/>
        <v>5</v>
      </c>
      <c r="B6" s="107" t="s">
        <v>221</v>
      </c>
      <c r="C6" s="107" t="s">
        <v>222</v>
      </c>
      <c r="D6" s="107" t="s">
        <v>514</v>
      </c>
      <c r="E6" s="108" t="str">
        <f t="shared" si="0"/>
        <v>&lt;img src="https://i.ibb.co/YpHb18Z/N-POS-CERO.png" width="100"&gt;</v>
      </c>
      <c r="F6" s="107" cm="1">
        <f t="array" aca="1" ref="F6" ca="1">INDIRECT("A"&amp;ROW()+1)</f>
        <v>6</v>
      </c>
      <c r="G6" s="107" cm="1">
        <f t="array" aca="1" ref="G6" ca="1">INDIRECT("A"&amp;ROW()+2)</f>
        <v>7</v>
      </c>
      <c r="H6" s="107">
        <f t="shared" ca="1" si="1"/>
        <v>11</v>
      </c>
      <c r="I6" s="238" t="str" cm="1">
        <f t="array" aca="1" ref="I6" ca="1">" [[[{"&amp;'RESULTADOS - FTP'!$O$46&amp;":MCVS:"&amp;'RESULTADOS - FTP'!$P$3 &amp;   E6                         &amp;"#"&amp;Retro_MuyBien&amp;
                                      "~%"&amp;'RESULTADOS - FTP'!$R$46&amp;"%" &amp; INDIRECT("E"&amp; F6 + 1 )  &amp;"#"&amp;Retro_Mal&amp;
                                      "~%"&amp;'RESULTADOS - FTP'!$R$46&amp;"%" &amp; INDIRECT("E"&amp; G6 + 1 )  &amp;"#"&amp;Retro_Mal&amp;"}]]]"</f>
        <v xml:space="preserve"> [[[{3:MCVS:%100%&lt;img src="https://i.ibb.co/YpHb18Z/N-POS-CERO.png" width="100"&gt;#¡Muy bien!~%-33%&lt;img src="https://i.ibb.co/whnvvV9/N-CERO-NEG.png" width="100"&gt;#Incorrecto.~%-33%&lt;img src="https://i.ibb.co/sHX2y3G/N-CERO-POS.png" width="100"&gt;#Incorrecto.}]]]</v>
      </c>
      <c r="J6" s="293" t="e" vm="12">
        <v>#VALUE!</v>
      </c>
      <c r="K6" s="293" t="e" vm="13">
        <v>#VALUE!</v>
      </c>
      <c r="L6" s="293" t="e" vm="14">
        <v>#VALUE!</v>
      </c>
      <c r="M6" s="107" t="s">
        <v>665</v>
      </c>
    </row>
    <row r="7" spans="1:13" ht="33.450000000000003" customHeight="1" outlineLevel="1">
      <c r="A7">
        <f t="shared" si="2"/>
        <v>6</v>
      </c>
      <c r="B7" s="107" t="s">
        <v>223</v>
      </c>
      <c r="C7" s="107" t="s">
        <v>224</v>
      </c>
      <c r="D7" s="107" t="s">
        <v>519</v>
      </c>
      <c r="E7" s="108" t="str">
        <f t="shared" si="0"/>
        <v>&lt;img src="https://i.ibb.co/whnvvV9/N-CERO-NEG.png" width="100"&gt;</v>
      </c>
      <c r="F7" s="107" cm="1">
        <f t="array" aca="1" ref="F7" ca="1">INDIRECT("A"&amp;ROW()+1)</f>
        <v>7</v>
      </c>
      <c r="G7" s="107" cm="1">
        <f t="array" aca="1" ref="G7" ca="1">INDIRECT("A"&amp;ROW()-1)</f>
        <v>5</v>
      </c>
      <c r="H7" s="107">
        <f t="shared" ca="1" si="1"/>
        <v>12</v>
      </c>
      <c r="I7" s="238" t="str" cm="1">
        <f t="array" aca="1" ref="I7" ca="1">" [[[{"&amp;'RESULTADOS - FTP'!$O$46&amp;":MCVS:"&amp;'RESULTADOS - FTP'!$P$3 &amp;   E7                         &amp;"#"&amp;Retro_MuyBien&amp;
                                      "~%"&amp;'RESULTADOS - FTP'!$R$46&amp;"%" &amp; INDIRECT("E"&amp; F7 + 1 )  &amp;"#"&amp;Retro_Mal&amp;
                                      "~%"&amp;'RESULTADOS - FTP'!$R$46&amp;"%" &amp; INDIRECT("E"&amp; G7 + 1 )  &amp;"#"&amp;Retro_Mal&amp;"}]]]"</f>
        <v xml:space="preserve"> [[[{3:MCVS:%100%&lt;img src="https://i.ibb.co/whnvvV9/N-CERO-NEG.png" width="100"&gt;#¡Muy bien!~%-33%&lt;img src="https://i.ibb.co/sHX2y3G/N-CERO-POS.png" width="100"&gt;#Incorrecto.~%-33%&lt;img src="https://i.ibb.co/YpHb18Z/N-POS-CERO.png" width="100"&gt;#Incorrecto.}]]]</v>
      </c>
      <c r="J7" s="293" t="e" vm="15">
        <v>#VALUE!</v>
      </c>
      <c r="K7" s="293" t="e" vm="16">
        <v>#VALUE!</v>
      </c>
      <c r="L7" s="293" t="e" vm="17">
        <v>#VALUE!</v>
      </c>
      <c r="M7" s="107" t="s">
        <v>666</v>
      </c>
    </row>
    <row r="8" spans="1:13" ht="33.450000000000003" customHeight="1" outlineLevel="1">
      <c r="A8">
        <f t="shared" si="2"/>
        <v>7</v>
      </c>
      <c r="B8" s="107" t="s">
        <v>225</v>
      </c>
      <c r="C8" s="107" t="s">
        <v>226</v>
      </c>
      <c r="D8" s="107" t="s">
        <v>520</v>
      </c>
      <c r="E8" s="108" t="str">
        <f t="shared" si="0"/>
        <v>&lt;img src="https://i.ibb.co/sHX2y3G/N-CERO-POS.png" width="100"&gt;</v>
      </c>
      <c r="F8" s="107" cm="1">
        <f t="array" aca="1" ref="F8" ca="1">INDIRECT("A"&amp;ROW()+1)</f>
        <v>8</v>
      </c>
      <c r="G8" s="107" cm="1">
        <f t="array" aca="1" ref="G8" ca="1">INDIRECT("A"&amp;ROW()+2)</f>
        <v>9</v>
      </c>
      <c r="H8" s="107">
        <f t="shared" ca="1" si="1"/>
        <v>11</v>
      </c>
      <c r="I8" s="238" t="str" cm="1">
        <f t="array" aca="1" ref="I8" ca="1">" [[[{"&amp;'RESULTADOS - FTP'!$O$46&amp;":MCVS:"&amp;'RESULTADOS - FTP'!$P$3 &amp;   E8                         &amp;"#"&amp;Retro_MuyBien&amp;
                                      "~%"&amp;'RESULTADOS - FTP'!$R$46&amp;"%" &amp; INDIRECT("E"&amp; F8 + 1 )  &amp;"#"&amp;Retro_Mal&amp;
                                      "~%"&amp;'RESULTADOS - FTP'!$R$46&amp;"%" &amp; INDIRECT("E"&amp; G8 + 1 )  &amp;"#"&amp;Retro_Mal&amp;"}]]]"</f>
        <v xml:space="preserve"> [[[{3:MCVS:%100%&lt;img src="https://i.ibb.co/sHX2y3G/N-CERO-POS.png" width="100"&gt;#¡Muy bien!~%-33%&lt;img src="https://i.ibb.co/XsRwKrB/N-POS-NEG.png" width="100"&gt;#Incorrecto.~%-33%&lt;img src="https://i.ibb.co/yPGzDRH/N-NEG-POS.png" width="100"&gt;#Incorrecto.}]]]</v>
      </c>
      <c r="J8" s="293" t="e" vm="18">
        <v>#VALUE!</v>
      </c>
      <c r="K8" s="293" t="e" vm="19">
        <v>#VALUE!</v>
      </c>
      <c r="L8" s="293" t="e" vm="20">
        <v>#VALUE!</v>
      </c>
      <c r="M8" s="107" t="s">
        <v>667</v>
      </c>
    </row>
    <row r="9" spans="1:13" ht="33.450000000000003" customHeight="1" outlineLevel="1">
      <c r="A9">
        <f t="shared" si="2"/>
        <v>8</v>
      </c>
      <c r="B9" s="107" t="s">
        <v>227</v>
      </c>
      <c r="C9" s="107" t="s">
        <v>228</v>
      </c>
      <c r="D9" s="107" t="s">
        <v>515</v>
      </c>
      <c r="E9" s="108" t="str">
        <f t="shared" si="0"/>
        <v>&lt;img src="https://i.ibb.co/XsRwKrB/N-POS-NEG.png" width="100"&gt;</v>
      </c>
      <c r="F9" s="107" cm="1">
        <f t="array" aca="1" ref="F9" ca="1">INDIRECT("A"&amp;ROW()+1)</f>
        <v>9</v>
      </c>
      <c r="G9" s="107" cm="1">
        <f t="array" aca="1" ref="G9" ca="1">INDIRECT("A"&amp;ROW()-1)</f>
        <v>7</v>
      </c>
      <c r="H9" s="107">
        <f t="shared" ca="1" si="1"/>
        <v>12</v>
      </c>
      <c r="I9" s="238" t="str" cm="1">
        <f t="array" aca="1" ref="I9" ca="1">" [[[{"&amp;'RESULTADOS - FTP'!$O$46&amp;":MCVS:"&amp;'RESULTADOS - FTP'!$P$3 &amp;   E9                         &amp;"#"&amp;Retro_MuyBien&amp;
                                      "~%"&amp;'RESULTADOS - FTP'!$R$46&amp;"%" &amp; INDIRECT("E"&amp; F9 + 1 )  &amp;"#"&amp;Retro_Mal&amp;
                                      "~%"&amp;'RESULTADOS - FTP'!$R$46&amp;"%" &amp; INDIRECT("E"&amp; G9 + 1 )  &amp;"#"&amp;Retro_Mal&amp;"}]]]"</f>
        <v xml:space="preserve"> [[[{3:MCVS:%100%&lt;img src="https://i.ibb.co/XsRwKrB/N-POS-NEG.png" width="100"&gt;#¡Muy bien!~%-33%&lt;img src="https://i.ibb.co/yPGzDRH/N-NEG-POS.png" width="100"&gt;#Incorrecto.~%-33%&lt;img src="https://i.ibb.co/sHX2y3G/N-CERO-POS.png" width="100"&gt;#Incorrecto.}]]]</v>
      </c>
      <c r="J9" s="293" t="e" vm="21">
        <v>#VALUE!</v>
      </c>
      <c r="K9" s="293" t="e" vm="22">
        <v>#VALUE!</v>
      </c>
      <c r="L9" s="293" t="e" vm="23">
        <v>#VALUE!</v>
      </c>
      <c r="M9" s="107" t="s">
        <v>668</v>
      </c>
    </row>
    <row r="10" spans="1:13" ht="33.450000000000003" customHeight="1" outlineLevel="1">
      <c r="A10">
        <f t="shared" si="2"/>
        <v>9</v>
      </c>
      <c r="B10" s="107" t="s">
        <v>229</v>
      </c>
      <c r="C10" s="107" t="s">
        <v>230</v>
      </c>
      <c r="D10" s="107" t="s">
        <v>513</v>
      </c>
      <c r="E10" s="108" t="str">
        <f t="shared" si="0"/>
        <v>&lt;img src="https://i.ibb.co/yPGzDRH/N-NEG-POS.png" width="100"&gt;</v>
      </c>
      <c r="F10" s="107" cm="1">
        <f t="array" aca="1" ref="F10" ca="1">INDIRECT("A"&amp;ROW()+1)</f>
        <v>10</v>
      </c>
      <c r="G10" s="107" cm="1">
        <f t="array" aca="1" ref="G10" ca="1">INDIRECT("A"&amp;ROW()+2)</f>
        <v>11</v>
      </c>
      <c r="H10" s="107">
        <f t="shared" ca="1" si="1"/>
        <v>13</v>
      </c>
      <c r="I10" s="238" t="str" cm="1">
        <f t="array" aca="1" ref="I10" ca="1">" [[[{"&amp;'RESULTADOS - FTP'!$O$46&amp;":MCVS:"&amp;'RESULTADOS - FTP'!$P$3 &amp;   E10                         &amp;"#"&amp;Retro_MuyBien&amp;
                                      "~%"&amp;'RESULTADOS - FTP'!$R$46&amp;"%" &amp; INDIRECT("E"&amp; F10 + 1 )  &amp;"#"&amp;Retro_Mal&amp;
                                      "~%"&amp;'RESULTADOS - FTP'!$R$46&amp;"%" &amp; INDIRECT("E"&amp; G10 + 1 )  &amp;"#"&amp;Retro_Mal&amp;"}]]]"</f>
        <v xml:space="preserve"> [[[{3:MCVS:%100%&lt;img src="https://i.ibb.co/yPGzDRH/N-NEG-POS.png" width="100"&gt;#¡Muy bien!~%-33%&lt;img src="https://i.ibb.co/L9PQ0Df/N-POS-POS-MIN-MAX.png" width="100"&gt;#Incorrecto.~%-33%&lt;img src="https://i.ibb.co/zPVRJmJ/N-POS-POS-MAX-MIN.png" width="100"&gt;#Incorrecto.}]]]</v>
      </c>
      <c r="J10" s="293" t="e" vm="24">
        <v>#VALUE!</v>
      </c>
      <c r="K10" s="293" t="e" vm="25">
        <v>#VALUE!</v>
      </c>
      <c r="L10" s="293" t="e" vm="26">
        <v>#VALUE!</v>
      </c>
      <c r="M10" s="107" t="s">
        <v>669</v>
      </c>
    </row>
    <row r="11" spans="1:13" ht="33.450000000000003" customHeight="1" outlineLevel="1">
      <c r="A11">
        <f t="shared" si="2"/>
        <v>10</v>
      </c>
      <c r="B11" s="107" t="s">
        <v>231</v>
      </c>
      <c r="C11" s="107" t="s">
        <v>232</v>
      </c>
      <c r="D11" s="107" t="s">
        <v>517</v>
      </c>
      <c r="E11" s="108" t="str">
        <f t="shared" si="0"/>
        <v>&lt;img src="https://i.ibb.co/L9PQ0Df/N-POS-POS-MIN-MAX.png" width="100"&gt;</v>
      </c>
      <c r="F11" s="107" cm="1">
        <f t="array" aca="1" ref="F11" ca="1">INDIRECT("A"&amp;ROW()+1)</f>
        <v>11</v>
      </c>
      <c r="G11" s="107" cm="1">
        <f t="array" aca="1" ref="G11" ca="1">INDIRECT("A"&amp;ROW()-1)</f>
        <v>9</v>
      </c>
      <c r="H11" s="107">
        <f t="shared" ca="1" si="1"/>
        <v>13</v>
      </c>
      <c r="I11" s="238" t="str" cm="1">
        <f t="array" aca="1" ref="I11" ca="1">" [[[{"&amp;'RESULTADOS - FTP'!$O$46&amp;":MCVS:"&amp;'RESULTADOS - FTP'!$P$3 &amp;   E11                         &amp;"#"&amp;Retro_MuyBien&amp;
                                      "~%"&amp;'RESULTADOS - FTP'!$R$46&amp;"%" &amp; INDIRECT("E"&amp; F11 + 1 )  &amp;"#"&amp;Retro_Mal&amp;
                                      "~%"&amp;'RESULTADOS - FTP'!$R$46&amp;"%" &amp; INDIRECT("E"&amp; G11 + 1 )  &amp;"#"&amp;Retro_Mal&amp;"}]]]"</f>
        <v xml:space="preserve"> [[[{3:MCVS:%100%&lt;img src="https://i.ibb.co/L9PQ0Df/N-POS-POS-MIN-MAX.png" width="100"&gt;#¡Muy bien!~%-33%&lt;img src="https://i.ibb.co/zPVRJmJ/N-POS-POS-MAX-MIN.png" width="100"&gt;#Incorrecto.~%-33%&lt;img src="https://i.ibb.co/yPGzDRH/N-NEG-POS.png" width="100"&gt;#Incorrecto.}]]]</v>
      </c>
      <c r="J11" s="293" t="e" vm="27">
        <v>#VALUE!</v>
      </c>
      <c r="K11" s="293" t="e" vm="28">
        <v>#VALUE!</v>
      </c>
      <c r="L11" s="293" t="e" vm="29">
        <v>#VALUE!</v>
      </c>
      <c r="M11" s="107" t="s">
        <v>670</v>
      </c>
    </row>
    <row r="12" spans="1:13" ht="33.450000000000003" customHeight="1" outlineLevel="1">
      <c r="A12">
        <f t="shared" si="2"/>
        <v>11</v>
      </c>
      <c r="B12" s="107" t="s">
        <v>233</v>
      </c>
      <c r="C12" s="107" t="s">
        <v>234</v>
      </c>
      <c r="D12" s="107" t="s">
        <v>516</v>
      </c>
      <c r="E12" s="108" t="str">
        <f t="shared" si="0"/>
        <v>&lt;img src="https://i.ibb.co/zPVRJmJ/N-POS-POS-MAX-MIN.png" width="100"&gt;</v>
      </c>
      <c r="F12" s="107" cm="1">
        <f t="array" aca="1" ref="F12" ca="1">INDIRECT("A"&amp;ROW()+1)</f>
        <v>12</v>
      </c>
      <c r="G12" s="107" cm="1">
        <f t="array" aca="1" ref="G12" ca="1">INDIRECT("A"&amp;ROW()+2)</f>
        <v>13</v>
      </c>
      <c r="H12" s="106">
        <f ca="1">RANDBETWEEN($A$2,MIN(F12:G12)-1)</f>
        <v>2</v>
      </c>
      <c r="I12" s="238" t="str" cm="1">
        <f t="array" aca="1" ref="I12" ca="1">" [[[{"&amp;'RESULTADOS - FTP'!$O$46&amp;":MCVS:"&amp;'RESULTADOS - FTP'!$P$3 &amp;   E12                         &amp;"#"&amp;Retro_MuyBien&amp;
                                      "~%"&amp;'RESULTADOS - FTP'!$R$46&amp;"%" &amp; INDIRECT("E"&amp; F12 + 1 )  &amp;"#"&amp;Retro_Mal&amp;
                                      "~%"&amp;'RESULTADOS - FTP'!$R$46&amp;"%" &amp; INDIRECT("E"&amp; G12 + 1 )  &amp;"#"&amp;Retro_Mal&amp;"}]]]"</f>
        <v xml:space="preserve"> [[[{3:MCVS:%100%&lt;img src="https://i.ibb.co/zPVRJmJ/N-POS-POS-MAX-MIN.png" width="100"&gt;#¡Muy bien!~%-33%&lt;img src="https://i.ibb.co/kQWS7Qn/N-NEG-NEG-MIN-MAX.png" width="100"&gt;#Incorrecto.~%-33%&lt;img src="https://i.ibb.co/f8Ksgn8/N-NEG-NEG-MAX-MIN.png" width="100"&gt;#Incorrecto.}]]]</v>
      </c>
      <c r="J12" s="293" t="e" vm="30">
        <v>#VALUE!</v>
      </c>
      <c r="K12" s="293" t="e" vm="31">
        <v>#VALUE!</v>
      </c>
      <c r="L12" s="293" t="e" vm="32">
        <v>#VALUE!</v>
      </c>
      <c r="M12" s="107" t="s">
        <v>671</v>
      </c>
    </row>
    <row r="13" spans="1:13" ht="33.450000000000003" customHeight="1" outlineLevel="1">
      <c r="A13">
        <f t="shared" si="2"/>
        <v>12</v>
      </c>
      <c r="B13" s="107" t="s">
        <v>235</v>
      </c>
      <c r="C13" s="107" t="s">
        <v>236</v>
      </c>
      <c r="D13" s="107" t="s">
        <v>523</v>
      </c>
      <c r="E13" s="108" t="str">
        <f t="shared" si="0"/>
        <v>&lt;img src="https://i.ibb.co/kQWS7Qn/N-NEG-NEG-MIN-MAX.png" width="100"&gt;</v>
      </c>
      <c r="F13" s="107" cm="1">
        <f t="array" aca="1" ref="F13" ca="1">INDIRECT("A"&amp;ROW()+1)</f>
        <v>13</v>
      </c>
      <c r="G13" s="107" cm="1">
        <f t="array" aca="1" ref="G13" ca="1">INDIRECT("A"&amp;ROW()-1)</f>
        <v>11</v>
      </c>
      <c r="H13" s="106">
        <f ca="1">RANDBETWEEN($A$2,MIN(F13:G13)-1)</f>
        <v>1</v>
      </c>
      <c r="I13" s="238" t="str" cm="1">
        <f t="array" aca="1" ref="I13" ca="1">" [[[{"&amp;'RESULTADOS - FTP'!$O$46&amp;":MCVS:"&amp;'RESULTADOS - FTP'!$P$3 &amp;   E13                         &amp;"#"&amp;Retro_MuyBien&amp;
                                      "~%"&amp;'RESULTADOS - FTP'!$R$46&amp;"%" &amp; INDIRECT("E"&amp; F13 + 1 )  &amp;"#"&amp;Retro_Mal&amp;
                                      "~%"&amp;'RESULTADOS - FTP'!$R$46&amp;"%" &amp; INDIRECT("E"&amp; G13 + 1 )  &amp;"#"&amp;Retro_Mal&amp;"}]]]"</f>
        <v xml:space="preserve"> [[[{3:MCVS:%100%&lt;img src="https://i.ibb.co/kQWS7Qn/N-NEG-NEG-MIN-MAX.png" width="100"&gt;#¡Muy bien!~%-33%&lt;img src="https://i.ibb.co/f8Ksgn8/N-NEG-NEG-MAX-MIN.png" width="100"&gt;#Incorrecto.~%-33%&lt;img src="https://i.ibb.co/zPVRJmJ/N-POS-POS-MAX-MIN.png" width="100"&gt;#Incorrecto.}]]]</v>
      </c>
      <c r="J13" s="293" t="e" vm="33">
        <v>#VALUE!</v>
      </c>
      <c r="K13" s="293" t="e" vm="34">
        <v>#VALUE!</v>
      </c>
      <c r="L13" s="293" t="e" vm="35">
        <v>#VALUE!</v>
      </c>
      <c r="M13" s="107" t="s">
        <v>672</v>
      </c>
    </row>
    <row r="14" spans="1:13" ht="33.450000000000003" customHeight="1" outlineLevel="1">
      <c r="A14">
        <f t="shared" si="2"/>
        <v>13</v>
      </c>
      <c r="B14" s="107" t="s">
        <v>237</v>
      </c>
      <c r="C14" s="107" t="s">
        <v>238</v>
      </c>
      <c r="D14" s="107" t="s">
        <v>522</v>
      </c>
      <c r="E14" s="108" t="str">
        <f t="shared" si="0"/>
        <v>&lt;img src="https://i.ibb.co/f8Ksgn8/N-NEG-NEG-MAX-MIN.png" width="100"&gt;</v>
      </c>
      <c r="F14" s="107" cm="1">
        <f t="array" aca="1" ref="F14" ca="1">INDIRECT("A"&amp;ROW()-1)</f>
        <v>12</v>
      </c>
      <c r="G14" s="107" cm="1">
        <f t="array" aca="1" ref="G14" ca="1">INDIRECT("A"&amp;ROW()-2)</f>
        <v>11</v>
      </c>
      <c r="H14" s="106">
        <f ca="1">RANDBETWEEN($A$2,MIN(F14:G14)-1)</f>
        <v>6</v>
      </c>
      <c r="I14" s="238" t="str" cm="1">
        <f t="array" aca="1" ref="I14" ca="1">" [[[{"&amp;'RESULTADOS - FTP'!$O$46&amp;":MCVS:"&amp;'RESULTADOS - FTP'!$P$3 &amp;   E14                         &amp;"#"&amp;Retro_MuyBien&amp;
                                      "~%"&amp;'RESULTADOS - FTP'!$R$46&amp;"%" &amp; INDIRECT("E"&amp; F14 + 1 )  &amp;"#"&amp;Retro_Mal&amp;
                                      "~%"&amp;'RESULTADOS - FTP'!$R$46&amp;"%" &amp; INDIRECT("E"&amp; G14 + 1 )  &amp;"#"&amp;Retro_Mal&amp;"}]]]"</f>
        <v xml:space="preserve"> [[[{3:MCVS:%100%&lt;img src="https://i.ibb.co/f8Ksgn8/N-NEG-NEG-MAX-MIN.png" width="100"&gt;#¡Muy bien!~%-33%&lt;img src="https://i.ibb.co/kQWS7Qn/N-NEG-NEG-MIN-MAX.png" width="100"&gt;#Incorrecto.~%-33%&lt;img src="https://i.ibb.co/zPVRJmJ/N-POS-POS-MAX-MIN.png" width="100"&gt;#Incorrecto.}]]]</v>
      </c>
      <c r="J14" s="293" t="e" vm="36">
        <v>#VALUE!</v>
      </c>
      <c r="K14" s="293" t="e" vm="37">
        <v>#VALUE!</v>
      </c>
      <c r="L14" s="293" t="e" vm="38">
        <v>#VALUE!</v>
      </c>
      <c r="M14" s="107" t="s">
        <v>673</v>
      </c>
    </row>
    <row r="15" spans="1:13" ht="33.450000000000003" customHeight="1">
      <c r="A15">
        <f t="shared" si="2"/>
        <v>14</v>
      </c>
      <c r="B15" s="109" t="s">
        <v>239</v>
      </c>
      <c r="C15" s="110" t="str">
        <f>C2</f>
        <v>https://drive.google.com/file/d/1AhMUlPil7mc4DONpJ2DQApVa0VKPllzP/view?usp=share_link</v>
      </c>
      <c r="D15" s="111" t="s">
        <v>453</v>
      </c>
      <c r="E15" s="112" t="str">
        <f t="shared" si="0"/>
        <v>&lt;img src="https://i.ibb.co/5Y2G5Pk/CERO.png" width="100"&gt;</v>
      </c>
      <c r="F15" s="111" cm="1">
        <f t="array" aca="1" ref="F15" ca="1">INDIRECT("A"&amp;ROW()+1)</f>
        <v>15</v>
      </c>
      <c r="G15" s="111" cm="1">
        <f t="array" aca="1" ref="G15" ca="1">INDIRECT("A"&amp;ROW()+2)</f>
        <v>16</v>
      </c>
      <c r="H15" s="111">
        <f ca="1">RANDBETWEEN(MAX(F15:G15)+1,$A$27)</f>
        <v>18</v>
      </c>
      <c r="I15" s="238" t="str" cm="1">
        <f t="array" aca="1" ref="I15" ca="1">" [[[{"&amp;'RESULTADOS - FTP'!$O$49&amp;":MCVS:"&amp;'RESULTADOS - FTP'!$P$3 &amp;   E15                         &amp;"#"&amp;Retro_MuyBien&amp;
                                      "~%"&amp;'RESULTADOS - FTP'!$R$49&amp;"%" &amp; INDIRECT("E"&amp; F15 + 1 )  &amp;"#"&amp;Retro_Mal&amp;
                                      "~%"&amp;'RESULTADOS - FTP'!$R$49&amp;"%" &amp; INDIRECT("E"&amp; G15 + 1 )  &amp;"#"&amp;Retro_Mal&amp;"}]]]"</f>
        <v xml:space="preserve"> [[[{4:MCVS:%100%&lt;img src="https://i.ibb.co/5Y2G5Pk/CERO.png" width="100"&gt;#¡Muy bien!~%-33%&lt;img src="https://i.ibb.co/wLZgMcD/V-POS.png" width="100"&gt;#Incorrecto.~%-33%&lt;img src="https://i.ibb.co/VgcwKbw/V-NEG.png" width="100"&gt;#Incorrecto.}]]]</v>
      </c>
      <c r="J15" s="293" t="e" vm="1">
        <v>#VALUE!</v>
      </c>
      <c r="K15" s="293" t="e" vm="2">
        <v>#VALUE!</v>
      </c>
      <c r="L15" s="293" t="e" vm="2">
        <v>#VALUE!</v>
      </c>
      <c r="M15" s="109" t="s">
        <v>239</v>
      </c>
    </row>
    <row r="16" spans="1:13" ht="33.450000000000003" customHeight="1" outlineLevel="1">
      <c r="A16">
        <f t="shared" si="2"/>
        <v>15</v>
      </c>
      <c r="B16" s="111" t="s">
        <v>240</v>
      </c>
      <c r="C16" s="111" t="s">
        <v>241</v>
      </c>
      <c r="D16" s="111" t="s">
        <v>525</v>
      </c>
      <c r="E16" s="112" t="str">
        <f t="shared" si="0"/>
        <v>&lt;img src="https://i.ibb.co/wLZgMcD/V-POS.png" width="100"&gt;</v>
      </c>
      <c r="F16" s="111" cm="1">
        <f t="array" aca="1" ref="F16" ca="1">INDIRECT("A"&amp;ROW()+1)</f>
        <v>16</v>
      </c>
      <c r="G16" s="111" cm="1">
        <f t="array" aca="1" ref="G16" ca="1">INDIRECT("A"&amp;ROW()-1)</f>
        <v>14</v>
      </c>
      <c r="H16" s="111">
        <f t="shared" ref="H16:H23" ca="1" si="3">RANDBETWEEN(MAX(F16:G16)+1,$A$27)</f>
        <v>18</v>
      </c>
      <c r="I16" s="238" t="str" cm="1">
        <f t="array" aca="1" ref="I16" ca="1">" [[[{"&amp;'RESULTADOS - FTP'!$O$49&amp;":MCVS:"&amp;'RESULTADOS - FTP'!$P$3 &amp;   E16                         &amp;"#"&amp;Retro_MuyBien&amp;
                                      "~%"&amp;'RESULTADOS - FTP'!$R$49&amp;"%" &amp; INDIRECT("E"&amp; F16 + 1 )  &amp;"#"&amp;Retro_Mal&amp;
                                      "~%"&amp;'RESULTADOS - FTP'!$R$49&amp;"%" &amp; INDIRECT("E"&amp; G16 + 1 )  &amp;"#"&amp;Retro_Mal&amp;"}]]]"</f>
        <v xml:space="preserve"> [[[{4:MCVS:%100%&lt;img src="https://i.ibb.co/wLZgMcD/V-POS.png" width="100"&gt;#¡Muy bien!~%-33%&lt;img src="https://i.ibb.co/VgcwKbw/V-NEG.png" width="100"&gt;#Incorrecto.~%-33%&lt;img src="https://i.ibb.co/5Y2G5Pk/CERO.png" width="100"&gt;#Incorrecto.}]]]</v>
      </c>
      <c r="J16" s="293" t="e" vm="39">
        <v>#VALUE!</v>
      </c>
      <c r="K16" s="293" t="e" vm="40">
        <v>#VALUE!</v>
      </c>
      <c r="L16" s="293" t="e" vm="41">
        <v>#VALUE!</v>
      </c>
      <c r="M16" s="111" t="s">
        <v>240</v>
      </c>
    </row>
    <row r="17" spans="1:13" ht="33.450000000000003" customHeight="1" outlineLevel="1">
      <c r="A17">
        <f t="shared" si="2"/>
        <v>16</v>
      </c>
      <c r="B17" s="111" t="s">
        <v>242</v>
      </c>
      <c r="C17" s="111" t="s">
        <v>243</v>
      </c>
      <c r="D17" s="111" t="s">
        <v>532</v>
      </c>
      <c r="E17" s="112" t="str">
        <f t="shared" si="0"/>
        <v>&lt;img src="https://i.ibb.co/VgcwKbw/V-NEG.png" width="100"&gt;</v>
      </c>
      <c r="F17" s="111" cm="1">
        <f t="array" aca="1" ref="F17" ca="1">INDIRECT("A"&amp;ROW()+1)</f>
        <v>17</v>
      </c>
      <c r="G17" s="111" cm="1">
        <f t="array" aca="1" ref="G17" ca="1">INDIRECT("A"&amp;ROW()+2)</f>
        <v>18</v>
      </c>
      <c r="H17" s="111">
        <f t="shared" ca="1" si="3"/>
        <v>23</v>
      </c>
      <c r="I17" s="238" t="str" cm="1">
        <f t="array" aca="1" ref="I17" ca="1">" [[[{"&amp;'RESULTADOS - FTP'!$O$49&amp;":MCVS:"&amp;'RESULTADOS - FTP'!$P$3 &amp;   E17                         &amp;"#"&amp;Retro_MuyBien&amp;
                                      "~%"&amp;'RESULTADOS - FTP'!$R$49&amp;"%" &amp; INDIRECT("E"&amp; F17 + 1 )  &amp;"#"&amp;Retro_Mal&amp;
                                      "~%"&amp;'RESULTADOS - FTP'!$R$49&amp;"%" &amp; INDIRECT("E"&amp; G17 + 1 )  &amp;"#"&amp;Retro_Mal&amp;"}]]]"</f>
        <v xml:space="preserve"> [[[{4:MCVS:%100%&lt;img src="https://i.ibb.co/VgcwKbw/V-NEG.png" width="100"&gt;#¡Muy bien!~%-33%&lt;img src="https://i.ibb.co/wNSxZNY/V-POS-CERO.png" width="100"&gt;#Incorrecto.~%-33%&lt;img src="https://i.ibb.co/WKkfhY6/V-NEG-CERO.png" width="100"&gt;#Incorrecto.}]]]</v>
      </c>
      <c r="J17" s="293" t="e" vm="42">
        <v>#VALUE!</v>
      </c>
      <c r="K17" s="293" t="e" vm="43">
        <v>#VALUE!</v>
      </c>
      <c r="L17" s="293" t="e" vm="44">
        <v>#VALUE!</v>
      </c>
      <c r="M17" s="111" t="s">
        <v>242</v>
      </c>
    </row>
    <row r="18" spans="1:13" ht="33.450000000000003" customHeight="1" outlineLevel="1">
      <c r="A18">
        <f t="shared" si="2"/>
        <v>17</v>
      </c>
      <c r="B18" s="111" t="s">
        <v>244</v>
      </c>
      <c r="C18" s="111" t="s">
        <v>245</v>
      </c>
      <c r="D18" s="111" t="s">
        <v>533</v>
      </c>
      <c r="E18" s="112" t="str">
        <f t="shared" si="0"/>
        <v>&lt;img src="https://i.ibb.co/wNSxZNY/V-POS-CERO.png" width="100"&gt;</v>
      </c>
      <c r="F18" s="111" cm="1">
        <f t="array" aca="1" ref="F18" ca="1">INDIRECT("A"&amp;ROW()+1)</f>
        <v>18</v>
      </c>
      <c r="G18" s="111" cm="1">
        <f t="array" aca="1" ref="G18" ca="1">INDIRECT("A"&amp;ROW()-1)</f>
        <v>16</v>
      </c>
      <c r="H18" s="111">
        <f t="shared" ca="1" si="3"/>
        <v>21</v>
      </c>
      <c r="I18" s="238" t="str" cm="1">
        <f t="array" aca="1" ref="I18" ca="1">" [[[{"&amp;'RESULTADOS - FTP'!$O$49&amp;":MCVS:"&amp;'RESULTADOS - FTP'!$P$3 &amp;   E18                         &amp;"#"&amp;Retro_MuyBien&amp;
                                      "~%"&amp;'RESULTADOS - FTP'!$R$49&amp;"%" &amp; INDIRECT("E"&amp; F18 + 1 )  &amp;"#"&amp;Retro_Mal&amp;
                                      "~%"&amp;'RESULTADOS - FTP'!$R$49&amp;"%" &amp; INDIRECT("E"&amp; G18 + 1 )  &amp;"#"&amp;Retro_Mal&amp;"}]]]"</f>
        <v xml:space="preserve"> [[[{4:MCVS:%100%&lt;img src="https://i.ibb.co/wNSxZNY/V-POS-CERO.png" width="100"&gt;#¡Muy bien!~%-33%&lt;img src="https://i.ibb.co/WKkfhY6/V-NEG-CERO.png" width="100"&gt;#Incorrecto.~%-33%&lt;img src="https://i.ibb.co/VgcwKbw/V-NEG.png" width="100"&gt;#Incorrecto.}]]]</v>
      </c>
      <c r="J18" s="293" t="e" vm="45">
        <v>#VALUE!</v>
      </c>
      <c r="K18" s="293" t="e" vm="46">
        <v>#VALUE!</v>
      </c>
      <c r="L18" s="293" t="e" vm="47">
        <v>#VALUE!</v>
      </c>
      <c r="M18" s="111" t="s">
        <v>244</v>
      </c>
    </row>
    <row r="19" spans="1:13" ht="33.450000000000003" customHeight="1" outlineLevel="1">
      <c r="A19">
        <f t="shared" si="2"/>
        <v>18</v>
      </c>
      <c r="B19" s="111" t="s">
        <v>246</v>
      </c>
      <c r="C19" s="111" t="s">
        <v>247</v>
      </c>
      <c r="D19" s="111" t="s">
        <v>528</v>
      </c>
      <c r="E19" s="112" t="str">
        <f t="shared" si="0"/>
        <v>&lt;img src="https://i.ibb.co/WKkfhY6/V-NEG-CERO.png" width="100"&gt;</v>
      </c>
      <c r="F19" s="111" cm="1">
        <f t="array" aca="1" ref="F19" ca="1">INDIRECT("A"&amp;ROW()+1)</f>
        <v>19</v>
      </c>
      <c r="G19" s="111" cm="1">
        <f t="array" aca="1" ref="G19" ca="1">INDIRECT("A"&amp;ROW()+2)</f>
        <v>20</v>
      </c>
      <c r="H19" s="111">
        <f t="shared" ca="1" si="3"/>
        <v>26</v>
      </c>
      <c r="I19" s="238" t="str" cm="1">
        <f t="array" aca="1" ref="I19" ca="1">" [[[{"&amp;'RESULTADOS - FTP'!$O$49&amp;":MCVS:"&amp;'RESULTADOS - FTP'!$P$3 &amp;   E19                         &amp;"#"&amp;Retro_MuyBien&amp;
                                      "~%"&amp;'RESULTADOS - FTP'!$R$49&amp;"%" &amp; INDIRECT("E"&amp; F19 + 1 )  &amp;"#"&amp;Retro_Mal&amp;
                                      "~%"&amp;'RESULTADOS - FTP'!$R$49&amp;"%" &amp; INDIRECT("E"&amp; G19 + 1 )  &amp;"#"&amp;Retro_Mal&amp;"}]]]"</f>
        <v xml:space="preserve"> [[[{4:MCVS:%100%&lt;img src="https://i.ibb.co/WKkfhY6/V-NEG-CERO.png" width="100"&gt;#¡Muy bien!~%-33%&lt;img src="https://i.ibb.co/zS7pRGc/V-CERO-POS.png" width="100"&gt;#Incorrecto.~%-33%&lt;img src="https://i.ibb.co/wBwPwJ5/V-CERO-NEG.png" width="100"&gt;#Incorrecto.}]]]</v>
      </c>
      <c r="J19" s="293" t="e" vm="48">
        <v>#VALUE!</v>
      </c>
      <c r="K19" s="293" t="e" vm="49">
        <v>#VALUE!</v>
      </c>
      <c r="L19" s="293" t="e" vm="50">
        <v>#VALUE!</v>
      </c>
      <c r="M19" s="111" t="s">
        <v>246</v>
      </c>
    </row>
    <row r="20" spans="1:13" ht="33.450000000000003" customHeight="1" outlineLevel="1">
      <c r="A20">
        <f t="shared" si="2"/>
        <v>19</v>
      </c>
      <c r="B20" s="111" t="s">
        <v>248</v>
      </c>
      <c r="C20" s="111" t="s">
        <v>249</v>
      </c>
      <c r="D20" s="111" t="s">
        <v>527</v>
      </c>
      <c r="E20" s="112" t="str">
        <f t="shared" si="0"/>
        <v>&lt;img src="https://i.ibb.co/zS7pRGc/V-CERO-POS.png" width="100"&gt;</v>
      </c>
      <c r="F20" s="111" cm="1">
        <f t="array" aca="1" ref="F20" ca="1">INDIRECT("A"&amp;ROW()+1)</f>
        <v>20</v>
      </c>
      <c r="G20" s="111" cm="1">
        <f t="array" aca="1" ref="G20" ca="1">INDIRECT("A"&amp;ROW()-1)</f>
        <v>18</v>
      </c>
      <c r="H20" s="111">
        <f t="shared" ca="1" si="3"/>
        <v>23</v>
      </c>
      <c r="I20" s="238" t="str" cm="1">
        <f t="array" aca="1" ref="I20" ca="1">" [[[{"&amp;'RESULTADOS - FTP'!$O$49&amp;":MCVS:"&amp;'RESULTADOS - FTP'!$P$3 &amp;   E20                         &amp;"#"&amp;Retro_MuyBien&amp;
                                      "~%"&amp;'RESULTADOS - FTP'!$R$49&amp;"%" &amp; INDIRECT("E"&amp; F20 + 1 )  &amp;"#"&amp;Retro_Mal&amp;
                                      "~%"&amp;'RESULTADOS - FTP'!$R$49&amp;"%" &amp; INDIRECT("E"&amp; G20 + 1 )  &amp;"#"&amp;Retro_Mal&amp;"}]]]"</f>
        <v xml:space="preserve"> [[[{4:MCVS:%100%&lt;img src="https://i.ibb.co/zS7pRGc/V-CERO-POS.png" width="100"&gt;#¡Muy bien!~%-33%&lt;img src="https://i.ibb.co/wBwPwJ5/V-CERO-NEG.png" width="100"&gt;#Incorrecto.~%-33%&lt;img src="https://i.ibb.co/WKkfhY6/V-NEG-CERO.png" width="100"&gt;#Incorrecto.}]]]</v>
      </c>
      <c r="J20" s="293" t="e" vm="51">
        <v>#VALUE!</v>
      </c>
      <c r="K20" s="293" t="e" vm="52">
        <v>#VALUE!</v>
      </c>
      <c r="L20" s="293" t="e" vm="53">
        <v>#VALUE!</v>
      </c>
      <c r="M20" s="111" t="s">
        <v>248</v>
      </c>
    </row>
    <row r="21" spans="1:13" ht="33.450000000000003" customHeight="1" outlineLevel="1">
      <c r="A21">
        <f t="shared" si="2"/>
        <v>20</v>
      </c>
      <c r="B21" s="111" t="s">
        <v>250</v>
      </c>
      <c r="C21" s="111" t="s">
        <v>251</v>
      </c>
      <c r="D21" s="111" t="s">
        <v>526</v>
      </c>
      <c r="E21" s="112" t="str">
        <f t="shared" si="0"/>
        <v>&lt;img src="https://i.ibb.co/wBwPwJ5/V-CERO-NEG.png" width="100"&gt;</v>
      </c>
      <c r="F21" s="111" cm="1">
        <f t="array" aca="1" ref="F21" ca="1">INDIRECT("A"&amp;ROW()+1)</f>
        <v>21</v>
      </c>
      <c r="G21" s="111" cm="1">
        <f t="array" aca="1" ref="G21" ca="1">INDIRECT("A"&amp;ROW()+2)</f>
        <v>22</v>
      </c>
      <c r="H21" s="111">
        <f t="shared" ca="1" si="3"/>
        <v>26</v>
      </c>
      <c r="I21" s="238" t="str" cm="1">
        <f t="array" aca="1" ref="I21" ca="1">" [[[{"&amp;'RESULTADOS - FTP'!$O$49&amp;":MCVS:"&amp;'RESULTADOS - FTP'!$P$3 &amp;   E21                         &amp;"#"&amp;Retro_MuyBien&amp;
                                      "~%"&amp;'RESULTADOS - FTP'!$R$49&amp;"%" &amp; INDIRECT("E"&amp; F21 + 1 )  &amp;"#"&amp;Retro_Mal&amp;
                                      "~%"&amp;'RESULTADOS - FTP'!$R$49&amp;"%" &amp; INDIRECT("E"&amp; G21 + 1 )  &amp;"#"&amp;Retro_Mal&amp;"}]]]"</f>
        <v xml:space="preserve"> [[[{4:MCVS:%100%&lt;img src="https://i.ibb.co/wBwPwJ5/V-CERO-NEG.png" width="100"&gt;#¡Muy bien!~%-33%&lt;img src="https://i.ibb.co/grTPMXJ/V-POS-MAX-MIN.png" width="100"&gt;#Incorrecto.~%-33%&lt;img src="https://i.ibb.co/NrdgBMx/V-NEG-MAX-MIN.png" width="100"&gt;#Incorrecto.}]]]</v>
      </c>
      <c r="J21" s="293" t="e" vm="54">
        <v>#VALUE!</v>
      </c>
      <c r="K21" s="293" t="e" vm="55">
        <v>#VALUE!</v>
      </c>
      <c r="L21" s="293" t="e" vm="56">
        <v>#VALUE!</v>
      </c>
      <c r="M21" s="111" t="s">
        <v>250</v>
      </c>
    </row>
    <row r="22" spans="1:13" ht="33.450000000000003" customHeight="1" outlineLevel="1">
      <c r="A22">
        <f t="shared" si="2"/>
        <v>21</v>
      </c>
      <c r="B22" s="111" t="s">
        <v>252</v>
      </c>
      <c r="C22" s="111" t="s">
        <v>253</v>
      </c>
      <c r="D22" s="111" t="s">
        <v>534</v>
      </c>
      <c r="E22" s="112" t="str">
        <f t="shared" si="0"/>
        <v>&lt;img src="https://i.ibb.co/grTPMXJ/V-POS-MAX-MIN.png" width="100"&gt;</v>
      </c>
      <c r="F22" s="111" cm="1">
        <f t="array" aca="1" ref="F22" ca="1">INDIRECT("A"&amp;ROW()+1)</f>
        <v>22</v>
      </c>
      <c r="G22" s="111" cm="1">
        <f t="array" aca="1" ref="G22" ca="1">INDIRECT("A"&amp;ROW()-1)</f>
        <v>20</v>
      </c>
      <c r="H22" s="111">
        <f t="shared" ca="1" si="3"/>
        <v>23</v>
      </c>
      <c r="I22" s="238" t="str" cm="1">
        <f t="array" aca="1" ref="I22" ca="1">" [[[{"&amp;'RESULTADOS - FTP'!$O$49&amp;":MCVS:"&amp;'RESULTADOS - FTP'!$P$3 &amp;   E22                         &amp;"#"&amp;Retro_MuyBien&amp;
                                      "~%"&amp;'RESULTADOS - FTP'!$R$49&amp;"%" &amp; INDIRECT("E"&amp; F22 + 1 )  &amp;"#"&amp;Retro_Mal&amp;
                                      "~%"&amp;'RESULTADOS - FTP'!$R$49&amp;"%" &amp; INDIRECT("E"&amp; G22 + 1 )  &amp;"#"&amp;Retro_Mal&amp;"}]]]"</f>
        <v xml:space="preserve"> [[[{4:MCVS:%100%&lt;img src="https://i.ibb.co/grTPMXJ/V-POS-MAX-MIN.png" width="100"&gt;#¡Muy bien!~%-33%&lt;img src="https://i.ibb.co/NrdgBMx/V-NEG-MAX-MIN.png" width="100"&gt;#Incorrecto.~%-33%&lt;img src="https://i.ibb.co/wBwPwJ5/V-CERO-NEG.png" width="100"&gt;#Incorrecto.}]]]</v>
      </c>
      <c r="J22" s="293" t="e" vm="57">
        <v>#VALUE!</v>
      </c>
      <c r="K22" s="293" t="e" vm="58">
        <v>#VALUE!</v>
      </c>
      <c r="L22" s="293" t="e" vm="59">
        <v>#VALUE!</v>
      </c>
      <c r="M22" s="111" t="s">
        <v>252</v>
      </c>
    </row>
    <row r="23" spans="1:13" ht="33.450000000000003" customHeight="1" outlineLevel="1">
      <c r="A23">
        <f t="shared" si="2"/>
        <v>22</v>
      </c>
      <c r="B23" s="111" t="s">
        <v>254</v>
      </c>
      <c r="C23" s="111" t="s">
        <v>255</v>
      </c>
      <c r="D23" s="111" t="s">
        <v>529</v>
      </c>
      <c r="E23" s="112" t="str">
        <f t="shared" si="0"/>
        <v>&lt;img src="https://i.ibb.co/NrdgBMx/V-NEG-MAX-MIN.png" width="100"&gt;</v>
      </c>
      <c r="F23" s="111" cm="1">
        <f t="array" aca="1" ref="F23" ca="1">INDIRECT("A"&amp;ROW()+1)</f>
        <v>23</v>
      </c>
      <c r="G23" s="111" cm="1">
        <f t="array" aca="1" ref="G23" ca="1">INDIRECT("A"&amp;ROW()+2)</f>
        <v>24</v>
      </c>
      <c r="H23" s="111">
        <f t="shared" ca="1" si="3"/>
        <v>26</v>
      </c>
      <c r="I23" s="238" t="str" cm="1">
        <f t="array" aca="1" ref="I23" ca="1">" [[[{"&amp;'RESULTADOS - FTP'!$O$49&amp;":MCVS:"&amp;'RESULTADOS - FTP'!$P$3 &amp;   E23                         &amp;"#"&amp;Retro_MuyBien&amp;
                                      "~%"&amp;'RESULTADOS - FTP'!$R$49&amp;"%" &amp; INDIRECT("E"&amp; F23 + 1 )  &amp;"#"&amp;Retro_Mal&amp;
                                      "~%"&amp;'RESULTADOS - FTP'!$R$49&amp;"%" &amp; INDIRECT("E"&amp; G23 + 1 )  &amp;"#"&amp;Retro_Mal&amp;"}]]]"</f>
        <v xml:space="preserve"> [[[{4:MCVS:%100%&lt;img src="https://i.ibb.co/NrdgBMx/V-NEG-MAX-MIN.png" width="100"&gt;#¡Muy bien!~%-33%&lt;img src="https://i.ibb.co/3RHbcLC/V-POS-MIN-MAX.png" width="100"&gt;#Incorrecto.~%-33%&lt;img src="https://i.ibb.co/TKSMTpQ/V-NEG-MIN-MAX.png" width="100"&gt;#Incorrecto.}]]]</v>
      </c>
      <c r="J23" s="293" t="e" vm="60">
        <v>#VALUE!</v>
      </c>
      <c r="K23" s="293" t="e" vm="61">
        <v>#VALUE!</v>
      </c>
      <c r="L23" s="293" t="e" vm="62">
        <v>#VALUE!</v>
      </c>
      <c r="M23" s="111" t="s">
        <v>254</v>
      </c>
    </row>
    <row r="24" spans="1:13" ht="33.450000000000003" customHeight="1" outlineLevel="1">
      <c r="A24">
        <f t="shared" si="2"/>
        <v>23</v>
      </c>
      <c r="B24" s="111" t="s">
        <v>256</v>
      </c>
      <c r="C24" s="111" t="s">
        <v>257</v>
      </c>
      <c r="D24" s="111" t="s">
        <v>535</v>
      </c>
      <c r="E24" s="112" t="str">
        <f t="shared" si="0"/>
        <v>&lt;img src="https://i.ibb.co/3RHbcLC/V-POS-MIN-MAX.png" width="100"&gt;</v>
      </c>
      <c r="F24" s="111" cm="1">
        <f t="array" aca="1" ref="F24" ca="1">INDIRECT("A"&amp;ROW()+1)</f>
        <v>24</v>
      </c>
      <c r="G24" s="111" cm="1">
        <f t="array" aca="1" ref="G24" ca="1">INDIRECT("A"&amp;ROW()-1)</f>
        <v>22</v>
      </c>
      <c r="H24" s="109">
        <f ca="1">RANDBETWEEN($A$15,MIN(F24:G24)-1)</f>
        <v>15</v>
      </c>
      <c r="I24" s="238" t="str" cm="1">
        <f t="array" aca="1" ref="I24" ca="1">" [[[{"&amp;'RESULTADOS - FTP'!$O$49&amp;":MCVS:"&amp;'RESULTADOS - FTP'!$P$3 &amp;   E24                         &amp;"#"&amp;Retro_MuyBien&amp;
                                      "~%"&amp;'RESULTADOS - FTP'!$R$49&amp;"%" &amp; INDIRECT("E"&amp; F24 + 1 )  &amp;"#"&amp;Retro_Mal&amp;
                                      "~%"&amp;'RESULTADOS - FTP'!$R$49&amp;"%" &amp; INDIRECT("E"&amp; G24 + 1 )  &amp;"#"&amp;Retro_Mal&amp;"}]]]"</f>
        <v xml:space="preserve"> [[[{4:MCVS:%100%&lt;img src="https://i.ibb.co/3RHbcLC/V-POS-MIN-MAX.png" width="100"&gt;#¡Muy bien!~%-33%&lt;img src="https://i.ibb.co/TKSMTpQ/V-NEG-MIN-MAX.png" width="100"&gt;#Incorrecto.~%-33%&lt;img src="https://i.ibb.co/NrdgBMx/V-NEG-MAX-MIN.png" width="100"&gt;#Incorrecto.}]]]</v>
      </c>
      <c r="J24" s="293" t="e" vm="63">
        <v>#VALUE!</v>
      </c>
      <c r="K24" s="293" t="e" vm="64">
        <v>#VALUE!</v>
      </c>
      <c r="L24" s="293" t="e" vm="65">
        <v>#VALUE!</v>
      </c>
      <c r="M24" s="111" t="s">
        <v>256</v>
      </c>
    </row>
    <row r="25" spans="1:13" ht="33.450000000000003" customHeight="1" outlineLevel="1">
      <c r="A25">
        <f t="shared" si="2"/>
        <v>24</v>
      </c>
      <c r="B25" s="111" t="s">
        <v>258</v>
      </c>
      <c r="C25" s="111" t="s">
        <v>259</v>
      </c>
      <c r="D25" s="111" t="s">
        <v>530</v>
      </c>
      <c r="E25" s="112" t="str">
        <f t="shared" si="0"/>
        <v>&lt;img src="https://i.ibb.co/TKSMTpQ/V-NEG-MIN-MAX.png" width="100"&gt;</v>
      </c>
      <c r="F25" s="111" cm="1">
        <f t="array" aca="1" ref="F25" ca="1">INDIRECT("A"&amp;ROW()+1)</f>
        <v>25</v>
      </c>
      <c r="G25" s="111" cm="1">
        <f t="array" aca="1" ref="G25" ca="1">INDIRECT("A"&amp;ROW()+2)</f>
        <v>26</v>
      </c>
      <c r="H25" s="109">
        <f ca="1">RANDBETWEEN($A$15,MIN(F25:G25)-1)</f>
        <v>20</v>
      </c>
      <c r="I25" s="238" t="str" cm="1">
        <f t="array" aca="1" ref="I25" ca="1">" [[[{"&amp;'RESULTADOS - FTP'!$O$49&amp;":MCVS:"&amp;'RESULTADOS - FTP'!$P$3 &amp;   E25                         &amp;"#"&amp;Retro_MuyBien&amp;
                                      "~%"&amp;'RESULTADOS - FTP'!$R$49&amp;"%" &amp; INDIRECT("E"&amp; F25 + 1 )  &amp;"#"&amp;Retro_Mal&amp;
                                      "~%"&amp;'RESULTADOS - FTP'!$R$49&amp;"%" &amp; INDIRECT("E"&amp; G25 + 1 )  &amp;"#"&amp;Retro_Mal&amp;"}]]]"</f>
        <v xml:space="preserve"> [[[{4:MCVS:%100%&lt;img src="https://i.ibb.co/TKSMTpQ/V-NEG-MIN-MAX.png" width="100"&gt;#¡Muy bien!~%-33%&lt;img src="https://i.ibb.co/pjCfrz4/V-POS-NEG.png" width="100"&gt;#Incorrecto.~%-33%&lt;img src="https://i.ibb.co/09Pn501/V-NEG-POS.png" width="100"&gt;#Incorrecto.}]]]</v>
      </c>
      <c r="J25" s="293" t="e" vm="66">
        <v>#VALUE!</v>
      </c>
      <c r="K25" s="293" t="e" vm="67">
        <v>#VALUE!</v>
      </c>
      <c r="L25" s="293" t="e" vm="68">
        <v>#VALUE!</v>
      </c>
      <c r="M25" s="111" t="s">
        <v>258</v>
      </c>
    </row>
    <row r="26" spans="1:13" ht="33.450000000000003" customHeight="1" outlineLevel="1">
      <c r="A26">
        <f t="shared" si="2"/>
        <v>25</v>
      </c>
      <c r="B26" s="111" t="s">
        <v>260</v>
      </c>
      <c r="C26" s="111" t="s">
        <v>261</v>
      </c>
      <c r="D26" s="111" t="s">
        <v>524</v>
      </c>
      <c r="E26" s="112" t="str">
        <f t="shared" si="0"/>
        <v>&lt;img src="https://i.ibb.co/pjCfrz4/V-POS-NEG.png" width="100"&gt;</v>
      </c>
      <c r="F26" s="111" cm="1">
        <f t="array" aca="1" ref="F26" ca="1">INDIRECT("A"&amp;ROW()+1)</f>
        <v>26</v>
      </c>
      <c r="G26" s="111" cm="1">
        <f t="array" aca="1" ref="G26" ca="1">INDIRECT("A"&amp;ROW()-1)</f>
        <v>24</v>
      </c>
      <c r="H26" s="109">
        <f ca="1">RANDBETWEEN($A$15,MIN(F26:G26)-1)</f>
        <v>14</v>
      </c>
      <c r="I26" s="238" t="str" cm="1">
        <f t="array" aca="1" ref="I26" ca="1">" [[[{"&amp;'RESULTADOS - FTP'!$O$49&amp;":MCVS:"&amp;'RESULTADOS - FTP'!$P$3 &amp;   E26                         &amp;"#"&amp;Retro_MuyBien&amp;
                                      "~%"&amp;'RESULTADOS - FTP'!$R$49&amp;"%" &amp; INDIRECT("E"&amp; F26 + 1 )  &amp;"#"&amp;Retro_Mal&amp;
                                      "~%"&amp;'RESULTADOS - FTP'!$R$49&amp;"%" &amp; INDIRECT("E"&amp; G26 + 1 )  &amp;"#"&amp;Retro_Mal&amp;"}]]]"</f>
        <v xml:space="preserve"> [[[{4:MCVS:%100%&lt;img src="https://i.ibb.co/pjCfrz4/V-POS-NEG.png" width="100"&gt;#¡Muy bien!~%-33%&lt;img src="https://i.ibb.co/09Pn501/V-NEG-POS.png" width="100"&gt;#Incorrecto.~%-33%&lt;img src="https://i.ibb.co/TKSMTpQ/V-NEG-MIN-MAX.png" width="100"&gt;#Incorrecto.}]]]</v>
      </c>
      <c r="J26" s="293" t="e" vm="69">
        <v>#VALUE!</v>
      </c>
      <c r="K26" s="293" t="e" vm="70">
        <v>#VALUE!</v>
      </c>
      <c r="L26" s="293" t="e" vm="71">
        <v>#VALUE!</v>
      </c>
      <c r="M26" s="111" t="s">
        <v>260</v>
      </c>
    </row>
    <row r="27" spans="1:13" ht="33.450000000000003" customHeight="1" outlineLevel="1">
      <c r="A27">
        <f t="shared" si="2"/>
        <v>26</v>
      </c>
      <c r="B27" s="111" t="s">
        <v>262</v>
      </c>
      <c r="C27" s="111" t="s">
        <v>263</v>
      </c>
      <c r="D27" s="111" t="s">
        <v>531</v>
      </c>
      <c r="E27" s="112" t="str">
        <f t="shared" si="0"/>
        <v>&lt;img src="https://i.ibb.co/09Pn501/V-NEG-POS.png" width="100"&gt;</v>
      </c>
      <c r="F27" s="111" cm="1">
        <f t="array" aca="1" ref="F27" ca="1">INDIRECT("A"&amp;ROW()-1)</f>
        <v>25</v>
      </c>
      <c r="G27" s="111" cm="1">
        <f t="array" aca="1" ref="G27" ca="1">INDIRECT("A"&amp;ROW()-2)</f>
        <v>24</v>
      </c>
      <c r="H27" s="109">
        <f ca="1">RANDBETWEEN($A$15,MIN(F27:G27)-1)</f>
        <v>23</v>
      </c>
      <c r="I27" s="238" t="str" cm="1">
        <f t="array" aca="1" ref="I27" ca="1">" [[[{"&amp;'RESULTADOS - FTP'!$O$49&amp;":MCVS:"&amp;'RESULTADOS - FTP'!$P$3 &amp;   E27                         &amp;"#"&amp;Retro_MuyBien&amp;
                                      "~%"&amp;'RESULTADOS - FTP'!$R$49&amp;"%" &amp; INDIRECT("E"&amp; F27 + 1 )  &amp;"#"&amp;Retro_Mal&amp;
                                      "~%"&amp;'RESULTADOS - FTP'!$R$49&amp;"%" &amp; INDIRECT("E"&amp; G27 + 1 )  &amp;"#"&amp;Retro_Mal&amp;"}]]]"</f>
        <v xml:space="preserve"> [[[{4:MCVS:%100%&lt;img src="https://i.ibb.co/09Pn501/V-NEG-POS.png" width="100"&gt;#¡Muy bien!~%-33%&lt;img src="https://i.ibb.co/pjCfrz4/V-POS-NEG.png" width="100"&gt;#Incorrecto.~%-33%&lt;img src="https://i.ibb.co/TKSMTpQ/V-NEG-MIN-MAX.png" width="100"&gt;#Incorrecto.}]]]</v>
      </c>
      <c r="J27" s="293" t="e" vm="72">
        <v>#VALUE!</v>
      </c>
      <c r="K27" s="293" t="e" vm="73">
        <v>#VALUE!</v>
      </c>
      <c r="L27" s="293" t="e" vm="74">
        <v>#VALUE!</v>
      </c>
      <c r="M27" s="111" t="s">
        <v>262</v>
      </c>
    </row>
    <row r="28" spans="1:13" ht="33.450000000000003" customHeight="1">
      <c r="A28">
        <f t="shared" si="2"/>
        <v>27</v>
      </c>
      <c r="B28" s="113" t="s">
        <v>264</v>
      </c>
      <c r="C28" s="110" t="s">
        <v>214</v>
      </c>
      <c r="D28" s="114" t="s">
        <v>453</v>
      </c>
      <c r="E28" s="115" t="str">
        <f t="shared" si="0"/>
        <v>&lt;img src="https://i.ibb.co/5Y2G5Pk/CERO.png" width="100"&gt;</v>
      </c>
      <c r="F28" s="114" cm="1">
        <f t="array" aca="1" ref="F28" ca="1">INDIRECT("A"&amp;ROW()+1)</f>
        <v>28</v>
      </c>
      <c r="G28" s="114" cm="1">
        <f t="array" aca="1" ref="G28" ca="1">INDIRECT("A"&amp;ROW()+2)</f>
        <v>29</v>
      </c>
      <c r="H28" s="114">
        <f ca="1">RANDBETWEEN(MAX(F28:G28)+1,$A$40)</f>
        <v>32</v>
      </c>
      <c r="I28" s="238" t="str" cm="1">
        <f t="array" aca="1" ref="I28" ca="1">" [[[{"&amp;'RESULTADOS - FTP'!$O$52&amp;":MCVS:"&amp;'RESULTADOS - FTP'!$P$3 &amp;   E28                         &amp;"#"&amp;Retro_MuyBien&amp;
                                      "~%"&amp;'RESULTADOS - FTP'!$R$52&amp;"%" &amp; INDIRECT("E"&amp; F28 + 1 )  &amp;"#"&amp;Retro_Mal&amp;
                                      "~%"&amp;'RESULTADOS - FTP'!$R$52&amp;"%" &amp; INDIRECT("E"&amp; G28 + 1 )  &amp;"#"&amp;Retro_Mal&amp;"}]]]"</f>
        <v xml:space="preserve"> [[[{6:MCVS:%100%&lt;img src="https://i.ibb.co/5Y2G5Pk/CERO.png" width="100"&gt;#¡Muy bien!~%-33%&lt;img src="https://i.ibb.co/cQKt0J8/M-POS-POS.png" width="100"&gt;#Incorrecto.~%-33%&lt;img src="https://i.ibb.co/r775CPs/M-NEG-NEG.png" width="100"&gt;#Incorrecto.}]]]</v>
      </c>
      <c r="J28" s="293" t="e" vm="1">
        <v>#VALUE!</v>
      </c>
      <c r="K28" s="293" t="e" vm="2">
        <v>#VALUE!</v>
      </c>
      <c r="L28" s="293" t="e" vm="2">
        <v>#VALUE!</v>
      </c>
      <c r="M28" s="113" t="s">
        <v>264</v>
      </c>
    </row>
    <row r="29" spans="1:13" ht="33.450000000000003" customHeight="1" outlineLevel="1">
      <c r="A29">
        <f t="shared" si="2"/>
        <v>28</v>
      </c>
      <c r="B29" s="114" t="s">
        <v>265</v>
      </c>
      <c r="C29" s="114" t="s">
        <v>266</v>
      </c>
      <c r="D29" s="114" t="s">
        <v>466</v>
      </c>
      <c r="E29" s="115" t="str">
        <f t="shared" si="0"/>
        <v>&lt;img src="https://i.ibb.co/cQKt0J8/M-POS-POS.png" width="100"&gt;</v>
      </c>
      <c r="F29" s="114" cm="1">
        <f t="array" aca="1" ref="F29" ca="1">INDIRECT("A"&amp;ROW()+1)</f>
        <v>29</v>
      </c>
      <c r="G29" s="114" cm="1">
        <f t="array" aca="1" ref="G29" ca="1">INDIRECT("A"&amp;ROW()-1)</f>
        <v>27</v>
      </c>
      <c r="H29" s="114">
        <f t="shared" ref="H29:H36" ca="1" si="4">RANDBETWEEN(MAX(F29:G29)+1,$A$40)</f>
        <v>31</v>
      </c>
      <c r="I29" s="238" t="str" cm="1">
        <f t="array" aca="1" ref="I29" ca="1">" [[[{"&amp;'RESULTADOS - FTP'!$O$52&amp;":MCVS:"&amp;'RESULTADOS - FTP'!$P$3 &amp;   E29                         &amp;"#"&amp;Retro_MuyBien&amp;
                                      "~%"&amp;'RESULTADOS - FTP'!$R$52&amp;"%" &amp; INDIRECT("E"&amp; F29 + 1 )  &amp;"#"&amp;Retro_Mal&amp;
                                      "~%"&amp;'RESULTADOS - FTP'!$R$52&amp;"%" &amp; INDIRECT("E"&amp; G29 + 1 )  &amp;"#"&amp;Retro_Mal&amp;"}]]]"</f>
        <v xml:space="preserve"> [[[{6:MCVS:%100%&lt;img src="https://i.ibb.co/cQKt0J8/M-POS-POS.png" width="100"&gt;#¡Muy bien!~%-33%&lt;img src="https://i.ibb.co/r775CPs/M-NEG-NEG.png" width="100"&gt;#Incorrecto.~%-33%&lt;img src="https://i.ibb.co/5Y2G5Pk/CERO.png" width="100"&gt;#Incorrecto.}]]]</v>
      </c>
      <c r="J29" s="293" t="e" vm="75">
        <v>#VALUE!</v>
      </c>
      <c r="K29" s="293" t="e" vm="76">
        <v>#VALUE!</v>
      </c>
      <c r="L29" s="293" t="e" vm="77">
        <v>#VALUE!</v>
      </c>
      <c r="M29" s="114" t="s">
        <v>265</v>
      </c>
    </row>
    <row r="30" spans="1:13" ht="33.450000000000003" customHeight="1" outlineLevel="1">
      <c r="A30">
        <f t="shared" si="2"/>
        <v>29</v>
      </c>
      <c r="B30" s="114" t="s">
        <v>267</v>
      </c>
      <c r="C30" s="114" t="s">
        <v>268</v>
      </c>
      <c r="D30" s="114" t="s">
        <v>498</v>
      </c>
      <c r="E30" s="115" t="str">
        <f t="shared" si="0"/>
        <v>&lt;img src="https://i.ibb.co/r775CPs/M-NEG-NEG.png" width="100"&gt;</v>
      </c>
      <c r="F30" s="114" cm="1">
        <f t="array" aca="1" ref="F30" ca="1">INDIRECT("A"&amp;ROW()+1)</f>
        <v>30</v>
      </c>
      <c r="G30" s="114" cm="1">
        <f t="array" aca="1" ref="G30" ca="1">INDIRECT("A"&amp;ROW()+2)</f>
        <v>31</v>
      </c>
      <c r="H30" s="114">
        <f t="shared" ca="1" si="4"/>
        <v>33</v>
      </c>
      <c r="I30" s="238" t="str" cm="1">
        <f t="array" aca="1" ref="I30" ca="1">" [[[{"&amp;'RESULTADOS - FTP'!$O$52&amp;":MCVS:"&amp;'RESULTADOS - FTP'!$P$3 &amp;   E30                         &amp;"#"&amp;Retro_MuyBien&amp;
                                      "~%"&amp;'RESULTADOS - FTP'!$R$52&amp;"%" &amp; INDIRECT("E"&amp; F30 + 1 )  &amp;"#"&amp;Retro_Mal&amp;
                                      "~%"&amp;'RESULTADOS - FTP'!$R$52&amp;"%" &amp; INDIRECT("E"&amp; G30 + 1 )  &amp;"#"&amp;Retro_Mal&amp;"}]]]"</f>
        <v xml:space="preserve"> [[[{6:MCVS:%100%&lt;img src="https://i.ibb.co/r775CPs/M-NEG-NEG.png" width="100"&gt;#¡Muy bien!~%-33%&lt;img src="https://i.ibb.co/gTftBD4/M-POS-CERO.png" width="100"&gt;#Incorrecto.~%-33%&lt;img src="https://i.ibb.co/jwzSRCr/M-NEG-CERO.png" width="100"&gt;#Incorrecto.}]]]</v>
      </c>
      <c r="J30" s="293" t="e" vm="78">
        <v>#VALUE!</v>
      </c>
      <c r="K30" s="293" t="e" vm="79">
        <v>#VALUE!</v>
      </c>
      <c r="L30" s="293" t="e" vm="80">
        <v>#VALUE!</v>
      </c>
      <c r="M30" s="114" t="s">
        <v>267</v>
      </c>
    </row>
    <row r="31" spans="1:13" ht="33.450000000000003" customHeight="1" outlineLevel="1">
      <c r="A31">
        <f t="shared" si="2"/>
        <v>30</v>
      </c>
      <c r="B31" s="114" t="s">
        <v>269</v>
      </c>
      <c r="C31" s="114" t="s">
        <v>270</v>
      </c>
      <c r="D31" s="114" t="s">
        <v>471</v>
      </c>
      <c r="E31" s="115" t="str">
        <f t="shared" si="0"/>
        <v>&lt;img src="https://i.ibb.co/gTftBD4/M-POS-CERO.png" width="100"&gt;</v>
      </c>
      <c r="F31" s="114" cm="1">
        <f t="array" aca="1" ref="F31" ca="1">INDIRECT("A"&amp;ROW()+1)</f>
        <v>31</v>
      </c>
      <c r="G31" s="114" cm="1">
        <f t="array" aca="1" ref="G31" ca="1">INDIRECT("A"&amp;ROW()-1)</f>
        <v>29</v>
      </c>
      <c r="H31" s="114">
        <f t="shared" ca="1" si="4"/>
        <v>34</v>
      </c>
      <c r="I31" s="238" t="str" cm="1">
        <f t="array" aca="1" ref="I31" ca="1">" [[[{"&amp;'RESULTADOS - FTP'!$O$52&amp;":MCVS:"&amp;'RESULTADOS - FTP'!$P$3 &amp;   E31                         &amp;"#"&amp;Retro_MuyBien&amp;
                                      "~%"&amp;'RESULTADOS - FTP'!$R$52&amp;"%" &amp; INDIRECT("E"&amp; F31 + 1 )  &amp;"#"&amp;Retro_Mal&amp;
                                      "~%"&amp;'RESULTADOS - FTP'!$R$52&amp;"%" &amp; INDIRECT("E"&amp; G31 + 1 )  &amp;"#"&amp;Retro_Mal&amp;"}]]]"</f>
        <v xml:space="preserve"> [[[{6:MCVS:%100%&lt;img src="https://i.ibb.co/gTftBD4/M-POS-CERO.png" width="100"&gt;#¡Muy bien!~%-33%&lt;img src="https://i.ibb.co/jwzSRCr/M-NEG-CERO.png" width="100"&gt;#Incorrecto.~%-33%&lt;img src="https://i.ibb.co/r775CPs/M-NEG-NEG.png" width="100"&gt;#Incorrecto.}]]]</v>
      </c>
      <c r="J31" s="293" t="e" vm="81">
        <v>#VALUE!</v>
      </c>
      <c r="K31" s="293" t="e" vm="82">
        <v>#VALUE!</v>
      </c>
      <c r="L31" s="293" t="e" vm="83">
        <v>#VALUE!</v>
      </c>
      <c r="M31" s="114" t="s">
        <v>269</v>
      </c>
    </row>
    <row r="32" spans="1:13" ht="33.450000000000003" customHeight="1" outlineLevel="1">
      <c r="A32">
        <f t="shared" si="2"/>
        <v>31</v>
      </c>
      <c r="B32" s="114" t="s">
        <v>271</v>
      </c>
      <c r="C32" s="114" t="s">
        <v>272</v>
      </c>
      <c r="D32" s="114" t="s">
        <v>469</v>
      </c>
      <c r="E32" s="115" t="str">
        <f t="shared" si="0"/>
        <v>&lt;img src="https://i.ibb.co/jwzSRCr/M-NEG-CERO.png" width="100"&gt;</v>
      </c>
      <c r="F32" s="114" cm="1">
        <f t="array" aca="1" ref="F32" ca="1">INDIRECT("A"&amp;ROW()+1)</f>
        <v>32</v>
      </c>
      <c r="G32" s="114" cm="1">
        <f t="array" aca="1" ref="G32" ca="1">INDIRECT("A"&amp;ROW()+2)</f>
        <v>33</v>
      </c>
      <c r="H32" s="114">
        <f t="shared" ca="1" si="4"/>
        <v>38</v>
      </c>
      <c r="I32" s="238" t="str" cm="1">
        <f t="array" aca="1" ref="I32" ca="1">" [[[{"&amp;'RESULTADOS - FTP'!$O$52&amp;":MCVS:"&amp;'RESULTADOS - FTP'!$P$3 &amp;   E32                         &amp;"#"&amp;Retro_MuyBien&amp;
                                      "~%"&amp;'RESULTADOS - FTP'!$R$52&amp;"%" &amp; INDIRECT("E"&amp; F32 + 1 )  &amp;"#"&amp;Retro_Mal&amp;
                                      "~%"&amp;'RESULTADOS - FTP'!$R$52&amp;"%" &amp; INDIRECT("E"&amp; G32 + 1 )  &amp;"#"&amp;Retro_Mal&amp;"}]]]"</f>
        <v xml:space="preserve"> [[[{6:MCVS:%100%&lt;img src="https://i.ibb.co/jwzSRCr/M-NEG-CERO.png" width="100"&gt;#¡Muy bien!~%-33%&lt;img src="https://i.ibb.co/WpQFR6F/M-CERO-POS.png" width="100"&gt;#Incorrecto.~%-33%&lt;img src="https://i.ibb.co/jH3V9Ff/M-CERO-NEG.png" width="100"&gt;#Incorrecto.}]]]</v>
      </c>
      <c r="J32" s="293" t="e" vm="84">
        <v>#VALUE!</v>
      </c>
      <c r="K32" s="293" t="e" vm="85">
        <v>#VALUE!</v>
      </c>
      <c r="L32" s="293" t="e" vm="86">
        <v>#VALUE!</v>
      </c>
      <c r="M32" s="114" t="s">
        <v>271</v>
      </c>
    </row>
    <row r="33" spans="1:13" ht="33.450000000000003" customHeight="1" outlineLevel="1">
      <c r="A33">
        <f t="shared" si="2"/>
        <v>32</v>
      </c>
      <c r="B33" s="114" t="s">
        <v>273</v>
      </c>
      <c r="C33" s="114" t="s">
        <v>274</v>
      </c>
      <c r="D33" s="114" t="s">
        <v>468</v>
      </c>
      <c r="E33" s="115" t="str">
        <f t="shared" si="0"/>
        <v>&lt;img src="https://i.ibb.co/WpQFR6F/M-CERO-POS.png" width="100"&gt;</v>
      </c>
      <c r="F33" s="114" cm="1">
        <f t="array" aca="1" ref="F33" ca="1">INDIRECT("A"&amp;ROW()+1)</f>
        <v>33</v>
      </c>
      <c r="G33" s="114" cm="1">
        <f t="array" aca="1" ref="G33" ca="1">INDIRECT("A"&amp;ROW()-1)</f>
        <v>31</v>
      </c>
      <c r="H33" s="114">
        <f t="shared" ca="1" si="4"/>
        <v>37</v>
      </c>
      <c r="I33" s="238" t="str" cm="1">
        <f t="array" aca="1" ref="I33" ca="1">" [[[{"&amp;'RESULTADOS - FTP'!$O$52&amp;":MCVS:"&amp;'RESULTADOS - FTP'!$P$3 &amp;   E33                         &amp;"#"&amp;Retro_MuyBien&amp;
                                      "~%"&amp;'RESULTADOS - FTP'!$R$52&amp;"%" &amp; INDIRECT("E"&amp; F33 + 1 )  &amp;"#"&amp;Retro_Mal&amp;
                                      "~%"&amp;'RESULTADOS - FTP'!$R$52&amp;"%" &amp; INDIRECT("E"&amp; G33 + 1 )  &amp;"#"&amp;Retro_Mal&amp;"}]]]"</f>
        <v xml:space="preserve"> [[[{6:MCVS:%100%&lt;img src="https://i.ibb.co/WpQFR6F/M-CERO-POS.png" width="100"&gt;#¡Muy bien!~%-33%&lt;img src="https://i.ibb.co/jH3V9Ff/M-CERO-NEG.png" width="100"&gt;#Incorrecto.~%-33%&lt;img src="https://i.ibb.co/jwzSRCr/M-NEG-CERO.png" width="100"&gt;#Incorrecto.}]]]</v>
      </c>
      <c r="J33" s="293" t="e" vm="87">
        <v>#VALUE!</v>
      </c>
      <c r="K33" s="293" t="e" vm="88">
        <v>#VALUE!</v>
      </c>
      <c r="L33" s="293" t="e" vm="89">
        <v>#VALUE!</v>
      </c>
      <c r="M33" s="114" t="s">
        <v>273</v>
      </c>
    </row>
    <row r="34" spans="1:13" ht="33.450000000000003" customHeight="1" outlineLevel="1">
      <c r="A34">
        <f t="shared" si="2"/>
        <v>33</v>
      </c>
      <c r="B34" s="114" t="s">
        <v>275</v>
      </c>
      <c r="C34" s="114" t="s">
        <v>276</v>
      </c>
      <c r="D34" s="114" t="s">
        <v>478</v>
      </c>
      <c r="E34" s="115" t="str">
        <f t="shared" si="0"/>
        <v>&lt;img src="https://i.ibb.co/jH3V9Ff/M-CERO-NEG.png" width="100"&gt;</v>
      </c>
      <c r="F34" s="114" cm="1">
        <f t="array" aca="1" ref="F34" ca="1">INDIRECT("A"&amp;ROW()+1)</f>
        <v>34</v>
      </c>
      <c r="G34" s="114" cm="1">
        <f t="array" aca="1" ref="G34" ca="1">INDIRECT("A"&amp;ROW()+2)</f>
        <v>35</v>
      </c>
      <c r="H34" s="114">
        <f t="shared" ca="1" si="4"/>
        <v>36</v>
      </c>
      <c r="I34" s="238" t="str" cm="1">
        <f t="array" aca="1" ref="I34" ca="1">" [[[{"&amp;'RESULTADOS - FTP'!$O$52&amp;":MCVS:"&amp;'RESULTADOS - FTP'!$P$3 &amp;   E34                         &amp;"#"&amp;Retro_MuyBien&amp;
                                      "~%"&amp;'RESULTADOS - FTP'!$R$52&amp;"%" &amp; INDIRECT("E"&amp; F34 + 1 )  &amp;"#"&amp;Retro_Mal&amp;
                                      "~%"&amp;'RESULTADOS - FTP'!$R$52&amp;"%" &amp; INDIRECT("E"&amp; G34 + 1 )  &amp;"#"&amp;Retro_Mal&amp;"}]]]"</f>
        <v xml:space="preserve"> [[[{6:MCVS:%100%&lt;img src="https://i.ibb.co/jH3V9Ff/M-CERO-NEG.png" width="100"&gt;#¡Muy bien!~%-33%&lt;img src="https://i.ibb.co/PMSPNjs/M-POS-POS-MAX-MIN.png" width="100"&gt;#Incorrecto.~%-33%&lt;img src="https://i.ibb.co/cJB47qM/M-NEG-NEG-MIN-MAX.png" width="100"&gt;#Incorrecto.}]]]</v>
      </c>
      <c r="J34" s="293" t="e" vm="90">
        <v>#VALUE!</v>
      </c>
      <c r="K34" s="293" t="e" vm="91">
        <v>#VALUE!</v>
      </c>
      <c r="L34" s="293" t="e" vm="92">
        <v>#VALUE!</v>
      </c>
      <c r="M34" s="114" t="s">
        <v>275</v>
      </c>
    </row>
    <row r="35" spans="1:13" ht="33.450000000000003" customHeight="1" outlineLevel="1">
      <c r="A35">
        <f t="shared" si="2"/>
        <v>34</v>
      </c>
      <c r="B35" s="114" t="s">
        <v>277</v>
      </c>
      <c r="C35" s="114" t="s">
        <v>278</v>
      </c>
      <c r="D35" s="114" t="s">
        <v>459</v>
      </c>
      <c r="E35" s="115" t="str">
        <f t="shared" si="0"/>
        <v>&lt;img src="https://i.ibb.co/PMSPNjs/M-POS-POS-MAX-MIN.png" width="100"&gt;</v>
      </c>
      <c r="F35" s="114" cm="1">
        <f t="array" aca="1" ref="F35" ca="1">INDIRECT("A"&amp;ROW()+1)</f>
        <v>35</v>
      </c>
      <c r="G35" s="114" cm="1">
        <f t="array" aca="1" ref="G35" ca="1">INDIRECT("A"&amp;ROW()-1)</f>
        <v>33</v>
      </c>
      <c r="H35" s="114">
        <f t="shared" ca="1" si="4"/>
        <v>38</v>
      </c>
      <c r="I35" s="238" t="str" cm="1">
        <f t="array" aca="1" ref="I35" ca="1">" [[[{"&amp;'RESULTADOS - FTP'!$O$52&amp;":MCVS:"&amp;'RESULTADOS - FTP'!$P$3 &amp;   E35                         &amp;"#"&amp;Retro_MuyBien&amp;
                                      "~%"&amp;'RESULTADOS - FTP'!$R$52&amp;"%" &amp; INDIRECT("E"&amp; F35 + 1 )  &amp;"#"&amp;Retro_Mal&amp;
                                      "~%"&amp;'RESULTADOS - FTP'!$R$52&amp;"%" &amp; INDIRECT("E"&amp; G35 + 1 )  &amp;"#"&amp;Retro_Mal&amp;"}]]]"</f>
        <v xml:space="preserve"> [[[{6:MCVS:%100%&lt;img src="https://i.ibb.co/PMSPNjs/M-POS-POS-MAX-MIN.png" width="100"&gt;#¡Muy bien!~%-33%&lt;img src="https://i.ibb.co/cJB47qM/M-NEG-NEG-MIN-MAX.png" width="100"&gt;#Incorrecto.~%-33%&lt;img src="https://i.ibb.co/jH3V9Ff/M-CERO-NEG.png" width="100"&gt;#Incorrecto.}]]]</v>
      </c>
      <c r="J35" s="293" t="e" vm="93">
        <v>#VALUE!</v>
      </c>
      <c r="K35" s="293" t="e" vm="94">
        <v>#VALUE!</v>
      </c>
      <c r="L35" s="293" t="e" vm="95">
        <v>#VALUE!</v>
      </c>
      <c r="M35" s="114" t="s">
        <v>277</v>
      </c>
    </row>
    <row r="36" spans="1:13" ht="33.450000000000003" customHeight="1" outlineLevel="1">
      <c r="A36">
        <f t="shared" si="2"/>
        <v>35</v>
      </c>
      <c r="B36" s="114" t="s">
        <v>279</v>
      </c>
      <c r="C36" s="114" t="s">
        <v>280</v>
      </c>
      <c r="D36" s="114" t="s">
        <v>497</v>
      </c>
      <c r="E36" s="115" t="str">
        <f t="shared" si="0"/>
        <v>&lt;img src="https://i.ibb.co/cJB47qM/M-NEG-NEG-MIN-MAX.png" width="100"&gt;</v>
      </c>
      <c r="F36" s="114" cm="1">
        <f t="array" aca="1" ref="F36" ca="1">INDIRECT("A"&amp;ROW()+1)</f>
        <v>36</v>
      </c>
      <c r="G36" s="114" cm="1">
        <f t="array" aca="1" ref="G36" ca="1">INDIRECT("A"&amp;ROW()+2)</f>
        <v>37</v>
      </c>
      <c r="H36" s="114">
        <f t="shared" ca="1" si="4"/>
        <v>38</v>
      </c>
      <c r="I36" s="238" t="str" cm="1">
        <f t="array" aca="1" ref="I36" ca="1">" [[[{"&amp;'RESULTADOS - FTP'!$O$52&amp;":MCVS:"&amp;'RESULTADOS - FTP'!$P$3 &amp;   E36                         &amp;"#"&amp;Retro_MuyBien&amp;
                                      "~%"&amp;'RESULTADOS - FTP'!$R$52&amp;"%" &amp; INDIRECT("E"&amp; F36 + 1 )  &amp;"#"&amp;Retro_Mal&amp;
                                      "~%"&amp;'RESULTADOS - FTP'!$R$52&amp;"%" &amp; INDIRECT("E"&amp; G36 + 1 )  &amp;"#"&amp;Retro_Mal&amp;"}]]]"</f>
        <v xml:space="preserve"> [[[{6:MCVS:%100%&lt;img src="https://i.ibb.co/cJB47qM/M-NEG-NEG-MIN-MAX.png" width="100"&gt;#¡Muy bien!~%-33%&lt;img src="https://i.ibb.co/DLj20QY/M-POS-POS-MIN-MAX.png" width="100"&gt;#Incorrecto.~%-33%&lt;img src="https://i.ibb.co/7tVThTj/M-NEG-NEG-MAX-MIN.png" width="100"&gt;#Incorrecto.}]]]</v>
      </c>
      <c r="J36" s="293" t="e" vm="96">
        <v>#VALUE!</v>
      </c>
      <c r="K36" s="293" t="e" vm="97">
        <v>#VALUE!</v>
      </c>
      <c r="L36" s="293" t="e" vm="98">
        <v>#VALUE!</v>
      </c>
      <c r="M36" s="114" t="s">
        <v>279</v>
      </c>
    </row>
    <row r="37" spans="1:13" ht="33.450000000000003" customHeight="1" outlineLevel="1">
      <c r="A37">
        <f t="shared" si="2"/>
        <v>36</v>
      </c>
      <c r="B37" s="114" t="s">
        <v>281</v>
      </c>
      <c r="C37" s="114" t="s">
        <v>282</v>
      </c>
      <c r="D37" s="114" t="s">
        <v>465</v>
      </c>
      <c r="E37" s="115" t="str">
        <f t="shared" si="0"/>
        <v>&lt;img src="https://i.ibb.co/DLj20QY/M-POS-POS-MIN-MAX.png" width="100"&gt;</v>
      </c>
      <c r="F37" s="114" cm="1">
        <f t="array" aca="1" ref="F37" ca="1">INDIRECT("A"&amp;ROW()+1)</f>
        <v>37</v>
      </c>
      <c r="G37" s="114" cm="1">
        <f t="array" aca="1" ref="G37" ca="1">INDIRECT("A"&amp;ROW()-1)</f>
        <v>35</v>
      </c>
      <c r="H37" s="113">
        <f ca="1">RANDBETWEEN($A$28,MIN(F37:G37)-1)</f>
        <v>28</v>
      </c>
      <c r="I37" s="238" t="str" cm="1">
        <f t="array" aca="1" ref="I37" ca="1">" [[[{"&amp;'RESULTADOS - FTP'!$O$52&amp;":MCVS:"&amp;'RESULTADOS - FTP'!$P$3 &amp;   E37                         &amp;"#"&amp;Retro_MuyBien&amp;
                                      "~%"&amp;'RESULTADOS - FTP'!$R$52&amp;"%" &amp; INDIRECT("E"&amp; F37 + 1 )  &amp;"#"&amp;Retro_Mal&amp;
                                      "~%"&amp;'RESULTADOS - FTP'!$R$52&amp;"%" &amp; INDIRECT("E"&amp; G37 + 1 )  &amp;"#"&amp;Retro_Mal&amp;"}]]]"</f>
        <v xml:space="preserve"> [[[{6:MCVS:%100%&lt;img src="https://i.ibb.co/DLj20QY/M-POS-POS-MIN-MAX.png" width="100"&gt;#¡Muy bien!~%-33%&lt;img src="https://i.ibb.co/7tVThTj/M-NEG-NEG-MAX-MIN.png" width="100"&gt;#Incorrecto.~%-33%&lt;img src="https://i.ibb.co/cJB47qM/M-NEG-NEG-MIN-MAX.png" width="100"&gt;#Incorrecto.}]]]</v>
      </c>
      <c r="J37" s="293" t="e" vm="99">
        <v>#VALUE!</v>
      </c>
      <c r="K37" s="293" t="e" vm="100">
        <v>#VALUE!</v>
      </c>
      <c r="L37" s="293" t="e" vm="101">
        <v>#VALUE!</v>
      </c>
      <c r="M37" s="114" t="s">
        <v>281</v>
      </c>
    </row>
    <row r="38" spans="1:13" ht="33.450000000000003" customHeight="1" outlineLevel="1">
      <c r="A38">
        <f t="shared" si="2"/>
        <v>37</v>
      </c>
      <c r="B38" s="114" t="s">
        <v>283</v>
      </c>
      <c r="C38" s="114" t="s">
        <v>284</v>
      </c>
      <c r="D38" s="114" t="s">
        <v>491</v>
      </c>
      <c r="E38" s="115" t="str">
        <f t="shared" si="0"/>
        <v>&lt;img src="https://i.ibb.co/7tVThTj/M-NEG-NEG-MAX-MIN.png" width="100"&gt;</v>
      </c>
      <c r="F38" s="114" cm="1">
        <f t="array" aca="1" ref="F38" ca="1">INDIRECT("A"&amp;ROW()+1)</f>
        <v>38</v>
      </c>
      <c r="G38" s="114" cm="1">
        <f t="array" aca="1" ref="G38" ca="1">INDIRECT("A"&amp;ROW()+2)</f>
        <v>39</v>
      </c>
      <c r="H38" s="113">
        <f ca="1">RANDBETWEEN($A$28,MIN(F38:G38)-1)</f>
        <v>27</v>
      </c>
      <c r="I38" s="238" t="str" cm="1">
        <f t="array" aca="1" ref="I38" ca="1">" [[[{"&amp;'RESULTADOS - FTP'!$O$52&amp;":MCVS:"&amp;'RESULTADOS - FTP'!$P$3 &amp;   E38                         &amp;"#"&amp;Retro_MuyBien&amp;
                                      "~%"&amp;'RESULTADOS - FTP'!$R$52&amp;"%" &amp; INDIRECT("E"&amp; F38 + 1 )  &amp;"#"&amp;Retro_Mal&amp;
                                      "~%"&amp;'RESULTADOS - FTP'!$R$52&amp;"%" &amp; INDIRECT("E"&amp; G38 + 1 )  &amp;"#"&amp;Retro_Mal&amp;"}]]]"</f>
        <v xml:space="preserve"> [[[{6:MCVS:%100%&lt;img src="https://i.ibb.co/7tVThTj/M-NEG-NEG-MAX-MIN.png" width="100"&gt;#¡Muy bien!~%-33%&lt;img src="https://i.ibb.co/QHX3dLd/M-POS-NEG.png" width="100"&gt;#Incorrecto.~%-33%&lt;img src="https://i.ibb.co/QjwZk90/M-NEG-POS.png" width="100"&gt;#Incorrecto.}]]]</v>
      </c>
      <c r="J38" s="293" t="e" vm="102">
        <v>#VALUE!</v>
      </c>
      <c r="K38" s="293" t="e" vm="103">
        <v>#VALUE!</v>
      </c>
      <c r="L38" s="293" t="e" vm="104">
        <v>#VALUE!</v>
      </c>
      <c r="M38" s="114" t="s">
        <v>283</v>
      </c>
    </row>
    <row r="39" spans="1:13" ht="33.450000000000003" customHeight="1" outlineLevel="1">
      <c r="A39">
        <f t="shared" si="2"/>
        <v>38</v>
      </c>
      <c r="B39" s="114" t="s">
        <v>285</v>
      </c>
      <c r="C39" s="114" t="s">
        <v>286</v>
      </c>
      <c r="D39" s="114" t="s">
        <v>511</v>
      </c>
      <c r="E39" s="115" t="str">
        <f t="shared" si="0"/>
        <v>&lt;img src="https://i.ibb.co/QHX3dLd/M-POS-NEG.png" width="100"&gt;</v>
      </c>
      <c r="F39" s="114" cm="1">
        <f t="array" aca="1" ref="F39" ca="1">INDIRECT("A"&amp;ROW()+1)</f>
        <v>39</v>
      </c>
      <c r="G39" s="114" cm="1">
        <f t="array" aca="1" ref="G39" ca="1">INDIRECT("A"&amp;ROW()-1)</f>
        <v>37</v>
      </c>
      <c r="H39" s="113">
        <f ca="1">RANDBETWEEN($A$28,MIN(F39:G39)-1)</f>
        <v>35</v>
      </c>
      <c r="I39" s="238" t="str" cm="1">
        <f t="array" aca="1" ref="I39" ca="1">" [[[{"&amp;'RESULTADOS - FTP'!$O$52&amp;":MCVS:"&amp;'RESULTADOS - FTP'!$P$3 &amp;   E39                         &amp;"#"&amp;Retro_MuyBien&amp;
                                      "~%"&amp;'RESULTADOS - FTP'!$R$52&amp;"%" &amp; INDIRECT("E"&amp; F39 + 1 )  &amp;"#"&amp;Retro_Mal&amp;
                                      "~%"&amp;'RESULTADOS - FTP'!$R$52&amp;"%" &amp; INDIRECT("E"&amp; G39 + 1 )  &amp;"#"&amp;Retro_Mal&amp;"}]]]"</f>
        <v xml:space="preserve"> [[[{6:MCVS:%100%&lt;img src="https://i.ibb.co/QHX3dLd/M-POS-NEG.png" width="100"&gt;#¡Muy bien!~%-33%&lt;img src="https://i.ibb.co/QjwZk90/M-NEG-POS.png" width="100"&gt;#Incorrecto.~%-33%&lt;img src="https://i.ibb.co/7tVThTj/M-NEG-NEG-MAX-MIN.png" width="100"&gt;#Incorrecto.}]]]</v>
      </c>
      <c r="J39" s="293" t="e" vm="105">
        <v>#VALUE!</v>
      </c>
      <c r="K39" s="293" t="e" vm="106">
        <v>#VALUE!</v>
      </c>
      <c r="L39" s="293" t="e" vm="107">
        <v>#VALUE!</v>
      </c>
      <c r="M39" s="114" t="s">
        <v>285</v>
      </c>
    </row>
    <row r="40" spans="1:13" ht="33.450000000000003" customHeight="1" outlineLevel="1">
      <c r="A40">
        <f t="shared" si="2"/>
        <v>39</v>
      </c>
      <c r="B40" s="114" t="s">
        <v>287</v>
      </c>
      <c r="C40" s="114" t="s">
        <v>288</v>
      </c>
      <c r="D40" s="114" t="s">
        <v>503</v>
      </c>
      <c r="E40" s="115" t="str">
        <f t="shared" si="0"/>
        <v>&lt;img src="https://i.ibb.co/QjwZk90/M-NEG-POS.png" width="100"&gt;</v>
      </c>
      <c r="F40" s="114" cm="1">
        <f t="array" aca="1" ref="F40" ca="1">INDIRECT("A"&amp;ROW()-1)</f>
        <v>38</v>
      </c>
      <c r="G40" s="114" cm="1">
        <f t="array" aca="1" ref="G40" ca="1">INDIRECT("A"&amp;ROW()-2)</f>
        <v>37</v>
      </c>
      <c r="H40" s="113">
        <f ca="1">RANDBETWEEN($A$28,MIN(F40:G40)-1)</f>
        <v>35</v>
      </c>
      <c r="I40" s="238" t="str" cm="1">
        <f t="array" aca="1" ref="I40" ca="1">" [[[{"&amp;'RESULTADOS - FTP'!$O$52&amp;":MCVS:"&amp;'RESULTADOS - FTP'!$P$3 &amp;   E40                         &amp;"#"&amp;Retro_MuyBien&amp;
                                      "~%"&amp;'RESULTADOS - FTP'!$R$52&amp;"%" &amp; INDIRECT("E"&amp; F40 + 1 )  &amp;"#"&amp;Retro_Mal&amp;
                                      "~%"&amp;'RESULTADOS - FTP'!$R$52&amp;"%" &amp; INDIRECT("E"&amp; G40 + 1 )  &amp;"#"&amp;Retro_Mal&amp;"}]]]"</f>
        <v xml:space="preserve"> [[[{6:MCVS:%100%&lt;img src="https://i.ibb.co/QjwZk90/M-NEG-POS.png" width="100"&gt;#¡Muy bien!~%-33%&lt;img src="https://i.ibb.co/QHX3dLd/M-POS-NEG.png" width="100"&gt;#Incorrecto.~%-33%&lt;img src="https://i.ibb.co/7tVThTj/M-NEG-NEG-MAX-MIN.png" width="100"&gt;#Incorrecto.}]]]</v>
      </c>
      <c r="J40" s="293" t="e" vm="108">
        <v>#VALUE!</v>
      </c>
      <c r="K40" s="293" t="e" vm="109">
        <v>#VALUE!</v>
      </c>
      <c r="L40" s="293" t="e" vm="110">
        <v>#VALUE!</v>
      </c>
      <c r="M40" s="114" t="s">
        <v>287</v>
      </c>
    </row>
    <row r="41" spans="1:13" ht="33.450000000000003" customHeight="1">
      <c r="A41" s="4">
        <f t="shared" si="2"/>
        <v>40</v>
      </c>
      <c r="B41" s="113" t="s">
        <v>289</v>
      </c>
      <c r="C41" s="113" t="s">
        <v>290</v>
      </c>
      <c r="D41" s="114" t="s">
        <v>477</v>
      </c>
      <c r="E41" s="115" t="str">
        <f t="shared" si="0"/>
        <v>&lt;img src="https://i.ibb.co/Y3wPJBF/M-CERO-NEG-POS.png" width="100"&gt;</v>
      </c>
      <c r="F41" s="114" cm="1">
        <f t="array" aca="1" ref="F41" ca="1">INDIRECT("A"&amp;ROW()+1)</f>
        <v>41</v>
      </c>
      <c r="G41" s="114" cm="1">
        <f t="array" aca="1" ref="G41" ca="1">INDIRECT("A"&amp;ROW()+2)</f>
        <v>42</v>
      </c>
      <c r="H41" s="114">
        <f ca="1">RANDBETWEEN(MAX(F41:G41)+1,$A$70)</f>
        <v>46</v>
      </c>
      <c r="I41" s="238" t="str" cm="1">
        <f t="array" aca="1" ref="I41" ca="1">" [[[{"&amp;'RESULTADOS - FTP'!$O$52&amp;":MCVS:"&amp;'RESULTADOS - FTP'!$P$3 &amp;   E41                         &amp;"#"&amp;Retro_MuyBien&amp;
                                      "~%"&amp;'RESULTADOS - FTP'!$R$52&amp;"%" &amp; INDIRECT("E"&amp; F41 + 1 )  &amp;"#"&amp;Retro_Mal&amp;
                                      "~%"&amp;'RESULTADOS - FTP'!$R$52&amp;"%" &amp; INDIRECT("E"&amp; G41 + 1 )  &amp;"#"&amp;Retro_Mal&amp;"}]]]"</f>
        <v xml:space="preserve"> [[[{6:MCVS:%100%&lt;img src="https://i.ibb.co/Y3wPJBF/M-CERO-NEG-POS.png" width="100"&gt;#¡Muy bien!~%-33%&lt;img src="https://i.ibb.co/NpTMXCt/M-CERO-POS-NEG-MIN.png" width="100"&gt;#Incorrecto.~%-33%&lt;img src="https://i.ibb.co/T4q9jpn/M-POS-CERO-NEG.png" width="100"&gt;#Incorrecto.}]]]</v>
      </c>
      <c r="J41" s="293" t="e" vm="111">
        <v>#VALUE!</v>
      </c>
      <c r="K41" s="293" t="e" vm="112">
        <v>#VALUE!</v>
      </c>
      <c r="L41" s="293" t="e" vm="113">
        <v>#VALUE!</v>
      </c>
      <c r="M41" s="113" t="s">
        <v>289</v>
      </c>
    </row>
    <row r="42" spans="1:13" ht="33.450000000000003" customHeight="1" outlineLevel="1">
      <c r="A42">
        <f t="shared" si="2"/>
        <v>41</v>
      </c>
      <c r="B42" s="114" t="s">
        <v>291</v>
      </c>
      <c r="C42" s="114" t="s">
        <v>292</v>
      </c>
      <c r="D42" s="114" t="s">
        <v>480</v>
      </c>
      <c r="E42" s="115" t="str">
        <f t="shared" si="0"/>
        <v>&lt;img src="https://i.ibb.co/NpTMXCt/M-CERO-POS-NEG-MIN.png" width="100"&gt;</v>
      </c>
      <c r="F42" s="114" cm="1">
        <f t="array" aca="1" ref="F42" ca="1">INDIRECT("A"&amp;ROW()+1)</f>
        <v>42</v>
      </c>
      <c r="G42" s="114" cm="1">
        <f t="array" aca="1" ref="G42" ca="1">INDIRECT("A"&amp;ROW()-1)</f>
        <v>40</v>
      </c>
      <c r="H42" s="114">
        <f t="shared" ref="H42:H62" ca="1" si="5">RANDBETWEEN(MAX(F42:G42)+1,$A$70)</f>
        <v>43</v>
      </c>
      <c r="I42" s="238" t="str" cm="1">
        <f t="array" aca="1" ref="I42" ca="1">" [[[{"&amp;'RESULTADOS - FTP'!$O$52&amp;":MCVS:"&amp;'RESULTADOS - FTP'!$P$3 &amp;   E42                         &amp;"#"&amp;Retro_MuyBien&amp;
                                      "~%"&amp;'RESULTADOS - FTP'!$R$52&amp;"%" &amp; INDIRECT("E"&amp; F42 + 1 )  &amp;"#"&amp;Retro_Mal&amp;
                                      "~%"&amp;'RESULTADOS - FTP'!$R$52&amp;"%" &amp; INDIRECT("E"&amp; G42 + 1 )  &amp;"#"&amp;Retro_Mal&amp;"}]]]"</f>
        <v xml:space="preserve"> [[[{6:MCVS:%100%&lt;img src="https://i.ibb.co/NpTMXCt/M-CERO-POS-NEG-MIN.png" width="100"&gt;#¡Muy bien!~%-33%&lt;img src="https://i.ibb.co/T4q9jpn/M-POS-CERO-NEG.png" width="100"&gt;#Incorrecto.~%-33%&lt;img src="https://i.ibb.co/Y3wPJBF/M-CERO-NEG-POS.png" width="100"&gt;#Incorrecto.}]]]</v>
      </c>
      <c r="J42" s="293" t="e" vm="114">
        <v>#VALUE!</v>
      </c>
      <c r="K42" s="293" t="e" vm="115">
        <v>#VALUE!</v>
      </c>
      <c r="L42" s="293" t="e" vm="116">
        <v>#VALUE!</v>
      </c>
      <c r="M42" s="114" t="s">
        <v>291</v>
      </c>
    </row>
    <row r="43" spans="1:13" ht="33.450000000000003" customHeight="1" outlineLevel="1">
      <c r="A43">
        <f t="shared" si="2"/>
        <v>42</v>
      </c>
      <c r="B43" s="114" t="s">
        <v>293</v>
      </c>
      <c r="C43" s="114" t="s">
        <v>294</v>
      </c>
      <c r="D43" s="114" t="s">
        <v>505</v>
      </c>
      <c r="E43" s="115" t="str">
        <f>$E$1&amp;D43&amp;$F$1</f>
        <v>&lt;img src="https://i.ibb.co/T4q9jpn/M-POS-CERO-NEG.png" width="100"&gt;</v>
      </c>
      <c r="F43" s="114" cm="1">
        <f t="array" aca="1" ref="F43" ca="1">INDIRECT("A"&amp;ROW()+1)</f>
        <v>43</v>
      </c>
      <c r="G43" s="114" cm="1">
        <f t="array" aca="1" ref="G43" ca="1">INDIRECT("A"&amp;ROW()+2)</f>
        <v>44</v>
      </c>
      <c r="H43" s="114">
        <f t="shared" ca="1" si="5"/>
        <v>52</v>
      </c>
      <c r="I43" s="238" t="str" cm="1">
        <f t="array" aca="1" ref="I43" ca="1">" [[[{"&amp;'RESULTADOS - FTP'!$O$52&amp;":MCVS:"&amp;'RESULTADOS - FTP'!$P$3 &amp;   E43                         &amp;"#"&amp;Retro_MuyBien&amp;
                                      "~%"&amp;'RESULTADOS - FTP'!$R$52&amp;"%" &amp; INDIRECT("E"&amp; F43 + 1 )  &amp;"#"&amp;Retro_Mal&amp;
                                      "~%"&amp;'RESULTADOS - FTP'!$R$52&amp;"%" &amp; INDIRECT("E"&amp; G43 + 1 )  &amp;"#"&amp;Retro_Mal&amp;"}]]]"</f>
        <v xml:space="preserve"> [[[{6:MCVS:%100%&lt;img src="https://i.ibb.co/T4q9jpn/M-POS-CERO-NEG.png" width="100"&gt;#¡Muy bien!~%-33%&lt;img src="https://i.ibb.co/QfzLyjK/M-NEG-CERO-POS-MAX.png" width="100"&gt;#Incorrecto.~%-33%&lt;img src="https://i.ibb.co/qxk8Zrz/M-CERO-NEG-M-0.png" width="100"&gt;#Incorrecto.}]]]</v>
      </c>
      <c r="J43" s="293" t="e" vm="117">
        <v>#VALUE!</v>
      </c>
      <c r="K43" s="293" t="e" vm="118">
        <v>#VALUE!</v>
      </c>
      <c r="L43" s="293" t="e" vm="119">
        <v>#VALUE!</v>
      </c>
      <c r="M43" s="114" t="s">
        <v>293</v>
      </c>
    </row>
    <row r="44" spans="1:13" ht="33.450000000000003" customHeight="1" outlineLevel="1">
      <c r="A44">
        <f t="shared" si="2"/>
        <v>43</v>
      </c>
      <c r="B44" s="114" t="s">
        <v>295</v>
      </c>
      <c r="C44" s="114" t="s">
        <v>296</v>
      </c>
      <c r="D44" s="114" t="s">
        <v>485</v>
      </c>
      <c r="E44" s="115" t="str">
        <f>$E$1&amp;D44&amp;$F$1</f>
        <v>&lt;img src="https://i.ibb.co/QfzLyjK/M-NEG-CERO-POS-MAX.png" width="100"&gt;</v>
      </c>
      <c r="F44" s="114" cm="1">
        <f t="array" aca="1" ref="F44" ca="1">INDIRECT("A"&amp;ROW()+1)</f>
        <v>44</v>
      </c>
      <c r="G44" s="114" cm="1">
        <f t="array" aca="1" ref="G44" ca="1">INDIRECT("A"&amp;ROW()-1)</f>
        <v>42</v>
      </c>
      <c r="H44" s="114">
        <f t="shared" ca="1" si="5"/>
        <v>67</v>
      </c>
      <c r="I44" s="238" t="str" cm="1">
        <f t="array" aca="1" ref="I44" ca="1">" [[[{"&amp;'RESULTADOS - FTP'!$O$52&amp;":MCVS:"&amp;'RESULTADOS - FTP'!$P$3 &amp;   E44                         &amp;"#"&amp;Retro_MuyBien&amp;
                                      "~%"&amp;'RESULTADOS - FTP'!$R$52&amp;"%" &amp; INDIRECT("E"&amp; F44 + 1 )  &amp;"#"&amp;Retro_Mal&amp;
                                      "~%"&amp;'RESULTADOS - FTP'!$R$52&amp;"%" &amp; INDIRECT("E"&amp; G44 + 1 )  &amp;"#"&amp;Retro_Mal&amp;"}]]]"</f>
        <v xml:space="preserve"> [[[{6:MCVS:%100%&lt;img src="https://i.ibb.co/QfzLyjK/M-NEG-CERO-POS-MAX.png" width="100"&gt;#¡Muy bien!~%-33%&lt;img src="https://i.ibb.co/qxk8Zrz/M-CERO-NEG-M-0.png" width="100"&gt;#Incorrecto.~%-33%&lt;img src="https://i.ibb.co/T4q9jpn/M-POS-CERO-NEG.png" width="100"&gt;#Incorrecto.}]]]</v>
      </c>
      <c r="J44" s="293" t="e" vm="120">
        <v>#VALUE!</v>
      </c>
      <c r="K44" s="293" t="e" vm="121">
        <v>#VALUE!</v>
      </c>
      <c r="L44" s="293" t="e" vm="122">
        <v>#VALUE!</v>
      </c>
      <c r="M44" s="114" t="s">
        <v>295</v>
      </c>
    </row>
    <row r="45" spans="1:13" ht="33.450000000000003" customHeight="1" outlineLevel="1">
      <c r="A45">
        <f t="shared" si="2"/>
        <v>44</v>
      </c>
      <c r="B45" s="114" t="s">
        <v>297</v>
      </c>
      <c r="C45" s="114" t="s">
        <v>298</v>
      </c>
      <c r="D45" s="114" t="s">
        <v>474</v>
      </c>
      <c r="E45" s="115" t="str">
        <f t="shared" ref="E45:E86" si="6">$E$1&amp;D45&amp;$F$1</f>
        <v>&lt;img src="https://i.ibb.co/qxk8Zrz/M-CERO-NEG-M-0.png" width="100"&gt;</v>
      </c>
      <c r="F45" s="114" cm="1">
        <f t="array" aca="1" ref="F45" ca="1">INDIRECT("A"&amp;ROW()+1)</f>
        <v>45</v>
      </c>
      <c r="G45" s="114" cm="1">
        <f t="array" aca="1" ref="G45" ca="1">INDIRECT("A"&amp;ROW()+2)</f>
        <v>46</v>
      </c>
      <c r="H45" s="114">
        <f t="shared" ca="1" si="5"/>
        <v>50</v>
      </c>
      <c r="I45" s="238" t="str" cm="1">
        <f t="array" aca="1" ref="I45" ca="1">" [[[{"&amp;'RESULTADOS - FTP'!$O$52&amp;":MCVS:"&amp;'RESULTADOS - FTP'!$P$3 &amp;   E45                         &amp;"#"&amp;Retro_MuyBien&amp;
                                      "~%"&amp;'RESULTADOS - FTP'!$R$52&amp;"%" &amp; INDIRECT("E"&amp; F45 + 1 )  &amp;"#"&amp;Retro_Mal&amp;
                                      "~%"&amp;'RESULTADOS - FTP'!$R$52&amp;"%" &amp; INDIRECT("E"&amp; G45 + 1 )  &amp;"#"&amp;Retro_Mal&amp;"}]]]"</f>
        <v xml:space="preserve"> [[[{6:MCVS:%100%&lt;img src="https://i.ibb.co/qxk8Zrz/M-CERO-NEG-M-0.png" width="100"&gt;#¡Muy bien!~%-33%&lt;img src="https://i.ibb.co/KrJD0cV/M-CERO-POS-M-0.png" width="100"&gt;#Incorrecto.~%-33%&lt;img src="https://i.ibb.co/s9kvjXz/M-POS-CERO-M-L.png" width="100"&gt;#Incorrecto.}]]]</v>
      </c>
      <c r="J45" s="293" t="e" vm="123">
        <v>#VALUE!</v>
      </c>
      <c r="K45" s="293" t="e" vm="124">
        <v>#VALUE!</v>
      </c>
      <c r="L45" s="293" t="e" vm="125">
        <v>#VALUE!</v>
      </c>
      <c r="M45" s="114" t="s">
        <v>297</v>
      </c>
    </row>
    <row r="46" spans="1:13" ht="33.450000000000003" customHeight="1" outlineLevel="1">
      <c r="A46">
        <f t="shared" si="2"/>
        <v>45</v>
      </c>
      <c r="B46" s="114" t="s">
        <v>299</v>
      </c>
      <c r="C46" s="114" t="s">
        <v>300</v>
      </c>
      <c r="D46" s="114" t="s">
        <v>467</v>
      </c>
      <c r="E46" s="115" t="str">
        <f t="shared" si="6"/>
        <v>&lt;img src="https://i.ibb.co/KrJD0cV/M-CERO-POS-M-0.png" width="100"&gt;</v>
      </c>
      <c r="F46" s="114" cm="1">
        <f t="array" aca="1" ref="F46" ca="1">INDIRECT("A"&amp;ROW()+1)</f>
        <v>46</v>
      </c>
      <c r="G46" s="114" cm="1">
        <f t="array" aca="1" ref="G46" ca="1">INDIRECT("A"&amp;ROW()-1)</f>
        <v>44</v>
      </c>
      <c r="H46" s="114">
        <f t="shared" ca="1" si="5"/>
        <v>48</v>
      </c>
      <c r="I46" s="238" t="str" cm="1">
        <f t="array" aca="1" ref="I46" ca="1">" [[[{"&amp;'RESULTADOS - FTP'!$O$52&amp;":MCVS:"&amp;'RESULTADOS - FTP'!$P$3 &amp;   E46                         &amp;"#"&amp;Retro_MuyBien&amp;
                                      "~%"&amp;'RESULTADOS - FTP'!$R$52&amp;"%" &amp; INDIRECT("E"&amp; F46 + 1 )  &amp;"#"&amp;Retro_Mal&amp;
                                      "~%"&amp;'RESULTADOS - FTP'!$R$52&amp;"%" &amp; INDIRECT("E"&amp; G46 + 1 )  &amp;"#"&amp;Retro_Mal&amp;"}]]]"</f>
        <v xml:space="preserve"> [[[{6:MCVS:%100%&lt;img src="https://i.ibb.co/KrJD0cV/M-CERO-POS-M-0.png" width="100"&gt;#¡Muy bien!~%-33%&lt;img src="https://i.ibb.co/s9kvjXz/M-POS-CERO-M-L.png" width="100"&gt;#Incorrecto.~%-33%&lt;img src="https://i.ibb.co/qxk8Zrz/M-CERO-NEG-M-0.png" width="100"&gt;#Incorrecto.}]]]</v>
      </c>
      <c r="J46" s="293" t="e" vm="126">
        <v>#VALUE!</v>
      </c>
      <c r="K46" s="293" t="e" vm="127">
        <v>#VALUE!</v>
      </c>
      <c r="L46" s="293" t="e" vm="128">
        <v>#VALUE!</v>
      </c>
      <c r="M46" s="114" t="s">
        <v>299</v>
      </c>
    </row>
    <row r="47" spans="1:13" ht="33.450000000000003" customHeight="1" outlineLevel="1">
      <c r="A47">
        <f t="shared" si="2"/>
        <v>46</v>
      </c>
      <c r="B47" s="114" t="s">
        <v>301</v>
      </c>
      <c r="C47" s="114" t="s">
        <v>302</v>
      </c>
      <c r="D47" s="114" t="s">
        <v>470</v>
      </c>
      <c r="E47" s="115" t="str">
        <f t="shared" si="6"/>
        <v>&lt;img src="https://i.ibb.co/s9kvjXz/M-POS-CERO-M-L.png" width="100"&gt;</v>
      </c>
      <c r="F47" s="114" cm="1">
        <f t="array" aca="1" ref="F47" ca="1">INDIRECT("A"&amp;ROW()+1)</f>
        <v>47</v>
      </c>
      <c r="G47" s="114" cm="1">
        <f t="array" aca="1" ref="G47" ca="1">INDIRECT("A"&amp;ROW()+2)</f>
        <v>48</v>
      </c>
      <c r="H47" s="114">
        <f t="shared" ca="1" si="5"/>
        <v>56</v>
      </c>
      <c r="I47" s="238" t="str" cm="1">
        <f t="array" aca="1" ref="I47" ca="1">" [[[{"&amp;'RESULTADOS - FTP'!$O$52&amp;":MCVS:"&amp;'RESULTADOS - FTP'!$P$3 &amp;   E47                         &amp;"#"&amp;Retro_MuyBien&amp;
                                      "~%"&amp;'RESULTADOS - FTP'!$R$52&amp;"%" &amp; INDIRECT("E"&amp; F47 + 1 )  &amp;"#"&amp;Retro_Mal&amp;
                                      "~%"&amp;'RESULTADOS - FTP'!$R$52&amp;"%" &amp; INDIRECT("E"&amp; G47 + 1 )  &amp;"#"&amp;Retro_Mal&amp;"}]]]"</f>
        <v xml:space="preserve"> [[[{6:MCVS:%100%&lt;img src="https://i.ibb.co/s9kvjXz/M-POS-CERO-M-L.png" width="100"&gt;#¡Muy bien!~%-33%&lt;img src="https://i.ibb.co/Lv4tzpS/M-NEG-CERO-M-L.png" width="100"&gt;#Incorrecto.~%-33%&lt;img src="https://i.ibb.co/BPyF4yj/M-CERO-POS-M-L.png" width="100"&gt;#Incorrecto.}]]]</v>
      </c>
      <c r="J47" s="293" t="e" vm="129">
        <v>#VALUE!</v>
      </c>
      <c r="K47" s="293" t="e" vm="130">
        <v>#VALUE!</v>
      </c>
      <c r="L47" s="293" t="e" vm="131">
        <v>#VALUE!</v>
      </c>
      <c r="M47" s="114" t="s">
        <v>301</v>
      </c>
    </row>
    <row r="48" spans="1:13" ht="33.450000000000003" customHeight="1" outlineLevel="1">
      <c r="A48">
        <f t="shared" si="2"/>
        <v>47</v>
      </c>
      <c r="B48" s="114" t="s">
        <v>303</v>
      </c>
      <c r="C48" s="114" t="s">
        <v>304</v>
      </c>
      <c r="D48" s="114" t="s">
        <v>483</v>
      </c>
      <c r="E48" s="115" t="str">
        <f t="shared" si="6"/>
        <v>&lt;img src="https://i.ibb.co/Lv4tzpS/M-NEG-CERO-M-L.png" width="100"&gt;</v>
      </c>
      <c r="F48" s="114" cm="1">
        <f t="array" aca="1" ref="F48" ca="1">INDIRECT("A"&amp;ROW()+1)</f>
        <v>48</v>
      </c>
      <c r="G48" s="114" cm="1">
        <f t="array" aca="1" ref="G48" ca="1">INDIRECT("A"&amp;ROW()-1)</f>
        <v>46</v>
      </c>
      <c r="H48" s="114">
        <f t="shared" ca="1" si="5"/>
        <v>52</v>
      </c>
      <c r="I48" s="238" t="str" cm="1">
        <f t="array" aca="1" ref="I48" ca="1">" [[[{"&amp;'RESULTADOS - FTP'!$O$52&amp;":MCVS:"&amp;'RESULTADOS - FTP'!$P$3 &amp;   E48                         &amp;"#"&amp;Retro_MuyBien&amp;
                                      "~%"&amp;'RESULTADOS - FTP'!$R$52&amp;"%" &amp; INDIRECT("E"&amp; F48 + 1 )  &amp;"#"&amp;Retro_Mal&amp;
                                      "~%"&amp;'RESULTADOS - FTP'!$R$52&amp;"%" &amp; INDIRECT("E"&amp; G48 + 1 )  &amp;"#"&amp;Retro_Mal&amp;"}]]]"</f>
        <v xml:space="preserve"> [[[{6:MCVS:%100%&lt;img src="https://i.ibb.co/Lv4tzpS/M-NEG-CERO-M-L.png" width="100"&gt;#¡Muy bien!~%-33%&lt;img src="https://i.ibb.co/BPyF4yj/M-CERO-POS-M-L.png" width="100"&gt;#Incorrecto.~%-33%&lt;img src="https://i.ibb.co/s9kvjXz/M-POS-CERO-M-L.png" width="100"&gt;#Incorrecto.}]]]</v>
      </c>
      <c r="J48" s="293" t="e" vm="132">
        <v>#VALUE!</v>
      </c>
      <c r="K48" s="293" t="e" vm="133">
        <v>#VALUE!</v>
      </c>
      <c r="L48" s="293" t="e" vm="134">
        <v>#VALUE!</v>
      </c>
      <c r="M48" s="114" t="s">
        <v>303</v>
      </c>
    </row>
    <row r="49" spans="1:13" ht="33.450000000000003" customHeight="1" outlineLevel="1">
      <c r="A49">
        <f t="shared" si="2"/>
        <v>48</v>
      </c>
      <c r="B49" s="114" t="s">
        <v>305</v>
      </c>
      <c r="C49" s="114" t="s">
        <v>306</v>
      </c>
      <c r="D49" s="114" t="s">
        <v>479</v>
      </c>
      <c r="E49" s="115" t="str">
        <f t="shared" si="6"/>
        <v>&lt;img src="https://i.ibb.co/BPyF4yj/M-CERO-POS-M-L.png" width="100"&gt;</v>
      </c>
      <c r="F49" s="114" cm="1">
        <f t="array" aca="1" ref="F49" ca="1">INDIRECT("A"&amp;ROW()+1)</f>
        <v>49</v>
      </c>
      <c r="G49" s="114" cm="1">
        <f t="array" aca="1" ref="G49" ca="1">INDIRECT("A"&amp;ROW()+2)</f>
        <v>50</v>
      </c>
      <c r="H49" s="114">
        <f t="shared" ca="1" si="5"/>
        <v>66</v>
      </c>
      <c r="I49" s="238" t="str" cm="1">
        <f t="array" aca="1" ref="I49" ca="1">" [[[{"&amp;'RESULTADOS - FTP'!$O$52&amp;":MCVS:"&amp;'RESULTADOS - FTP'!$P$3 &amp;   E49                         &amp;"#"&amp;Retro_MuyBien&amp;
                                      "~%"&amp;'RESULTADOS - FTP'!$R$52&amp;"%" &amp; INDIRECT("E"&amp; F49 + 1 )  &amp;"#"&amp;Retro_Mal&amp;
                                      "~%"&amp;'RESULTADOS - FTP'!$R$52&amp;"%" &amp; INDIRECT("E"&amp; G49 + 1 )  &amp;"#"&amp;Retro_Mal&amp;"}]]]"</f>
        <v xml:space="preserve"> [[[{6:MCVS:%100%&lt;img src="https://i.ibb.co/BPyF4yj/M-CERO-POS-M-L.png" width="100"&gt;#¡Muy bien!~%-33%&lt;img src="https://i.ibb.co/JxHtSGz/M-CERO-NEG-M-L.png" width="100"&gt;#Incorrecto.~%-33%&lt;img src="https://i.ibb.co/rZSxsYc/M-POS-CERO-M-0.png" width="100"&gt;#Incorrecto.}]]]</v>
      </c>
      <c r="J49" s="293" t="e" vm="135">
        <v>#VALUE!</v>
      </c>
      <c r="K49" s="293" t="e" vm="136">
        <v>#VALUE!</v>
      </c>
      <c r="L49" s="293" t="e" vm="137">
        <v>#VALUE!</v>
      </c>
      <c r="M49" s="114" t="s">
        <v>305</v>
      </c>
    </row>
    <row r="50" spans="1:13" ht="33.450000000000003" customHeight="1" outlineLevel="1">
      <c r="A50">
        <f t="shared" si="2"/>
        <v>49</v>
      </c>
      <c r="B50" s="114" t="s">
        <v>307</v>
      </c>
      <c r="C50" s="114" t="s">
        <v>308</v>
      </c>
      <c r="D50" s="114" t="s">
        <v>475</v>
      </c>
      <c r="E50" s="115" t="str">
        <f t="shared" si="6"/>
        <v>&lt;img src="https://i.ibb.co/JxHtSGz/M-CERO-NEG-M-L.png" width="100"&gt;</v>
      </c>
      <c r="F50" s="114" cm="1">
        <f t="array" aca="1" ref="F50" ca="1">INDIRECT("A"&amp;ROW()+1)</f>
        <v>50</v>
      </c>
      <c r="G50" s="114" cm="1">
        <f t="array" aca="1" ref="G50" ca="1">INDIRECT("A"&amp;ROW()-1)</f>
        <v>48</v>
      </c>
      <c r="H50" s="114">
        <f t="shared" ca="1" si="5"/>
        <v>56</v>
      </c>
      <c r="I50" s="238" t="str" cm="1">
        <f t="array" aca="1" ref="I50" ca="1">" [[[{"&amp;'RESULTADOS - FTP'!$O$52&amp;":MCVS:"&amp;'RESULTADOS - FTP'!$P$3 &amp;   E50                         &amp;"#"&amp;Retro_MuyBien&amp;
                                      "~%"&amp;'RESULTADOS - FTP'!$R$52&amp;"%" &amp; INDIRECT("E"&amp; F50 + 1 )  &amp;"#"&amp;Retro_Mal&amp;
                                      "~%"&amp;'RESULTADOS - FTP'!$R$52&amp;"%" &amp; INDIRECT("E"&amp; G50 + 1 )  &amp;"#"&amp;Retro_Mal&amp;"}]]]"</f>
        <v xml:space="preserve"> [[[{6:MCVS:%100%&lt;img src="https://i.ibb.co/JxHtSGz/M-CERO-NEG-M-L.png" width="100"&gt;#¡Muy bien!~%-33%&lt;img src="https://i.ibb.co/rZSxsYc/M-POS-CERO-M-0.png" width="100"&gt;#Incorrecto.~%-33%&lt;img src="https://i.ibb.co/BPyF4yj/M-CERO-POS-M-L.png" width="100"&gt;#Incorrecto.}]]]</v>
      </c>
      <c r="J50" s="293" t="e" vm="138">
        <v>#VALUE!</v>
      </c>
      <c r="K50" s="293" t="e" vm="139">
        <v>#VALUE!</v>
      </c>
      <c r="L50" s="293" t="e" vm="140">
        <v>#VALUE!</v>
      </c>
      <c r="M50" s="114" t="s">
        <v>307</v>
      </c>
    </row>
    <row r="51" spans="1:13" ht="33.450000000000003" customHeight="1" outlineLevel="1">
      <c r="A51">
        <f t="shared" si="2"/>
        <v>50</v>
      </c>
      <c r="B51" s="114" t="s">
        <v>309</v>
      </c>
      <c r="C51" s="114" t="s">
        <v>310</v>
      </c>
      <c r="D51" s="114" t="s">
        <v>504</v>
      </c>
      <c r="E51" s="115" t="str">
        <f t="shared" si="6"/>
        <v>&lt;img src="https://i.ibb.co/rZSxsYc/M-POS-CERO-M-0.png" width="100"&gt;</v>
      </c>
      <c r="F51" s="114" cm="1">
        <f t="array" aca="1" ref="F51" ca="1">INDIRECT("A"&amp;ROW()+1)</f>
        <v>51</v>
      </c>
      <c r="G51" s="114" cm="1">
        <f t="array" aca="1" ref="G51" ca="1">INDIRECT("A"&amp;ROW()+2)</f>
        <v>52</v>
      </c>
      <c r="H51" s="114">
        <f t="shared" ca="1" si="5"/>
        <v>62</v>
      </c>
      <c r="I51" s="238" t="str" cm="1">
        <f t="array" aca="1" ref="I51" ca="1">" [[[{"&amp;'RESULTADOS - FTP'!$O$52&amp;":MCVS:"&amp;'RESULTADOS - FTP'!$P$3 &amp;   E51                         &amp;"#"&amp;Retro_MuyBien&amp;
                                      "~%"&amp;'RESULTADOS - FTP'!$R$52&amp;"%" &amp; INDIRECT("E"&amp; F51 + 1 )  &amp;"#"&amp;Retro_Mal&amp;
                                      "~%"&amp;'RESULTADOS - FTP'!$R$52&amp;"%" &amp; INDIRECT("E"&amp; G51 + 1 )  &amp;"#"&amp;Retro_Mal&amp;"}]]]"</f>
        <v xml:space="preserve"> [[[{6:MCVS:%100%&lt;img src="https://i.ibb.co/rZSxsYc/M-POS-CERO-M-0.png" width="100"&gt;#¡Muy bien!~%-33%&lt;img src="https://i.ibb.co/rp93Y4q/M-NEG-CERO-M-0.png" width="100"&gt;#Incorrecto.~%-33%&lt;img src="https://i.ibb.co/qYnwX9q/M-CERO-CERO-POS.png" width="100"&gt;#Incorrecto.}]]]</v>
      </c>
      <c r="J51" s="293" t="e" vm="141">
        <v>#VALUE!</v>
      </c>
      <c r="K51" s="293" t="e" vm="142">
        <v>#VALUE!</v>
      </c>
      <c r="L51" s="293" t="e" vm="143">
        <v>#VALUE!</v>
      </c>
      <c r="M51" s="114" t="s">
        <v>309</v>
      </c>
    </row>
    <row r="52" spans="1:13" ht="33.450000000000003" customHeight="1" outlineLevel="1">
      <c r="A52">
        <f t="shared" si="2"/>
        <v>51</v>
      </c>
      <c r="B52" s="114" t="s">
        <v>311</v>
      </c>
      <c r="C52" s="114" t="s">
        <v>312</v>
      </c>
      <c r="D52" s="114" t="s">
        <v>482</v>
      </c>
      <c r="E52" s="115" t="str">
        <f t="shared" si="6"/>
        <v>&lt;img src="https://i.ibb.co/rp93Y4q/M-NEG-CERO-M-0.png" width="100"&gt;</v>
      </c>
      <c r="F52" s="114" cm="1">
        <f t="array" aca="1" ref="F52" ca="1">INDIRECT("A"&amp;ROW()+1)</f>
        <v>52</v>
      </c>
      <c r="G52" s="114" cm="1">
        <f t="array" aca="1" ref="G52" ca="1">INDIRECT("A"&amp;ROW()-1)</f>
        <v>50</v>
      </c>
      <c r="H52" s="114">
        <f t="shared" ca="1" si="5"/>
        <v>58</v>
      </c>
      <c r="I52" s="238" t="str" cm="1">
        <f t="array" aca="1" ref="I52" ca="1">" [[[{"&amp;'RESULTADOS - FTP'!$O$52&amp;":MCVS:"&amp;'RESULTADOS - FTP'!$P$3 &amp;   E52                         &amp;"#"&amp;Retro_MuyBien&amp;
                                      "~%"&amp;'RESULTADOS - FTP'!$R$52&amp;"%" &amp; INDIRECT("E"&amp; F52 + 1 )  &amp;"#"&amp;Retro_Mal&amp;
                                      "~%"&amp;'RESULTADOS - FTP'!$R$52&amp;"%" &amp; INDIRECT("E"&amp; G52 + 1 )  &amp;"#"&amp;Retro_Mal&amp;"}]]]"</f>
        <v xml:space="preserve"> [[[{6:MCVS:%100%&lt;img src="https://i.ibb.co/rp93Y4q/M-NEG-CERO-M-0.png" width="100"&gt;#¡Muy bien!~%-33%&lt;img src="https://i.ibb.co/qYnwX9q/M-CERO-CERO-POS.png" width="100"&gt;#Incorrecto.~%-33%&lt;img src="https://i.ibb.co/rZSxsYc/M-POS-CERO-M-0.png" width="100"&gt;#Incorrecto.}]]]</v>
      </c>
      <c r="J52" s="293" t="e" vm="144">
        <v>#VALUE!</v>
      </c>
      <c r="K52" s="293" t="e" vm="145">
        <v>#VALUE!</v>
      </c>
      <c r="L52" s="293" t="e" vm="146">
        <v>#VALUE!</v>
      </c>
      <c r="M52" s="114" t="s">
        <v>311</v>
      </c>
    </row>
    <row r="53" spans="1:13" ht="33.450000000000003" customHeight="1" outlineLevel="1">
      <c r="A53">
        <f t="shared" si="2"/>
        <v>52</v>
      </c>
      <c r="B53" s="114" t="s">
        <v>313</v>
      </c>
      <c r="C53" s="114" t="s">
        <v>314</v>
      </c>
      <c r="D53" s="114" t="s">
        <v>473</v>
      </c>
      <c r="E53" s="115" t="str">
        <f t="shared" si="6"/>
        <v>&lt;img src="https://i.ibb.co/qYnwX9q/M-CERO-CERO-POS.png" width="100"&gt;</v>
      </c>
      <c r="F53" s="114" cm="1">
        <f t="array" aca="1" ref="F53" ca="1">INDIRECT("A"&amp;ROW()+1)</f>
        <v>53</v>
      </c>
      <c r="G53" s="114" cm="1">
        <f t="array" aca="1" ref="G53" ca="1">INDIRECT("A"&amp;ROW()+2)</f>
        <v>54</v>
      </c>
      <c r="H53" s="114">
        <f t="shared" ca="1" si="5"/>
        <v>61</v>
      </c>
      <c r="I53" s="238" t="str" cm="1">
        <f t="array" aca="1" ref="I53" ca="1">" [[[{"&amp;'RESULTADOS - FTP'!$O$52&amp;":MCVS:"&amp;'RESULTADOS - FTP'!$P$3 &amp;   E53                         &amp;"#"&amp;Retro_MuyBien&amp;
                                      "~%"&amp;'RESULTADOS - FTP'!$R$52&amp;"%" &amp; INDIRECT("E"&amp; F53 + 1 )  &amp;"#"&amp;Retro_Mal&amp;
                                      "~%"&amp;'RESULTADOS - FTP'!$R$52&amp;"%" &amp; INDIRECT("E"&amp; G53 + 1 )  &amp;"#"&amp;Retro_Mal&amp;"}]]]"</f>
        <v xml:space="preserve"> [[[{6:MCVS:%100%&lt;img src="https://i.ibb.co/qYnwX9q/M-CERO-CERO-POS.png" width="100"&gt;#¡Muy bien!~%-33%&lt;img src="https://i.ibb.co/ZhZddD5/M-CERO-CERO-NEG.png" width="100"&gt;#Incorrecto.~%-33%&lt;img src="https://i.ibb.co/M9QzyTV/M-POS-POS-MIN-MAX-M-0.png" width="100"&gt;#Incorrecto.}]]]</v>
      </c>
      <c r="J53" s="293" t="e" vm="147">
        <v>#VALUE!</v>
      </c>
      <c r="K53" s="293" t="e" vm="148">
        <v>#VALUE!</v>
      </c>
      <c r="L53" s="293" t="e" vm="149">
        <v>#VALUE!</v>
      </c>
      <c r="M53" s="114" t="s">
        <v>313</v>
      </c>
    </row>
    <row r="54" spans="1:13" ht="33.450000000000003" customHeight="1" outlineLevel="1">
      <c r="A54">
        <f t="shared" si="2"/>
        <v>53</v>
      </c>
      <c r="B54" s="114" t="s">
        <v>315</v>
      </c>
      <c r="C54" s="114" t="s">
        <v>316</v>
      </c>
      <c r="D54" s="114" t="s">
        <v>472</v>
      </c>
      <c r="E54" s="115" t="str">
        <f t="shared" si="6"/>
        <v>&lt;img src="https://i.ibb.co/ZhZddD5/M-CERO-CERO-NEG.png" width="100"&gt;</v>
      </c>
      <c r="F54" s="114" cm="1">
        <f t="array" aca="1" ref="F54" ca="1">INDIRECT("A"&amp;ROW()+1)</f>
        <v>54</v>
      </c>
      <c r="G54" s="114" cm="1">
        <f t="array" aca="1" ref="G54" ca="1">INDIRECT("A"&amp;ROW()-1)</f>
        <v>52</v>
      </c>
      <c r="H54" s="114">
        <f t="shared" ca="1" si="5"/>
        <v>61</v>
      </c>
      <c r="I54" s="238" t="str" cm="1">
        <f t="array" aca="1" ref="I54" ca="1">" [[[{"&amp;'RESULTADOS - FTP'!$O$52&amp;":MCVS:"&amp;'RESULTADOS - FTP'!$P$3 &amp;   E54                         &amp;"#"&amp;Retro_MuyBien&amp;
                                      "~%"&amp;'RESULTADOS - FTP'!$R$52&amp;"%" &amp; INDIRECT("E"&amp; F54 + 1 )  &amp;"#"&amp;Retro_Mal&amp;
                                      "~%"&amp;'RESULTADOS - FTP'!$R$52&amp;"%" &amp; INDIRECT("E"&amp; G54 + 1 )  &amp;"#"&amp;Retro_Mal&amp;"}]]]"</f>
        <v xml:space="preserve"> [[[{6:MCVS:%100%&lt;img src="https://i.ibb.co/ZhZddD5/M-CERO-CERO-NEG.png" width="100"&gt;#¡Muy bien!~%-33%&lt;img src="https://i.ibb.co/M9QzyTV/M-POS-POS-MIN-MAX-M-0.png" width="100"&gt;#Incorrecto.~%-33%&lt;img src="https://i.ibb.co/qYnwX9q/M-CERO-CERO-POS.png" width="100"&gt;#Incorrecto.}]]]</v>
      </c>
      <c r="J54" s="293" t="e" vm="150">
        <v>#VALUE!</v>
      </c>
      <c r="K54" s="293" t="e" vm="151">
        <v>#VALUE!</v>
      </c>
      <c r="L54" s="293" t="e" vm="152">
        <v>#VALUE!</v>
      </c>
      <c r="M54" s="114" t="s">
        <v>315</v>
      </c>
    </row>
    <row r="55" spans="1:13" ht="33.450000000000003" customHeight="1" outlineLevel="1">
      <c r="A55">
        <f t="shared" si="2"/>
        <v>54</v>
      </c>
      <c r="B55" s="114" t="s">
        <v>317</v>
      </c>
      <c r="C55" s="114" t="s">
        <v>318</v>
      </c>
      <c r="D55" s="114" t="s">
        <v>460</v>
      </c>
      <c r="E55" s="115" t="str">
        <f t="shared" si="6"/>
        <v>&lt;img src="https://i.ibb.co/M9QzyTV/M-POS-POS-MIN-MAX-M-0.png" width="100"&gt;</v>
      </c>
      <c r="F55" s="114" cm="1">
        <f t="array" aca="1" ref="F55" ca="1">INDIRECT("A"&amp;ROW()+1)</f>
        <v>55</v>
      </c>
      <c r="G55" s="114" cm="1">
        <f t="array" aca="1" ref="G55" ca="1">INDIRECT("A"&amp;ROW()+2)</f>
        <v>56</v>
      </c>
      <c r="H55" s="114">
        <f t="shared" ca="1" si="5"/>
        <v>57</v>
      </c>
      <c r="I55" s="238" t="str" cm="1">
        <f t="array" aca="1" ref="I55" ca="1">" [[[{"&amp;'RESULTADOS - FTP'!$O$52&amp;":MCVS:"&amp;'RESULTADOS - FTP'!$P$3 &amp;   E55                         &amp;"#"&amp;Retro_MuyBien&amp;
                                      "~%"&amp;'RESULTADOS - FTP'!$R$52&amp;"%" &amp; INDIRECT("E"&amp; F55 + 1 )  &amp;"#"&amp;Retro_Mal&amp;
                                      "~%"&amp;'RESULTADOS - FTP'!$R$52&amp;"%" &amp; INDIRECT("E"&amp; G55 + 1 )  &amp;"#"&amp;Retro_Mal&amp;"}]]]"</f>
        <v xml:space="preserve"> [[[{6:MCVS:%100%&lt;img src="https://i.ibb.co/M9QzyTV/M-POS-POS-MIN-MAX-M-0.png" width="100"&gt;#¡Muy bien!~%-33%&lt;img src="https://i.ibb.co/wCDz7QT/M-NEG-NEG-MAX-MIN-M-0.png" width="100"&gt;#Incorrecto.~%-33%&lt;img src="https://i.ibb.co/9bj93SV/M-POS-POS-MAX-MIN-M-L.png" width="100"&gt;#Incorrecto.}]]]</v>
      </c>
      <c r="J55" s="293" t="e" vm="153">
        <v>#VALUE!</v>
      </c>
      <c r="K55" s="293" t="e" vm="154">
        <v>#VALUE!</v>
      </c>
      <c r="L55" s="293" t="e" vm="155">
        <v>#VALUE!</v>
      </c>
      <c r="M55" s="114" t="s">
        <v>317</v>
      </c>
    </row>
    <row r="56" spans="1:13" ht="33.450000000000003" customHeight="1" outlineLevel="1">
      <c r="A56">
        <f t="shared" si="2"/>
        <v>55</v>
      </c>
      <c r="B56" s="114" t="s">
        <v>319</v>
      </c>
      <c r="C56" s="114" t="s">
        <v>320</v>
      </c>
      <c r="D56" s="114" t="s">
        <v>486</v>
      </c>
      <c r="E56" s="115" t="str">
        <f t="shared" si="6"/>
        <v>&lt;img src="https://i.ibb.co/wCDz7QT/M-NEG-NEG-MAX-MIN-M-0.png" width="100"&gt;</v>
      </c>
      <c r="F56" s="114" cm="1">
        <f t="array" aca="1" ref="F56" ca="1">INDIRECT("A"&amp;ROW()+1)</f>
        <v>56</v>
      </c>
      <c r="G56" s="114" cm="1">
        <f t="array" aca="1" ref="G56" ca="1">INDIRECT("A"&amp;ROW()-1)</f>
        <v>54</v>
      </c>
      <c r="H56" s="114">
        <f t="shared" ca="1" si="5"/>
        <v>62</v>
      </c>
      <c r="I56" s="238" t="str" cm="1">
        <f t="array" aca="1" ref="I56" ca="1">" [[[{"&amp;'RESULTADOS - FTP'!$O$52&amp;":MCVS:"&amp;'RESULTADOS - FTP'!$P$3 &amp;   E56                         &amp;"#"&amp;Retro_MuyBien&amp;
                                      "~%"&amp;'RESULTADOS - FTP'!$R$52&amp;"%" &amp; INDIRECT("E"&amp; F56 + 1 )  &amp;"#"&amp;Retro_Mal&amp;
                                      "~%"&amp;'RESULTADOS - FTP'!$R$52&amp;"%" &amp; INDIRECT("E"&amp; G56 + 1 )  &amp;"#"&amp;Retro_Mal&amp;"}]]]"</f>
        <v xml:space="preserve"> [[[{6:MCVS:%100%&lt;img src="https://i.ibb.co/wCDz7QT/M-NEG-NEG-MAX-MIN-M-0.png" width="100"&gt;#¡Muy bien!~%-33%&lt;img src="https://i.ibb.co/9bj93SV/M-POS-POS-MAX-MIN-M-L.png" width="100"&gt;#Incorrecto.~%-33%&lt;img src="https://i.ibb.co/M9QzyTV/M-POS-POS-MIN-MAX-M-0.png" width="100"&gt;#Incorrecto.}]]]</v>
      </c>
      <c r="J56" s="293" t="e" vm="156">
        <v>#VALUE!</v>
      </c>
      <c r="K56" s="293" t="e" vm="157">
        <v>#VALUE!</v>
      </c>
      <c r="L56" s="293" t="e" vm="158">
        <v>#VALUE!</v>
      </c>
      <c r="M56" s="114" t="s">
        <v>319</v>
      </c>
    </row>
    <row r="57" spans="1:13" ht="33.450000000000003" customHeight="1" outlineLevel="1">
      <c r="A57">
        <f t="shared" si="2"/>
        <v>56</v>
      </c>
      <c r="B57" s="114" t="s">
        <v>321</v>
      </c>
      <c r="C57" s="114" t="s">
        <v>322</v>
      </c>
      <c r="D57" s="114" t="s">
        <v>455</v>
      </c>
      <c r="E57" s="115" t="str">
        <f t="shared" si="6"/>
        <v>&lt;img src="https://i.ibb.co/9bj93SV/M-POS-POS-MAX-MIN-M-L.png" width="100"&gt;</v>
      </c>
      <c r="F57" s="114" cm="1">
        <f t="array" aca="1" ref="F57" ca="1">INDIRECT("A"&amp;ROW()+1)</f>
        <v>57</v>
      </c>
      <c r="G57" s="114" cm="1">
        <f t="array" aca="1" ref="G57" ca="1">INDIRECT("A"&amp;ROW()+2)</f>
        <v>58</v>
      </c>
      <c r="H57" s="114">
        <f t="shared" ca="1" si="5"/>
        <v>62</v>
      </c>
      <c r="I57" s="238" t="str" cm="1">
        <f t="array" aca="1" ref="I57" ca="1">" [[[{"&amp;'RESULTADOS - FTP'!$O$52&amp;":MCVS:"&amp;'RESULTADOS - FTP'!$P$3 &amp;   E57                         &amp;"#"&amp;Retro_MuyBien&amp;
                                      "~%"&amp;'RESULTADOS - FTP'!$R$52&amp;"%" &amp; INDIRECT("E"&amp; F57 + 1 )  &amp;"#"&amp;Retro_Mal&amp;
                                      "~%"&amp;'RESULTADOS - FTP'!$R$52&amp;"%" &amp; INDIRECT("E"&amp; G57 + 1 )  &amp;"#"&amp;Retro_Mal&amp;"}]]]"</f>
        <v xml:space="preserve"> [[[{6:MCVS:%100%&lt;img src="https://i.ibb.co/9bj93SV/M-POS-POS-MAX-MIN-M-L.png" width="100"&gt;#¡Muy bien!~%-33%&lt;img src="https://i.ibb.co/zZMWkKG/M-NEG-NEG-MIN-MAX-M-L.png" width="100"&gt;#Incorrecto.~%-33%&lt;img src="https://i.ibb.co/ThH4Wk4/M-POS-POS-MIN-MAX-M-L.png" width="100"&gt;#Incorrecto.}]]]</v>
      </c>
      <c r="J57" s="293" t="e" vm="159">
        <v>#VALUE!</v>
      </c>
      <c r="K57" s="293" t="e" vm="160">
        <v>#VALUE!</v>
      </c>
      <c r="L57" s="293" t="e" vm="161">
        <v>#VALUE!</v>
      </c>
      <c r="M57" s="114" t="s">
        <v>321</v>
      </c>
    </row>
    <row r="58" spans="1:13" ht="33.450000000000003" customHeight="1" outlineLevel="1">
      <c r="A58">
        <f t="shared" si="2"/>
        <v>57</v>
      </c>
      <c r="B58" s="114" t="s">
        <v>323</v>
      </c>
      <c r="C58" s="114" t="s">
        <v>324</v>
      </c>
      <c r="D58" s="114" t="s">
        <v>493</v>
      </c>
      <c r="E58" s="115" t="str">
        <f t="shared" si="6"/>
        <v>&lt;img src="https://i.ibb.co/zZMWkKG/M-NEG-NEG-MIN-MAX-M-L.png" width="100"&gt;</v>
      </c>
      <c r="F58" s="114" cm="1">
        <f t="array" aca="1" ref="F58" ca="1">INDIRECT("A"&amp;ROW()+1)</f>
        <v>58</v>
      </c>
      <c r="G58" s="114" cm="1">
        <f t="array" aca="1" ref="G58" ca="1">INDIRECT("A"&amp;ROW()-1)</f>
        <v>56</v>
      </c>
      <c r="H58" s="114">
        <f t="shared" ca="1" si="5"/>
        <v>64</v>
      </c>
      <c r="I58" s="238" t="str" cm="1">
        <f t="array" aca="1" ref="I58" ca="1">" [[[{"&amp;'RESULTADOS - FTP'!$O$52&amp;":MCVS:"&amp;'RESULTADOS - FTP'!$P$3 &amp;   E58                         &amp;"#"&amp;Retro_MuyBien&amp;
                                      "~%"&amp;'RESULTADOS - FTP'!$R$52&amp;"%" &amp; INDIRECT("E"&amp; F58 + 1 )  &amp;"#"&amp;Retro_Mal&amp;
                                      "~%"&amp;'RESULTADOS - FTP'!$R$52&amp;"%" &amp; INDIRECT("E"&amp; G58 + 1 )  &amp;"#"&amp;Retro_Mal&amp;"}]]]"</f>
        <v xml:space="preserve"> [[[{6:MCVS:%100%&lt;img src="https://i.ibb.co/zZMWkKG/M-NEG-NEG-MIN-MAX-M-L.png" width="100"&gt;#¡Muy bien!~%-33%&lt;img src="https://i.ibb.co/ThH4Wk4/M-POS-POS-MIN-MAX-M-L.png" width="100"&gt;#Incorrecto.~%-33%&lt;img src="https://i.ibb.co/9bj93SV/M-POS-POS-MAX-MIN-M-L.png" width="100"&gt;#Incorrecto.}]]]</v>
      </c>
      <c r="J58" s="293" t="e" vm="162">
        <v>#VALUE!</v>
      </c>
      <c r="K58" s="293" t="e" vm="163">
        <v>#VALUE!</v>
      </c>
      <c r="L58" s="293" t="e" vm="164">
        <v>#VALUE!</v>
      </c>
      <c r="M58" s="114" t="s">
        <v>323</v>
      </c>
    </row>
    <row r="59" spans="1:13" ht="33.450000000000003" customHeight="1" outlineLevel="1">
      <c r="A59">
        <f t="shared" si="2"/>
        <v>58</v>
      </c>
      <c r="B59" s="114" t="s">
        <v>325</v>
      </c>
      <c r="C59" s="114" t="s">
        <v>326</v>
      </c>
      <c r="D59" s="114" t="s">
        <v>461</v>
      </c>
      <c r="E59" s="115" t="str">
        <f t="shared" si="6"/>
        <v>&lt;img src="https://i.ibb.co/ThH4Wk4/M-POS-POS-MIN-MAX-M-L.png" width="100"&gt;</v>
      </c>
      <c r="F59" s="114" cm="1">
        <f t="array" aca="1" ref="F59" ca="1">INDIRECT("A"&amp;ROW()+1)</f>
        <v>59</v>
      </c>
      <c r="G59" s="114" cm="1">
        <f t="array" aca="1" ref="G59" ca="1">INDIRECT("A"&amp;ROW()+2)</f>
        <v>60</v>
      </c>
      <c r="H59" s="114">
        <f t="shared" ca="1" si="5"/>
        <v>65</v>
      </c>
      <c r="I59" s="238" t="str" cm="1">
        <f t="array" aca="1" ref="I59" ca="1">" [[[{"&amp;'RESULTADOS - FTP'!$O$52&amp;":MCVS:"&amp;'RESULTADOS - FTP'!$P$3 &amp;   E59                         &amp;"#"&amp;Retro_MuyBien&amp;
                                      "~%"&amp;'RESULTADOS - FTP'!$R$52&amp;"%" &amp; INDIRECT("E"&amp; F59 + 1 )  &amp;"#"&amp;Retro_Mal&amp;
                                      "~%"&amp;'RESULTADOS - FTP'!$R$52&amp;"%" &amp; INDIRECT("E"&amp; G59 + 1 )  &amp;"#"&amp;Retro_Mal&amp;"}]]]"</f>
        <v xml:space="preserve"> [[[{6:MCVS:%100%&lt;img src="https://i.ibb.co/ThH4Wk4/M-POS-POS-MIN-MAX-M-L.png" width="100"&gt;#¡Muy bien!~%-33%&lt;img src="https://i.ibb.co/LJFDzcB/M-NEG-NEG-MAX-MIN-M-L.png" width="100"&gt;#Incorrecto.~%-33%&lt;img src="https://i.ibb.co/KDyC7gf/M-NEG-NEG-MIN-MAX-M-0.png" width="100"&gt;#Incorrecto.}]]]</v>
      </c>
      <c r="J59" s="293" t="e" vm="165">
        <v>#VALUE!</v>
      </c>
      <c r="K59" s="293" t="e" vm="166">
        <v>#VALUE!</v>
      </c>
      <c r="L59" s="293" t="e" vm="167">
        <v>#VALUE!</v>
      </c>
      <c r="M59" s="114" t="s">
        <v>325</v>
      </c>
    </row>
    <row r="60" spans="1:13" ht="33.450000000000003" customHeight="1" outlineLevel="1">
      <c r="A60">
        <f t="shared" si="2"/>
        <v>59</v>
      </c>
      <c r="B60" s="114" t="s">
        <v>327</v>
      </c>
      <c r="C60" s="114" t="s">
        <v>328</v>
      </c>
      <c r="D60" s="114" t="s">
        <v>487</v>
      </c>
      <c r="E60" s="115" t="str">
        <f t="shared" si="6"/>
        <v>&lt;img src="https://i.ibb.co/LJFDzcB/M-NEG-NEG-MAX-MIN-M-L.png" width="100"&gt;</v>
      </c>
      <c r="F60" s="114" cm="1">
        <f t="array" aca="1" ref="F60" ca="1">INDIRECT("A"&amp;ROW()+1)</f>
        <v>60</v>
      </c>
      <c r="G60" s="114" cm="1">
        <f t="array" aca="1" ref="G60" ca="1">INDIRECT("A"&amp;ROW()-1)</f>
        <v>58</v>
      </c>
      <c r="H60" s="114">
        <f t="shared" ca="1" si="5"/>
        <v>61</v>
      </c>
      <c r="I60" s="238" t="str" cm="1">
        <f t="array" aca="1" ref="I60" ca="1">" [[[{"&amp;'RESULTADOS - FTP'!$O$52&amp;":MCVS:"&amp;'RESULTADOS - FTP'!$P$3 &amp;   E60                         &amp;"#"&amp;Retro_MuyBien&amp;
                                      "~%"&amp;'RESULTADOS - FTP'!$R$52&amp;"%" &amp; INDIRECT("E"&amp; F60 + 1 )  &amp;"#"&amp;Retro_Mal&amp;
                                      "~%"&amp;'RESULTADOS - FTP'!$R$52&amp;"%" &amp; INDIRECT("E"&amp; G60 + 1 )  &amp;"#"&amp;Retro_Mal&amp;"}]]]"</f>
        <v xml:space="preserve"> [[[{6:MCVS:%100%&lt;img src="https://i.ibb.co/LJFDzcB/M-NEG-NEG-MAX-MIN-M-L.png" width="100"&gt;#¡Muy bien!~%-33%&lt;img src="https://i.ibb.co/KDyC7gf/M-NEG-NEG-MIN-MAX-M-0.png" width="100"&gt;#Incorrecto.~%-33%&lt;img src="https://i.ibb.co/ThH4Wk4/M-POS-POS-MIN-MAX-M-L.png" width="100"&gt;#Incorrecto.}]]]</v>
      </c>
      <c r="J60" s="293" t="e" vm="168">
        <v>#VALUE!</v>
      </c>
      <c r="K60" s="293" t="e" vm="169">
        <v>#VALUE!</v>
      </c>
      <c r="L60" s="293" t="e" vm="170">
        <v>#VALUE!</v>
      </c>
      <c r="M60" s="114" t="s">
        <v>327</v>
      </c>
    </row>
    <row r="61" spans="1:13" ht="33.450000000000003" customHeight="1" outlineLevel="1">
      <c r="A61">
        <f t="shared" si="2"/>
        <v>60</v>
      </c>
      <c r="B61" s="114" t="s">
        <v>329</v>
      </c>
      <c r="C61" s="114" t="s">
        <v>330</v>
      </c>
      <c r="D61" s="114" t="s">
        <v>492</v>
      </c>
      <c r="E61" s="115" t="str">
        <f t="shared" si="6"/>
        <v>&lt;img src="https://i.ibb.co/KDyC7gf/M-NEG-NEG-MIN-MAX-M-0.png" width="100"&gt;</v>
      </c>
      <c r="F61" s="114" cm="1">
        <f t="array" aca="1" ref="F61" ca="1">INDIRECT("A"&amp;ROW()+1)</f>
        <v>61</v>
      </c>
      <c r="G61" s="114" cm="1">
        <f t="array" aca="1" ref="G61" ca="1">INDIRECT("A"&amp;ROW()+2)</f>
        <v>62</v>
      </c>
      <c r="H61" s="114">
        <f t="shared" ca="1" si="5"/>
        <v>67</v>
      </c>
      <c r="I61" s="238" t="str" cm="1">
        <f t="array" aca="1" ref="I61" ca="1">" [[[{"&amp;'RESULTADOS - FTP'!$O$52&amp;":MCVS:"&amp;'RESULTADOS - FTP'!$P$3 &amp;   E61                         &amp;"#"&amp;Retro_MuyBien&amp;
                                      "~%"&amp;'RESULTADOS - FTP'!$R$52&amp;"%" &amp; INDIRECT("E"&amp; F61 + 1 )  &amp;"#"&amp;Retro_Mal&amp;
                                      "~%"&amp;'RESULTADOS - FTP'!$R$52&amp;"%" &amp; INDIRECT("E"&amp; G61 + 1 )  &amp;"#"&amp;Retro_Mal&amp;"}]]]"</f>
        <v xml:space="preserve"> [[[{6:MCVS:%100%&lt;img src="https://i.ibb.co/KDyC7gf/M-NEG-NEG-MIN-MAX-M-0.png" width="100"&gt;#¡Muy bien!~%-33%&lt;img src="https://i.ibb.co/1XVwKXM/M-POS-POS-MAX-MIN-M-0.png" width="100"&gt;#Incorrecto.~%-33%&lt;img src="https://i.ibb.co/rG4KyGQ/M-POS-POS-MIN-MAX-POS-MIN.png" width="100"&gt;#Incorrecto.}]]]</v>
      </c>
      <c r="J61" s="293" t="e" vm="171">
        <v>#VALUE!</v>
      </c>
      <c r="K61" s="293" t="e" vm="172">
        <v>#VALUE!</v>
      </c>
      <c r="L61" s="293" t="e" vm="173">
        <v>#VALUE!</v>
      </c>
      <c r="M61" s="114" t="s">
        <v>329</v>
      </c>
    </row>
    <row r="62" spans="1:13" ht="33.450000000000003" customHeight="1" outlineLevel="1">
      <c r="A62">
        <f t="shared" si="2"/>
        <v>61</v>
      </c>
      <c r="B62" s="114" t="s">
        <v>331</v>
      </c>
      <c r="C62" s="114" t="s">
        <v>332</v>
      </c>
      <c r="D62" s="114" t="s">
        <v>454</v>
      </c>
      <c r="E62" s="115" t="str">
        <f t="shared" si="6"/>
        <v>&lt;img src="https://i.ibb.co/1XVwKXM/M-POS-POS-MAX-MIN-M-0.png" width="100"&gt;</v>
      </c>
      <c r="F62" s="114" cm="1">
        <f t="array" aca="1" ref="F62" ca="1">INDIRECT("A"&amp;ROW()+1)</f>
        <v>62</v>
      </c>
      <c r="G62" s="114" cm="1">
        <f t="array" aca="1" ref="G62" ca="1">INDIRECT("A"&amp;ROW()-1)</f>
        <v>60</v>
      </c>
      <c r="H62" s="114">
        <f t="shared" ca="1" si="5"/>
        <v>63</v>
      </c>
      <c r="I62" s="238" t="str" cm="1">
        <f t="array" aca="1" ref="I62" ca="1">" [[[{"&amp;'RESULTADOS - FTP'!$O$52&amp;":MCVS:"&amp;'RESULTADOS - FTP'!$P$3 &amp;   E62                         &amp;"#"&amp;Retro_MuyBien&amp;
                                      "~%"&amp;'RESULTADOS - FTP'!$R$52&amp;"%" &amp; INDIRECT("E"&amp; F62 + 1 )  &amp;"#"&amp;Retro_Mal&amp;
                                      "~%"&amp;'RESULTADOS - FTP'!$R$52&amp;"%" &amp; INDIRECT("E"&amp; G62 + 1 )  &amp;"#"&amp;Retro_Mal&amp;"}]]]"</f>
        <v xml:space="preserve"> [[[{6:MCVS:%100%&lt;img src="https://i.ibb.co/1XVwKXM/M-POS-POS-MAX-MIN-M-0.png" width="100"&gt;#¡Muy bien!~%-33%&lt;img src="https://i.ibb.co/rG4KyGQ/M-POS-POS-MIN-MAX-POS-MIN.png" width="100"&gt;#Incorrecto.~%-33%&lt;img src="https://i.ibb.co/KDyC7gf/M-NEG-NEG-MIN-MAX-M-0.png" width="100"&gt;#Incorrecto.}]]]</v>
      </c>
      <c r="J62" s="293" t="e" vm="174">
        <v>#VALUE!</v>
      </c>
      <c r="K62" s="293" t="e" vm="175">
        <v>#VALUE!</v>
      </c>
      <c r="L62" s="293" t="e" vm="176">
        <v>#VALUE!</v>
      </c>
      <c r="M62" s="114" t="s">
        <v>331</v>
      </c>
    </row>
    <row r="63" spans="1:13" ht="33.450000000000003" customHeight="1" outlineLevel="1">
      <c r="A63">
        <f t="shared" si="2"/>
        <v>62</v>
      </c>
      <c r="B63" s="114" t="s">
        <v>333</v>
      </c>
      <c r="C63" s="114" t="s">
        <v>334</v>
      </c>
      <c r="D63" s="114" t="s">
        <v>464</v>
      </c>
      <c r="E63" s="115" t="str">
        <f t="shared" si="6"/>
        <v>&lt;img src="https://i.ibb.co/rG4KyGQ/M-POS-POS-MIN-MAX-POS-MIN.png" width="100"&gt;</v>
      </c>
      <c r="F63" s="114" cm="1">
        <f t="array" aca="1" ref="F63" ca="1">INDIRECT("A"&amp;ROW()+1)</f>
        <v>63</v>
      </c>
      <c r="G63" s="114" cm="1">
        <f t="array" aca="1" ref="G63" ca="1">INDIRECT("A"&amp;ROW()-1)</f>
        <v>61</v>
      </c>
      <c r="H63" s="113">
        <f t="shared" ref="H63:H86" ca="1" si="7">RANDBETWEEN($A$41,MIN(F63:G63)-1)</f>
        <v>58</v>
      </c>
      <c r="I63" s="238" t="str" cm="1">
        <f t="array" aca="1" ref="I63" ca="1">" [[[{"&amp;'RESULTADOS - FTP'!$O$52&amp;":MCVS:"&amp;'RESULTADOS - FTP'!$P$3 &amp;   E63                         &amp;"#"&amp;Retro_MuyBien&amp;
                                      "~%"&amp;'RESULTADOS - FTP'!$R$52&amp;"%" &amp; INDIRECT("E"&amp; F63 + 1 )  &amp;"#"&amp;Retro_Mal&amp;
                                      "~%"&amp;'RESULTADOS - FTP'!$R$52&amp;"%" &amp; INDIRECT("E"&amp; G63 + 1 )  &amp;"#"&amp;Retro_Mal&amp;"}]]]"</f>
        <v xml:space="preserve"> [[[{6:MCVS:%100%&lt;img src="https://i.ibb.co/rG4KyGQ/M-POS-POS-MIN-MAX-POS-MIN.png" width="100"&gt;#¡Muy bien!~%-33%&lt;img src="https://i.ibb.co/b5f0Jw7/M-NEG-NEG-MAX-MIN-NEG-MAX.png" width="100"&gt;#Incorrecto.~%-33%&lt;img src="https://i.ibb.co/1XVwKXM/M-POS-POS-MAX-MIN-M-0.png" width="100"&gt;#Incorrecto.}]]]</v>
      </c>
      <c r="J63" s="293" t="e" vm="177">
        <v>#VALUE!</v>
      </c>
      <c r="K63" s="293" t="e" vm="178">
        <v>#VALUE!</v>
      </c>
      <c r="L63" s="293" t="e" vm="179">
        <v>#VALUE!</v>
      </c>
      <c r="M63" s="114" t="s">
        <v>333</v>
      </c>
    </row>
    <row r="64" spans="1:13" ht="33.450000000000003" customHeight="1" outlineLevel="1">
      <c r="A64">
        <f t="shared" si="2"/>
        <v>63</v>
      </c>
      <c r="B64" s="114" t="s">
        <v>335</v>
      </c>
      <c r="C64" s="114" t="s">
        <v>336</v>
      </c>
      <c r="D64" s="114" t="s">
        <v>488</v>
      </c>
      <c r="E64" s="115" t="str">
        <f t="shared" si="6"/>
        <v>&lt;img src="https://i.ibb.co/b5f0Jw7/M-NEG-NEG-MAX-MIN-NEG-MAX.png" width="100"&gt;</v>
      </c>
      <c r="F64" s="114" cm="1">
        <f t="array" aca="1" ref="F64" ca="1">INDIRECT("A"&amp;ROW()-1)</f>
        <v>62</v>
      </c>
      <c r="G64" s="114" cm="1">
        <f t="array" aca="1" ref="G64" ca="1">INDIRECT("A"&amp;ROW()-2)</f>
        <v>61</v>
      </c>
      <c r="H64" s="113">
        <f t="shared" ca="1" si="7"/>
        <v>50</v>
      </c>
      <c r="I64" s="238" t="str" cm="1">
        <f t="array" aca="1" ref="I64" ca="1">" [[[{"&amp;'RESULTADOS - FTP'!$O$52&amp;":MCVS:"&amp;'RESULTADOS - FTP'!$P$3 &amp;   E64                         &amp;"#"&amp;Retro_MuyBien&amp;
                                      "~%"&amp;'RESULTADOS - FTP'!$R$52&amp;"%" &amp; INDIRECT("E"&amp; F64 + 1 )  &amp;"#"&amp;Retro_Mal&amp;
                                      "~%"&amp;'RESULTADOS - FTP'!$R$52&amp;"%" &amp; INDIRECT("E"&amp; G64 + 1 )  &amp;"#"&amp;Retro_Mal&amp;"}]]]"</f>
        <v xml:space="preserve"> [[[{6:MCVS:%100%&lt;img src="https://i.ibb.co/b5f0Jw7/M-NEG-NEG-MAX-MIN-NEG-MAX.png" width="100"&gt;#¡Muy bien!~%-33%&lt;img src="https://i.ibb.co/rG4KyGQ/M-POS-POS-MIN-MAX-POS-MIN.png" width="100"&gt;#Incorrecto.~%-33%&lt;img src="https://i.ibb.co/1XVwKXM/M-POS-POS-MAX-MIN-M-0.png" width="100"&gt;#Incorrecto.}]]]</v>
      </c>
      <c r="J64" s="293" t="e" vm="180">
        <v>#VALUE!</v>
      </c>
      <c r="K64" s="293" t="e" vm="181">
        <v>#VALUE!</v>
      </c>
      <c r="L64" s="293" t="e" vm="182">
        <v>#VALUE!</v>
      </c>
      <c r="M64" s="114" t="s">
        <v>335</v>
      </c>
    </row>
    <row r="65" spans="1:13" ht="33.450000000000003" customHeight="1" outlineLevel="1">
      <c r="A65">
        <f t="shared" si="2"/>
        <v>64</v>
      </c>
      <c r="B65" s="114" t="s">
        <v>337</v>
      </c>
      <c r="C65" s="114" t="s">
        <v>338</v>
      </c>
      <c r="D65" s="114" t="s">
        <v>458</v>
      </c>
      <c r="E65" s="115" t="str">
        <f t="shared" si="6"/>
        <v>&lt;img src="https://i.ibb.co/B2zy4bW/M-POS-POS-MAX-MIN-POS-MIN.png" width="100"&gt;</v>
      </c>
      <c r="F65" s="114" cm="1">
        <f t="array" aca="1" ref="F65" ca="1">INDIRECT("A"&amp;ROW()+1)</f>
        <v>65</v>
      </c>
      <c r="G65" s="114" cm="1">
        <f t="array" aca="1" ref="G65" ca="1">INDIRECT("A"&amp;ROW()-1)</f>
        <v>63</v>
      </c>
      <c r="H65" s="113">
        <f t="shared" ca="1" si="7"/>
        <v>60</v>
      </c>
      <c r="I65" s="238" t="str" cm="1">
        <f t="array" aca="1" ref="I65" ca="1">" [[[{"&amp;'RESULTADOS - FTP'!$O$52&amp;":MCVS:"&amp;'RESULTADOS - FTP'!$P$3 &amp;   E65                         &amp;"#"&amp;Retro_MuyBien&amp;
                                      "~%"&amp;'RESULTADOS - FTP'!$R$52&amp;"%" &amp; INDIRECT("E"&amp; F65 + 1 )  &amp;"#"&amp;Retro_Mal&amp;
                                      "~%"&amp;'RESULTADOS - FTP'!$R$52&amp;"%" &amp; INDIRECT("E"&amp; G65 + 1 )  &amp;"#"&amp;Retro_Mal&amp;"}]]]"</f>
        <v xml:space="preserve"> [[[{6:MCVS:%100%&lt;img src="https://i.ibb.co/B2zy4bW/M-POS-POS-MAX-MIN-POS-MIN.png" width="100"&gt;#¡Muy bien!~%-33%&lt;img src="https://i.ibb.co/7GRDvvN/M-NEG-NEG-MIN-MAX-NEG-MAX.png" width="100"&gt;#Incorrecto.~%-33%&lt;img src="https://i.ibb.co/b5f0Jw7/M-NEG-NEG-MAX-MIN-NEG-MAX.png" width="100"&gt;#Incorrecto.}]]]</v>
      </c>
      <c r="J65" s="293" t="e" vm="183">
        <v>#VALUE!</v>
      </c>
      <c r="K65" s="293" t="e" vm="184">
        <v>#VALUE!</v>
      </c>
      <c r="L65" s="293" t="e" vm="185">
        <v>#VALUE!</v>
      </c>
      <c r="M65" s="114" t="s">
        <v>337</v>
      </c>
    </row>
    <row r="66" spans="1:13" ht="33.450000000000003" customHeight="1" outlineLevel="1">
      <c r="A66">
        <f t="shared" si="2"/>
        <v>65</v>
      </c>
      <c r="B66" s="114" t="s">
        <v>339</v>
      </c>
      <c r="C66" s="114" t="s">
        <v>340</v>
      </c>
      <c r="D66" s="114" t="s">
        <v>494</v>
      </c>
      <c r="E66" s="115" t="str">
        <f t="shared" si="6"/>
        <v>&lt;img src="https://i.ibb.co/7GRDvvN/M-NEG-NEG-MIN-MAX-NEG-MAX.png" width="100"&gt;</v>
      </c>
      <c r="F66" s="114" cm="1">
        <f t="array" aca="1" ref="F66" ca="1">INDIRECT("A"&amp;ROW()-1)</f>
        <v>64</v>
      </c>
      <c r="G66" s="114" cm="1">
        <f t="array" aca="1" ref="G66" ca="1">INDIRECT("A"&amp;ROW()-2)</f>
        <v>63</v>
      </c>
      <c r="H66" s="113">
        <f t="shared" ca="1" si="7"/>
        <v>53</v>
      </c>
      <c r="I66" s="238" t="str" cm="1">
        <f t="array" aca="1" ref="I66" ca="1">" [[[{"&amp;'RESULTADOS - FTP'!$O$52&amp;":MCVS:"&amp;'RESULTADOS - FTP'!$P$3 &amp;   E66                         &amp;"#"&amp;Retro_MuyBien&amp;
                                      "~%"&amp;'RESULTADOS - FTP'!$R$52&amp;"%" &amp; INDIRECT("E"&amp; F66 + 1 )  &amp;"#"&amp;Retro_Mal&amp;
                                      "~%"&amp;'RESULTADOS - FTP'!$R$52&amp;"%" &amp; INDIRECT("E"&amp; G66 + 1 )  &amp;"#"&amp;Retro_Mal&amp;"}]]]"</f>
        <v xml:space="preserve"> [[[{6:MCVS:%100%&lt;img src="https://i.ibb.co/7GRDvvN/M-NEG-NEG-MIN-MAX-NEG-MAX.png" width="100"&gt;#¡Muy bien!~%-33%&lt;img src="https://i.ibb.co/B2zy4bW/M-POS-POS-MAX-MIN-POS-MIN.png" width="100"&gt;#Incorrecto.~%-33%&lt;img src="https://i.ibb.co/b5f0Jw7/M-NEG-NEG-MAX-MIN-NEG-MAX.png" width="100"&gt;#Incorrecto.}]]]</v>
      </c>
      <c r="J66" s="293" t="e" vm="186">
        <v>#VALUE!</v>
      </c>
      <c r="K66" s="293" t="e" vm="187">
        <v>#VALUE!</v>
      </c>
      <c r="L66" s="293" t="e" vm="188">
        <v>#VALUE!</v>
      </c>
      <c r="M66" s="114" t="s">
        <v>339</v>
      </c>
    </row>
    <row r="67" spans="1:13" ht="33.450000000000003" customHeight="1" outlineLevel="1">
      <c r="A67">
        <f t="shared" si="2"/>
        <v>66</v>
      </c>
      <c r="B67" s="114" t="s">
        <v>341</v>
      </c>
      <c r="C67" s="114" t="s">
        <v>342</v>
      </c>
      <c r="D67" s="114" t="s">
        <v>463</v>
      </c>
      <c r="E67" s="115" t="str">
        <f t="shared" si="6"/>
        <v>&lt;img src="https://i.ibb.co/rx07Rv9/M-POS-POS-MIN-MAX-POS-MAX.png" width="100"&gt;</v>
      </c>
      <c r="F67" s="114" cm="1">
        <f t="array" aca="1" ref="F67" ca="1">INDIRECT("A"&amp;ROW()+1)</f>
        <v>67</v>
      </c>
      <c r="G67" s="114" cm="1">
        <f t="array" aca="1" ref="G67" ca="1">INDIRECT("A"&amp;ROW()-1)</f>
        <v>65</v>
      </c>
      <c r="H67" s="113">
        <f t="shared" ca="1" si="7"/>
        <v>48</v>
      </c>
      <c r="I67" s="238" t="str" cm="1">
        <f t="array" aca="1" ref="I67" ca="1">" [[[{"&amp;'RESULTADOS - FTP'!$O$52&amp;":MCVS:"&amp;'RESULTADOS - FTP'!$P$3 &amp;   E67                         &amp;"#"&amp;Retro_MuyBien&amp;
                                      "~%"&amp;'RESULTADOS - FTP'!$R$52&amp;"%" &amp; INDIRECT("E"&amp; F67 + 1 )  &amp;"#"&amp;Retro_Mal&amp;
                                      "~%"&amp;'RESULTADOS - FTP'!$R$52&amp;"%" &amp; INDIRECT("E"&amp; G67 + 1 )  &amp;"#"&amp;Retro_Mal&amp;"}]]]"</f>
        <v xml:space="preserve"> [[[{6:MCVS:%100%&lt;img src="https://i.ibb.co/rx07Rv9/M-POS-POS-MIN-MAX-POS-MAX.png" width="100"&gt;#¡Muy bien!~%-33%&lt;img src="https://i.ibb.co/89N873T/M-NEG-NEG-MAX-MIN-NEG-MIN.png" width="100"&gt;#Incorrecto.~%-33%&lt;img src="https://i.ibb.co/7GRDvvN/M-NEG-NEG-MIN-MAX-NEG-MAX.png" width="100"&gt;#Incorrecto.}]]]</v>
      </c>
      <c r="J67" s="293" t="e" vm="189">
        <v>#VALUE!</v>
      </c>
      <c r="K67" s="293" t="e" vm="190">
        <v>#VALUE!</v>
      </c>
      <c r="L67" s="293" t="e" vm="191">
        <v>#VALUE!</v>
      </c>
      <c r="M67" s="114" t="s">
        <v>341</v>
      </c>
    </row>
    <row r="68" spans="1:13" ht="33.450000000000003" customHeight="1" outlineLevel="1">
      <c r="A68">
        <f t="shared" ref="A68:A90" si="8">A67+1</f>
        <v>67</v>
      </c>
      <c r="B68" s="114" t="s">
        <v>343</v>
      </c>
      <c r="C68" s="114" t="s">
        <v>344</v>
      </c>
      <c r="D68" s="114" t="s">
        <v>489</v>
      </c>
      <c r="E68" s="115" t="str">
        <f t="shared" si="6"/>
        <v>&lt;img src="https://i.ibb.co/89N873T/M-NEG-NEG-MAX-MIN-NEG-MIN.png" width="100"&gt;</v>
      </c>
      <c r="F68" s="114" cm="1">
        <f t="array" aca="1" ref="F68" ca="1">INDIRECT("A"&amp;ROW()-1)</f>
        <v>66</v>
      </c>
      <c r="G68" s="114" cm="1">
        <f t="array" aca="1" ref="G68" ca="1">INDIRECT("A"&amp;ROW()-2)</f>
        <v>65</v>
      </c>
      <c r="H68" s="113">
        <f t="shared" ca="1" si="7"/>
        <v>48</v>
      </c>
      <c r="I68" s="238" t="str" cm="1">
        <f t="array" aca="1" ref="I68" ca="1">" [[[{"&amp;'RESULTADOS - FTP'!$O$52&amp;":MCVS:"&amp;'RESULTADOS - FTP'!$P$3 &amp;   E68                         &amp;"#"&amp;Retro_MuyBien&amp;
                                      "~%"&amp;'RESULTADOS - FTP'!$R$52&amp;"%" &amp; INDIRECT("E"&amp; F68 + 1 )  &amp;"#"&amp;Retro_Mal&amp;
                                      "~%"&amp;'RESULTADOS - FTP'!$R$52&amp;"%" &amp; INDIRECT("E"&amp; G68 + 1 )  &amp;"#"&amp;Retro_Mal&amp;"}]]]"</f>
        <v xml:space="preserve"> [[[{6:MCVS:%100%&lt;img src="https://i.ibb.co/89N873T/M-NEG-NEG-MAX-MIN-NEG-MIN.png" width="100"&gt;#¡Muy bien!~%-33%&lt;img src="https://i.ibb.co/rx07Rv9/M-POS-POS-MIN-MAX-POS-MAX.png" width="100"&gt;#Incorrecto.~%-33%&lt;img src="https://i.ibb.co/7GRDvvN/M-NEG-NEG-MIN-MAX-NEG-MAX.png" width="100"&gt;#Incorrecto.}]]]</v>
      </c>
      <c r="J68" s="293" t="e" vm="192">
        <v>#VALUE!</v>
      </c>
      <c r="K68" s="293" t="e" vm="193">
        <v>#VALUE!</v>
      </c>
      <c r="L68" s="293" t="e" vm="194">
        <v>#VALUE!</v>
      </c>
      <c r="M68" s="114" t="s">
        <v>343</v>
      </c>
    </row>
    <row r="69" spans="1:13" ht="33.450000000000003" customHeight="1" outlineLevel="1">
      <c r="A69">
        <f t="shared" si="8"/>
        <v>68</v>
      </c>
      <c r="B69" s="114" t="s">
        <v>345</v>
      </c>
      <c r="C69" s="114" t="s">
        <v>346</v>
      </c>
      <c r="D69" s="114" t="s">
        <v>457</v>
      </c>
      <c r="E69" s="115" t="str">
        <f t="shared" si="6"/>
        <v>&lt;img src="https://i.ibb.co/S6sgzc1/M-POS-POS-MAX-MIN-POS-MAX.png" width="100"&gt;</v>
      </c>
      <c r="F69" s="114" cm="1">
        <f t="array" aca="1" ref="F69" ca="1">INDIRECT("A"&amp;ROW()+1)</f>
        <v>69</v>
      </c>
      <c r="G69" s="114" cm="1">
        <f t="array" aca="1" ref="G69" ca="1">INDIRECT("A"&amp;ROW()-1)</f>
        <v>67</v>
      </c>
      <c r="H69" s="113">
        <f t="shared" ca="1" si="7"/>
        <v>62</v>
      </c>
      <c r="I69" s="238" t="str" cm="1">
        <f t="array" aca="1" ref="I69" ca="1">" [[[{"&amp;'RESULTADOS - FTP'!$O$52&amp;":MCVS:"&amp;'RESULTADOS - FTP'!$P$3 &amp;   E69                         &amp;"#"&amp;Retro_MuyBien&amp;
                                      "~%"&amp;'RESULTADOS - FTP'!$R$52&amp;"%" &amp; INDIRECT("E"&amp; F69 + 1 )  &amp;"#"&amp;Retro_Mal&amp;
                                      "~%"&amp;'RESULTADOS - FTP'!$R$52&amp;"%" &amp; INDIRECT("E"&amp; G69 + 1 )  &amp;"#"&amp;Retro_Mal&amp;"}]]]"</f>
        <v xml:space="preserve"> [[[{6:MCVS:%100%&lt;img src="https://i.ibb.co/S6sgzc1/M-POS-POS-MAX-MIN-POS-MAX.png" width="100"&gt;#¡Muy bien!~%-33%&lt;img src="https://i.ibb.co/s6xW7DK/M-NEG-NEG-MIN-MAX-NEG-MIN.png" width="100"&gt;#Incorrecto.~%-33%&lt;img src="https://i.ibb.co/89N873T/M-NEG-NEG-MAX-MIN-NEG-MIN.png" width="100"&gt;#Incorrecto.}]]]</v>
      </c>
      <c r="J69" s="293" t="e" vm="195">
        <v>#VALUE!</v>
      </c>
      <c r="K69" s="293" t="e" vm="196">
        <v>#VALUE!</v>
      </c>
      <c r="L69" s="293" t="e" vm="197">
        <v>#VALUE!</v>
      </c>
      <c r="M69" s="114" t="s">
        <v>345</v>
      </c>
    </row>
    <row r="70" spans="1:13" ht="33.450000000000003" customHeight="1" outlineLevel="1">
      <c r="A70">
        <f t="shared" si="8"/>
        <v>69</v>
      </c>
      <c r="B70" s="114" t="s">
        <v>347</v>
      </c>
      <c r="C70" s="114" t="s">
        <v>348</v>
      </c>
      <c r="D70" s="114" t="s">
        <v>495</v>
      </c>
      <c r="E70" s="115" t="str">
        <f t="shared" si="6"/>
        <v>&lt;img src="https://i.ibb.co/s6xW7DK/M-NEG-NEG-MIN-MAX-NEG-MIN.png" width="100"&gt;</v>
      </c>
      <c r="F70" s="114" cm="1">
        <f t="array" aca="1" ref="F70" ca="1">INDIRECT("A"&amp;ROW()-1)</f>
        <v>68</v>
      </c>
      <c r="G70" s="114" cm="1">
        <f t="array" aca="1" ref="G70" ca="1">INDIRECT("A"&amp;ROW()-2)</f>
        <v>67</v>
      </c>
      <c r="H70" s="113">
        <f t="shared" ca="1" si="7"/>
        <v>63</v>
      </c>
      <c r="I70" s="238" t="str" cm="1">
        <f t="array" aca="1" ref="I70" ca="1">" [[[{"&amp;'RESULTADOS - FTP'!$O$52&amp;":MCVS:"&amp;'RESULTADOS - FTP'!$P$3 &amp;   E70                         &amp;"#"&amp;Retro_MuyBien&amp;
                                      "~%"&amp;'RESULTADOS - FTP'!$R$52&amp;"%" &amp; INDIRECT("E"&amp; F70 + 1 )  &amp;"#"&amp;Retro_Mal&amp;
                                      "~%"&amp;'RESULTADOS - FTP'!$R$52&amp;"%" &amp; INDIRECT("E"&amp; G70 + 1 )  &amp;"#"&amp;Retro_Mal&amp;"}]]]"</f>
        <v xml:space="preserve"> [[[{6:MCVS:%100%&lt;img src="https://i.ibb.co/s6xW7DK/M-NEG-NEG-MIN-MAX-NEG-MIN.png" width="100"&gt;#¡Muy bien!~%-33%&lt;img src="https://i.ibb.co/S6sgzc1/M-POS-POS-MAX-MIN-POS-MAX.png" width="100"&gt;#Incorrecto.~%-33%&lt;img src="https://i.ibb.co/89N873T/M-NEG-NEG-MAX-MIN-NEG-MIN.png" width="100"&gt;#Incorrecto.}]]]</v>
      </c>
      <c r="J70" s="293" t="e" vm="198">
        <v>#VALUE!</v>
      </c>
      <c r="K70" s="293" t="e" vm="199">
        <v>#VALUE!</v>
      </c>
      <c r="L70" s="293" t="e" vm="200">
        <v>#VALUE!</v>
      </c>
      <c r="M70" s="114" t="s">
        <v>347</v>
      </c>
    </row>
    <row r="71" spans="1:13" ht="33.450000000000003" customHeight="1" outlineLevel="1">
      <c r="A71">
        <f t="shared" si="8"/>
        <v>70</v>
      </c>
      <c r="B71" s="114" t="s">
        <v>349</v>
      </c>
      <c r="C71" s="114" t="s">
        <v>350</v>
      </c>
      <c r="D71" s="114" t="s">
        <v>481</v>
      </c>
      <c r="E71" s="115" t="str">
        <f t="shared" si="6"/>
        <v>&lt;img src="https://i.ibb.co/BzSV07m/M-CERO-POS-POS-MAX.png" width="100"&gt;</v>
      </c>
      <c r="F71" s="114" cm="1">
        <f t="array" aca="1" ref="F71" ca="1">INDIRECT("A"&amp;ROW()-1)</f>
        <v>69</v>
      </c>
      <c r="G71" s="114" cm="1">
        <f t="array" aca="1" ref="G71" ca="1">INDIRECT("A"&amp;ROW()-2)</f>
        <v>68</v>
      </c>
      <c r="H71" s="113">
        <f t="shared" ca="1" si="7"/>
        <v>56</v>
      </c>
      <c r="I71" s="238" t="str" cm="1">
        <f t="array" aca="1" ref="I71" ca="1">" [[[{"&amp;'RESULTADOS - FTP'!$O$52&amp;":MCVS:"&amp;'RESULTADOS - FTP'!$P$3 &amp;   E71                         &amp;"#"&amp;Retro_MuyBien&amp;
                                      "~%"&amp;'RESULTADOS - FTP'!$R$52&amp;"%" &amp; INDIRECT("E"&amp; F71 + 1 )  &amp;"#"&amp;Retro_Mal&amp;
                                      "~%"&amp;'RESULTADOS - FTP'!$R$52&amp;"%" &amp; INDIRECT("E"&amp; G71 + 1 )  &amp;"#"&amp;Retro_Mal&amp;"}]]]"</f>
        <v xml:space="preserve"> [[[{6:MCVS:%100%&lt;img src="https://i.ibb.co/BzSV07m/M-CERO-POS-POS-MAX.png" width="100"&gt;#¡Muy bien!~%-33%&lt;img src="https://i.ibb.co/s6xW7DK/M-NEG-NEG-MIN-MAX-NEG-MIN.png" width="100"&gt;#Incorrecto.~%-33%&lt;img src="https://i.ibb.co/S6sgzc1/M-POS-POS-MAX-MIN-POS-MAX.png" width="100"&gt;#Incorrecto.}]]]</v>
      </c>
      <c r="J71" s="293" t="e" vm="201">
        <v>#VALUE!</v>
      </c>
      <c r="K71" s="293" t="e" vm="202">
        <v>#VALUE!</v>
      </c>
      <c r="L71" s="293" t="e" vm="203">
        <v>#VALUE!</v>
      </c>
      <c r="M71" s="114" t="s">
        <v>349</v>
      </c>
    </row>
    <row r="72" spans="1:13" ht="33.450000000000003" customHeight="1" outlineLevel="1">
      <c r="A72">
        <f t="shared" si="8"/>
        <v>71</v>
      </c>
      <c r="B72" s="114" t="s">
        <v>351</v>
      </c>
      <c r="C72" s="114" t="s">
        <v>352</v>
      </c>
      <c r="D72" s="114" t="s">
        <v>476</v>
      </c>
      <c r="E72" s="115" t="str">
        <f t="shared" si="6"/>
        <v>&lt;img src="https://i.ibb.co/2KFJbHr/M-CERO-NEG-NEG-MIN.png" width="100"&gt;</v>
      </c>
      <c r="F72" s="114" cm="1">
        <f t="array" aca="1" ref="F72" ca="1">INDIRECT("A"&amp;ROW()-1)</f>
        <v>70</v>
      </c>
      <c r="G72" s="114" cm="1">
        <f t="array" aca="1" ref="G72" ca="1">INDIRECT("A"&amp;ROW()-2)</f>
        <v>69</v>
      </c>
      <c r="H72" s="113">
        <f t="shared" ca="1" si="7"/>
        <v>65</v>
      </c>
      <c r="I72" s="238" t="str" cm="1">
        <f t="array" aca="1" ref="I72" ca="1">" [[[{"&amp;'RESULTADOS - FTP'!$O$52&amp;":MCVS:"&amp;'RESULTADOS - FTP'!$P$3 &amp;   E72                         &amp;"#"&amp;Retro_MuyBien&amp;
                                      "~%"&amp;'RESULTADOS - FTP'!$R$52&amp;"%" &amp; INDIRECT("E"&amp; F72 + 1 )  &amp;"#"&amp;Retro_Mal&amp;
                                      "~%"&amp;'RESULTADOS - FTP'!$R$52&amp;"%" &amp; INDIRECT("E"&amp; G72 + 1 )  &amp;"#"&amp;Retro_Mal&amp;"}]]]"</f>
        <v xml:space="preserve"> [[[{6:MCVS:%100%&lt;img src="https://i.ibb.co/2KFJbHr/M-CERO-NEG-NEG-MIN.png" width="100"&gt;#¡Muy bien!~%-33%&lt;img src="https://i.ibb.co/BzSV07m/M-CERO-POS-POS-MAX.png" width="100"&gt;#Incorrecto.~%-33%&lt;img src="https://i.ibb.co/s6xW7DK/M-NEG-NEG-MIN-MAX-NEG-MIN.png" width="100"&gt;#Incorrecto.}]]]</v>
      </c>
      <c r="J72" s="293" t="e" vm="204">
        <v>#VALUE!</v>
      </c>
      <c r="K72" s="293" t="e" vm="205">
        <v>#VALUE!</v>
      </c>
      <c r="L72" s="293" t="e" vm="206">
        <v>#VALUE!</v>
      </c>
      <c r="M72" s="114" t="s">
        <v>351</v>
      </c>
    </row>
    <row r="73" spans="1:13" ht="33.450000000000003" customHeight="1" outlineLevel="1">
      <c r="A73">
        <f t="shared" si="8"/>
        <v>72</v>
      </c>
      <c r="B73" s="114" t="s">
        <v>353</v>
      </c>
      <c r="C73" s="114" t="s">
        <v>354</v>
      </c>
      <c r="D73" s="114" t="s">
        <v>506</v>
      </c>
      <c r="E73" s="115" t="str">
        <f t="shared" si="6"/>
        <v>&lt;img src="https://i.ibb.co/M6T44RP/M-POS-CERO-POS-MAX.png" width="100"&gt;</v>
      </c>
      <c r="F73" s="114" cm="1">
        <f t="array" aca="1" ref="F73" ca="1">INDIRECT("A"&amp;ROW()-1)</f>
        <v>71</v>
      </c>
      <c r="G73" s="114" cm="1">
        <f t="array" aca="1" ref="G73" ca="1">INDIRECT("A"&amp;ROW()-2)</f>
        <v>70</v>
      </c>
      <c r="H73" s="113">
        <f t="shared" ca="1" si="7"/>
        <v>68</v>
      </c>
      <c r="I73" s="238" t="str" cm="1">
        <f t="array" aca="1" ref="I73" ca="1">" [[[{"&amp;'RESULTADOS - FTP'!$O$52&amp;":MCVS:"&amp;'RESULTADOS - FTP'!$P$3 &amp;   E73                         &amp;"#"&amp;Retro_MuyBien&amp;
                                      "~%"&amp;'RESULTADOS - FTP'!$R$52&amp;"%" &amp; INDIRECT("E"&amp; F73 + 1 )  &amp;"#"&amp;Retro_Mal&amp;
                                      "~%"&amp;'RESULTADOS - FTP'!$R$52&amp;"%" &amp; INDIRECT("E"&amp; G73 + 1 )  &amp;"#"&amp;Retro_Mal&amp;"}]]]"</f>
        <v xml:space="preserve"> [[[{6:MCVS:%100%&lt;img src="https://i.ibb.co/M6T44RP/M-POS-CERO-POS-MAX.png" width="100"&gt;#¡Muy bien!~%-33%&lt;img src="https://i.ibb.co/2KFJbHr/M-CERO-NEG-NEG-MIN.png" width="100"&gt;#Incorrecto.~%-33%&lt;img src="https://i.ibb.co/BzSV07m/M-CERO-POS-POS-MAX.png" width="100"&gt;#Incorrecto.}]]]</v>
      </c>
      <c r="J73" s="293" t="e" vm="207">
        <v>#VALUE!</v>
      </c>
      <c r="K73" s="293" t="e" vm="208">
        <v>#VALUE!</v>
      </c>
      <c r="L73" s="293" t="e" vm="209">
        <v>#VALUE!</v>
      </c>
      <c r="M73" s="114" t="s">
        <v>353</v>
      </c>
    </row>
    <row r="74" spans="1:13" ht="33.450000000000003" customHeight="1" outlineLevel="1">
      <c r="A74">
        <f t="shared" si="8"/>
        <v>73</v>
      </c>
      <c r="B74" s="114" t="s">
        <v>355</v>
      </c>
      <c r="C74" s="114" t="s">
        <v>356</v>
      </c>
      <c r="D74" s="114" t="s">
        <v>484</v>
      </c>
      <c r="E74" s="115" t="str">
        <f t="shared" si="6"/>
        <v>&lt;img src="https://i.ibb.co/jDnxBp7/M-NEG-CERO-NEG-MIN.png" width="100"&gt;</v>
      </c>
      <c r="F74" s="114" cm="1">
        <f t="array" aca="1" ref="F74" ca="1">INDIRECT("A"&amp;ROW()-1)</f>
        <v>72</v>
      </c>
      <c r="G74" s="114" cm="1">
        <f t="array" aca="1" ref="G74" ca="1">INDIRECT("A"&amp;ROW()-2)</f>
        <v>71</v>
      </c>
      <c r="H74" s="113">
        <f t="shared" ca="1" si="7"/>
        <v>41</v>
      </c>
      <c r="I74" s="238" t="str" cm="1">
        <f t="array" aca="1" ref="I74" ca="1">" [[[{"&amp;'RESULTADOS - FTP'!$O$52&amp;":MCVS:"&amp;'RESULTADOS - FTP'!$P$3 &amp;   E74                         &amp;"#"&amp;Retro_MuyBien&amp;
                                      "~%"&amp;'RESULTADOS - FTP'!$R$52&amp;"%" &amp; INDIRECT("E"&amp; F74 + 1 )  &amp;"#"&amp;Retro_Mal&amp;
                                      "~%"&amp;'RESULTADOS - FTP'!$R$52&amp;"%" &amp; INDIRECT("E"&amp; G74 + 1 )  &amp;"#"&amp;Retro_Mal&amp;"}]]]"</f>
        <v xml:space="preserve"> [[[{6:MCVS:%100%&lt;img src="https://i.ibb.co/jDnxBp7/M-NEG-CERO-NEG-MIN.png" width="100"&gt;#¡Muy bien!~%-33%&lt;img src="https://i.ibb.co/M6T44RP/M-POS-CERO-POS-MAX.png" width="100"&gt;#Incorrecto.~%-33%&lt;img src="https://i.ibb.co/2KFJbHr/M-CERO-NEG-NEG-MIN.png" width="100"&gt;#Incorrecto.}]]]</v>
      </c>
      <c r="J74" s="293" t="e" vm="210">
        <v>#VALUE!</v>
      </c>
      <c r="K74" s="293" t="e" vm="211">
        <v>#VALUE!</v>
      </c>
      <c r="L74" s="293" t="e" vm="212">
        <v>#VALUE!</v>
      </c>
      <c r="M74" s="114" t="s">
        <v>355</v>
      </c>
    </row>
    <row r="75" spans="1:13" ht="33.450000000000003" customHeight="1" outlineLevel="1">
      <c r="A75">
        <f t="shared" si="8"/>
        <v>74</v>
      </c>
      <c r="B75" s="114" t="s">
        <v>357</v>
      </c>
      <c r="C75" s="114" t="s">
        <v>358</v>
      </c>
      <c r="D75" s="114" t="s">
        <v>510</v>
      </c>
      <c r="E75" s="115" t="str">
        <f t="shared" si="6"/>
        <v>&lt;img src="https://i.ibb.co/dMh9RxL/M-POS-NEG-MAX-MIN-POS-MAX.png" width="100"&gt;</v>
      </c>
      <c r="F75" s="114" cm="1">
        <f t="array" aca="1" ref="F75" ca="1">INDIRECT("A"&amp;ROW()-1)</f>
        <v>73</v>
      </c>
      <c r="G75" s="114" cm="1">
        <f t="array" aca="1" ref="G75" ca="1">INDIRECT("A"&amp;ROW()-2)</f>
        <v>72</v>
      </c>
      <c r="H75" s="113">
        <f t="shared" ca="1" si="7"/>
        <v>40</v>
      </c>
      <c r="I75" s="238" t="str" cm="1">
        <f t="array" aca="1" ref="I75" ca="1">" [[[{"&amp;'RESULTADOS - FTP'!$O$52&amp;":MCVS:"&amp;'RESULTADOS - FTP'!$P$3 &amp;   E75                         &amp;"#"&amp;Retro_MuyBien&amp;
                                      "~%"&amp;'RESULTADOS - FTP'!$R$52&amp;"%" &amp; INDIRECT("E"&amp; F75 + 1 )  &amp;"#"&amp;Retro_Mal&amp;
                                      "~%"&amp;'RESULTADOS - FTP'!$R$52&amp;"%" &amp; INDIRECT("E"&amp; G75 + 1 )  &amp;"#"&amp;Retro_Mal&amp;"}]]]"</f>
        <v xml:space="preserve"> [[[{6:MCVS:%100%&lt;img src="https://i.ibb.co/dMh9RxL/M-POS-NEG-MAX-MIN-POS-MAX.png" width="100"&gt;#¡Muy bien!~%-33%&lt;img src="https://i.ibb.co/jDnxBp7/M-NEG-CERO-NEG-MIN.png" width="100"&gt;#Incorrecto.~%-33%&lt;img src="https://i.ibb.co/M6T44RP/M-POS-CERO-POS-MAX.png" width="100"&gt;#Incorrecto.}]]]</v>
      </c>
      <c r="J75" s="293" t="e" vm="213">
        <v>#VALUE!</v>
      </c>
      <c r="K75" s="293" t="e" vm="214">
        <v>#VALUE!</v>
      </c>
      <c r="L75" s="293" t="e" vm="215">
        <v>#VALUE!</v>
      </c>
      <c r="M75" s="114" t="s">
        <v>357</v>
      </c>
    </row>
    <row r="76" spans="1:13" ht="33.450000000000003" customHeight="1" outlineLevel="1">
      <c r="A76">
        <f t="shared" si="8"/>
        <v>75</v>
      </c>
      <c r="B76" s="114" t="s">
        <v>359</v>
      </c>
      <c r="C76" s="114" t="s">
        <v>360</v>
      </c>
      <c r="D76" s="114" t="s">
        <v>509</v>
      </c>
      <c r="E76" s="115" t="str">
        <f t="shared" si="6"/>
        <v>&lt;img src="https://i.ibb.co/HNnHrQB/M-POS-NEG-MAX-MIN-NEG-MIN.png" width="100"&gt;</v>
      </c>
      <c r="F76" s="114" cm="1">
        <f t="array" aca="1" ref="F76" ca="1">INDIRECT("A"&amp;ROW()-1)</f>
        <v>74</v>
      </c>
      <c r="G76" s="114" cm="1">
        <f t="array" aca="1" ref="G76" ca="1">INDIRECT("A"&amp;ROW()-2)</f>
        <v>73</v>
      </c>
      <c r="H76" s="113">
        <f t="shared" ca="1" si="7"/>
        <v>66</v>
      </c>
      <c r="I76" s="238" t="str" cm="1">
        <f t="array" aca="1" ref="I76" ca="1">" [[[{"&amp;'RESULTADOS - FTP'!$O$52&amp;":MCVS:"&amp;'RESULTADOS - FTP'!$P$3 &amp;   E76                         &amp;"#"&amp;Retro_MuyBien&amp;
                                      "~%"&amp;'RESULTADOS - FTP'!$R$52&amp;"%" &amp; INDIRECT("E"&amp; F76 + 1 )  &amp;"#"&amp;Retro_Mal&amp;
                                      "~%"&amp;'RESULTADOS - FTP'!$R$52&amp;"%" &amp; INDIRECT("E"&amp; G76 + 1 )  &amp;"#"&amp;Retro_Mal&amp;"}]]]"</f>
        <v xml:space="preserve"> [[[{6:MCVS:%100%&lt;img src="https://i.ibb.co/HNnHrQB/M-POS-NEG-MAX-MIN-NEG-MIN.png" width="100"&gt;#¡Muy bien!~%-33%&lt;img src="https://i.ibb.co/dMh9RxL/M-POS-NEG-MAX-MIN-POS-MAX.png" width="100"&gt;#Incorrecto.~%-33%&lt;img src="https://i.ibb.co/jDnxBp7/M-NEG-CERO-NEG-MIN.png" width="100"&gt;#Incorrecto.}]]]</v>
      </c>
      <c r="J76" s="293" t="e" vm="216">
        <v>#VALUE!</v>
      </c>
      <c r="K76" s="293" t="e" vm="217">
        <v>#VALUE!</v>
      </c>
      <c r="L76" s="293" t="e" vm="218">
        <v>#VALUE!</v>
      </c>
      <c r="M76" s="114" t="s">
        <v>359</v>
      </c>
    </row>
    <row r="77" spans="1:13" ht="33.450000000000003" customHeight="1" outlineLevel="1">
      <c r="A77">
        <f t="shared" si="8"/>
        <v>76</v>
      </c>
      <c r="B77" s="114" t="s">
        <v>361</v>
      </c>
      <c r="C77" s="114" t="s">
        <v>362</v>
      </c>
      <c r="D77" s="114" t="s">
        <v>501</v>
      </c>
      <c r="E77" s="115" t="str">
        <f t="shared" si="6"/>
        <v>&lt;img src="https://i.ibb.co/cbnd1y1/M-NEG-POS-MIN-MAX-NEG-MIN.png" width="100"&gt;</v>
      </c>
      <c r="F77" s="114" cm="1">
        <f t="array" aca="1" ref="F77" ca="1">INDIRECT("A"&amp;ROW()-1)</f>
        <v>75</v>
      </c>
      <c r="G77" s="114" cm="1">
        <f t="array" aca="1" ref="G77" ca="1">INDIRECT("A"&amp;ROW()-2)</f>
        <v>74</v>
      </c>
      <c r="H77" s="113">
        <f t="shared" ca="1" si="7"/>
        <v>61</v>
      </c>
      <c r="I77" s="238" t="str" cm="1">
        <f t="array" aca="1" ref="I77" ca="1">" [[[{"&amp;'RESULTADOS - FTP'!$O$52&amp;":MCVS:"&amp;'RESULTADOS - FTP'!$P$3 &amp;   E77                         &amp;"#"&amp;Retro_MuyBien&amp;
                                      "~%"&amp;'RESULTADOS - FTP'!$R$52&amp;"%" &amp; INDIRECT("E"&amp; F77 + 1 )  &amp;"#"&amp;Retro_Mal&amp;
                                      "~%"&amp;'RESULTADOS - FTP'!$R$52&amp;"%" &amp; INDIRECT("E"&amp; G77 + 1 )  &amp;"#"&amp;Retro_Mal&amp;"}]]]"</f>
        <v xml:space="preserve"> [[[{6:MCVS:%100%&lt;img src="https://i.ibb.co/cbnd1y1/M-NEG-POS-MIN-MAX-NEG-MIN.png" width="100"&gt;#¡Muy bien!~%-33%&lt;img src="https://i.ibb.co/HNnHrQB/M-POS-NEG-MAX-MIN-NEG-MIN.png" width="100"&gt;#Incorrecto.~%-33%&lt;img src="https://i.ibb.co/dMh9RxL/M-POS-NEG-MAX-MIN-POS-MAX.png" width="100"&gt;#Incorrecto.}]]]</v>
      </c>
      <c r="J77" s="293" t="e" vm="219">
        <v>#VALUE!</v>
      </c>
      <c r="K77" s="293" t="e" vm="220">
        <v>#VALUE!</v>
      </c>
      <c r="L77" s="293" t="e" vm="221">
        <v>#VALUE!</v>
      </c>
      <c r="M77" s="114" t="s">
        <v>361</v>
      </c>
    </row>
    <row r="78" spans="1:13" ht="33.450000000000003" customHeight="1" outlineLevel="1">
      <c r="A78">
        <f t="shared" si="8"/>
        <v>77</v>
      </c>
      <c r="B78" s="114" t="s">
        <v>363</v>
      </c>
      <c r="C78" s="114" t="s">
        <v>364</v>
      </c>
      <c r="D78" s="114" t="s">
        <v>502</v>
      </c>
      <c r="E78" s="115" t="str">
        <f t="shared" si="6"/>
        <v>&lt;img src="https://i.ibb.co/q0LQDKG/M-NEG-POS-MIN-MAX-POS-MAX.png" width="100"&gt;</v>
      </c>
      <c r="F78" s="114" cm="1">
        <f t="array" aca="1" ref="F78" ca="1">INDIRECT("A"&amp;ROW()-1)</f>
        <v>76</v>
      </c>
      <c r="G78" s="114" cm="1">
        <f t="array" aca="1" ref="G78" ca="1">INDIRECT("A"&amp;ROW()-2)</f>
        <v>75</v>
      </c>
      <c r="H78" s="113">
        <f t="shared" ca="1" si="7"/>
        <v>61</v>
      </c>
      <c r="I78" s="238" t="str" cm="1">
        <f t="array" aca="1" ref="I78" ca="1">" [[[{"&amp;'RESULTADOS - FTP'!$O$52&amp;":MCVS:"&amp;'RESULTADOS - FTP'!$P$3 &amp;   E78                         &amp;"#"&amp;Retro_MuyBien&amp;
                                      "~%"&amp;'RESULTADOS - FTP'!$R$52&amp;"%" &amp; INDIRECT("E"&amp; F78 + 1 )  &amp;"#"&amp;Retro_Mal&amp;
                                      "~%"&amp;'RESULTADOS - FTP'!$R$52&amp;"%" &amp; INDIRECT("E"&amp; G78 + 1 )  &amp;"#"&amp;Retro_Mal&amp;"}]]]"</f>
        <v xml:space="preserve"> [[[{6:MCVS:%100%&lt;img src="https://i.ibb.co/q0LQDKG/M-NEG-POS-MIN-MAX-POS-MAX.png" width="100"&gt;#¡Muy bien!~%-33%&lt;img src="https://i.ibb.co/cbnd1y1/M-NEG-POS-MIN-MAX-NEG-MIN.png" width="100"&gt;#Incorrecto.~%-33%&lt;img src="https://i.ibb.co/HNnHrQB/M-POS-NEG-MAX-MIN-NEG-MIN.png" width="100"&gt;#Incorrecto.}]]]</v>
      </c>
      <c r="J78" s="293" t="e" vm="222">
        <v>#VALUE!</v>
      </c>
      <c r="K78" s="293" t="e" vm="223">
        <v>#VALUE!</v>
      </c>
      <c r="L78" s="293" t="e" vm="224">
        <v>#VALUE!</v>
      </c>
      <c r="M78" s="114" t="s">
        <v>363</v>
      </c>
    </row>
    <row r="79" spans="1:13" ht="33.450000000000003" customHeight="1" outlineLevel="1">
      <c r="A79">
        <f t="shared" si="8"/>
        <v>78</v>
      </c>
      <c r="B79" s="114" t="s">
        <v>365</v>
      </c>
      <c r="C79" s="114" t="s">
        <v>366</v>
      </c>
      <c r="D79" s="114" t="s">
        <v>508</v>
      </c>
      <c r="E79" s="115" t="str">
        <f t="shared" si="6"/>
        <v>&lt;img src="https://i.ibb.co/Z1xvjf3/M-POS-NEG-MAX-MIN-M-L.png" width="100"&gt;</v>
      </c>
      <c r="F79" s="114" cm="1">
        <f t="array" aca="1" ref="F79" ca="1">INDIRECT("A"&amp;ROW()-1)</f>
        <v>77</v>
      </c>
      <c r="G79" s="114" cm="1">
        <f t="array" aca="1" ref="G79" ca="1">INDIRECT("A"&amp;ROW()-2)</f>
        <v>76</v>
      </c>
      <c r="H79" s="113">
        <f t="shared" ca="1" si="7"/>
        <v>46</v>
      </c>
      <c r="I79" s="238" t="str" cm="1">
        <f t="array" aca="1" ref="I79" ca="1">" [[[{"&amp;'RESULTADOS - FTP'!$O$52&amp;":MCVS:"&amp;'RESULTADOS - FTP'!$P$3 &amp;   E79                         &amp;"#"&amp;Retro_MuyBien&amp;
                                      "~%"&amp;'RESULTADOS - FTP'!$R$52&amp;"%" &amp; INDIRECT("E"&amp; F79 + 1 )  &amp;"#"&amp;Retro_Mal&amp;
                                      "~%"&amp;'RESULTADOS - FTP'!$R$52&amp;"%" &amp; INDIRECT("E"&amp; G79 + 1 )  &amp;"#"&amp;Retro_Mal&amp;"}]]]"</f>
        <v xml:space="preserve"> [[[{6:MCVS:%100%&lt;img src="https://i.ibb.co/Z1xvjf3/M-POS-NEG-MAX-MIN-M-L.png" width="100"&gt;#¡Muy bien!~%-33%&lt;img src="https://i.ibb.co/q0LQDKG/M-NEG-POS-MIN-MAX-POS-MAX.png" width="100"&gt;#Incorrecto.~%-33%&lt;img src="https://i.ibb.co/cbnd1y1/M-NEG-POS-MIN-MAX-NEG-MIN.png" width="100"&gt;#Incorrecto.}]]]</v>
      </c>
      <c r="J79" s="293" t="e" vm="225">
        <v>#VALUE!</v>
      </c>
      <c r="K79" s="293" t="e" vm="226">
        <v>#VALUE!</v>
      </c>
      <c r="L79" s="293" t="e" vm="227">
        <v>#VALUE!</v>
      </c>
      <c r="M79" s="114" t="s">
        <v>365</v>
      </c>
    </row>
    <row r="80" spans="1:13" ht="33.450000000000003" customHeight="1" outlineLevel="1">
      <c r="A80">
        <f t="shared" si="8"/>
        <v>79</v>
      </c>
      <c r="B80" s="114" t="s">
        <v>367</v>
      </c>
      <c r="C80" s="114" t="s">
        <v>368</v>
      </c>
      <c r="D80" s="114" t="s">
        <v>507</v>
      </c>
      <c r="E80" s="115" t="str">
        <f t="shared" si="6"/>
        <v>&lt;img src="https://i.ibb.co/FgNrFDm/M-POS-NEG-MAX-MIN-M-0.png" width="100"&gt;</v>
      </c>
      <c r="F80" s="114" cm="1">
        <f t="array" aca="1" ref="F80" ca="1">INDIRECT("A"&amp;ROW()-1)</f>
        <v>78</v>
      </c>
      <c r="G80" s="114" cm="1">
        <f t="array" aca="1" ref="G80" ca="1">INDIRECT("A"&amp;ROW()-2)</f>
        <v>77</v>
      </c>
      <c r="H80" s="113">
        <f t="shared" ca="1" si="7"/>
        <v>58</v>
      </c>
      <c r="I80" s="238" t="str" cm="1">
        <f t="array" aca="1" ref="I80" ca="1">" [[[{"&amp;'RESULTADOS - FTP'!$O$52&amp;":MCVS:"&amp;'RESULTADOS - FTP'!$P$3 &amp;   E80                         &amp;"#"&amp;Retro_MuyBien&amp;
                                      "~%"&amp;'RESULTADOS - FTP'!$R$52&amp;"%" &amp; INDIRECT("E"&amp; F80 + 1 )  &amp;"#"&amp;Retro_Mal&amp;
                                      "~%"&amp;'RESULTADOS - FTP'!$R$52&amp;"%" &amp; INDIRECT("E"&amp; G80 + 1 )  &amp;"#"&amp;Retro_Mal&amp;"}]]]"</f>
        <v xml:space="preserve"> [[[{6:MCVS:%100%&lt;img src="https://i.ibb.co/FgNrFDm/M-POS-NEG-MAX-MIN-M-0.png" width="100"&gt;#¡Muy bien!~%-33%&lt;img src="https://i.ibb.co/Z1xvjf3/M-POS-NEG-MAX-MIN-M-L.png" width="100"&gt;#Incorrecto.~%-33%&lt;img src="https://i.ibb.co/q0LQDKG/M-NEG-POS-MIN-MAX-POS-MAX.png" width="100"&gt;#Incorrecto.}]]]</v>
      </c>
      <c r="J80" s="293" t="e" vm="228">
        <v>#VALUE!</v>
      </c>
      <c r="K80" s="293" t="e" vm="229">
        <v>#VALUE!</v>
      </c>
      <c r="L80" s="293" t="e" vm="230">
        <v>#VALUE!</v>
      </c>
      <c r="M80" s="114" t="s">
        <v>367</v>
      </c>
    </row>
    <row r="81" spans="1:13" ht="33.450000000000003" customHeight="1" outlineLevel="1">
      <c r="A81">
        <f t="shared" si="8"/>
        <v>80</v>
      </c>
      <c r="B81" s="114" t="s">
        <v>369</v>
      </c>
      <c r="C81" s="114" t="s">
        <v>370</v>
      </c>
      <c r="D81" s="114" t="s">
        <v>500</v>
      </c>
      <c r="E81" s="115" t="str">
        <f t="shared" si="6"/>
        <v>&lt;img src="https://i.ibb.co/jr6LKgt/M-NEG-POS-MIN-MAX-M-L.png" width="100"&gt;</v>
      </c>
      <c r="F81" s="114" cm="1">
        <f t="array" aca="1" ref="F81" ca="1">INDIRECT("A"&amp;ROW()-1)</f>
        <v>79</v>
      </c>
      <c r="G81" s="114" cm="1">
        <f t="array" aca="1" ref="G81" ca="1">INDIRECT("A"&amp;ROW()-2)</f>
        <v>78</v>
      </c>
      <c r="H81" s="113">
        <f t="shared" ca="1" si="7"/>
        <v>65</v>
      </c>
      <c r="I81" s="238" t="str" cm="1">
        <f t="array" aca="1" ref="I81" ca="1">" [[[{"&amp;'RESULTADOS - FTP'!$O$52&amp;":MCVS:"&amp;'RESULTADOS - FTP'!$P$3 &amp;   E81                         &amp;"#"&amp;Retro_MuyBien&amp;
                                      "~%"&amp;'RESULTADOS - FTP'!$R$52&amp;"%" &amp; INDIRECT("E"&amp; F81 + 1 )  &amp;"#"&amp;Retro_Mal&amp;
                                      "~%"&amp;'RESULTADOS - FTP'!$R$52&amp;"%" &amp; INDIRECT("E"&amp; G81 + 1 )  &amp;"#"&amp;Retro_Mal&amp;"}]]]"</f>
        <v xml:space="preserve"> [[[{6:MCVS:%100%&lt;img src="https://i.ibb.co/jr6LKgt/M-NEG-POS-MIN-MAX-M-L.png" width="100"&gt;#¡Muy bien!~%-33%&lt;img src="https://i.ibb.co/FgNrFDm/M-POS-NEG-MAX-MIN-M-0.png" width="100"&gt;#Incorrecto.~%-33%&lt;img src="https://i.ibb.co/Z1xvjf3/M-POS-NEG-MAX-MIN-M-L.png" width="100"&gt;#Incorrecto.}]]]</v>
      </c>
      <c r="J81" s="293" t="e" vm="231">
        <v>#VALUE!</v>
      </c>
      <c r="K81" s="293" t="e" vm="232">
        <v>#VALUE!</v>
      </c>
      <c r="L81" s="293" t="e" vm="233">
        <v>#VALUE!</v>
      </c>
      <c r="M81" s="114" t="s">
        <v>369</v>
      </c>
    </row>
    <row r="82" spans="1:13" ht="33.450000000000003" customHeight="1" outlineLevel="1">
      <c r="A82">
        <f t="shared" si="8"/>
        <v>81</v>
      </c>
      <c r="B82" s="114" t="s">
        <v>371</v>
      </c>
      <c r="C82" s="114" t="s">
        <v>372</v>
      </c>
      <c r="D82" s="114" t="s">
        <v>499</v>
      </c>
      <c r="E82" s="115" t="str">
        <f t="shared" si="6"/>
        <v>&lt;img src="https://i.ibb.co/DkmpBRG/M-NEG-POS-MIN-MAX-M-0.png" width="100"&gt;</v>
      </c>
      <c r="F82" s="114" cm="1">
        <f t="array" aca="1" ref="F82" ca="1">INDIRECT("A"&amp;ROW()-1)</f>
        <v>80</v>
      </c>
      <c r="G82" s="114" cm="1">
        <f t="array" aca="1" ref="G82" ca="1">INDIRECT("A"&amp;ROW()-2)</f>
        <v>79</v>
      </c>
      <c r="H82" s="113">
        <f t="shared" ca="1" si="7"/>
        <v>41</v>
      </c>
      <c r="I82" s="238" t="str" cm="1">
        <f t="array" aca="1" ref="I82" ca="1">" [[[{"&amp;'RESULTADOS - FTP'!$O$52&amp;":MCVS:"&amp;'RESULTADOS - FTP'!$P$3 &amp;   E82                         &amp;"#"&amp;Retro_MuyBien&amp;
                                      "~%"&amp;'RESULTADOS - FTP'!$R$52&amp;"%" &amp; INDIRECT("E"&amp; F82 + 1 )  &amp;"#"&amp;Retro_Mal&amp;
                                      "~%"&amp;'RESULTADOS - FTP'!$R$52&amp;"%" &amp; INDIRECT("E"&amp; G82 + 1 )  &amp;"#"&amp;Retro_Mal&amp;"}]]]"</f>
        <v xml:space="preserve"> [[[{6:MCVS:%100%&lt;img src="https://i.ibb.co/DkmpBRG/M-NEG-POS-MIN-MAX-M-0.png" width="100"&gt;#¡Muy bien!~%-33%&lt;img src="https://i.ibb.co/jr6LKgt/M-NEG-POS-MIN-MAX-M-L.png" width="100"&gt;#Incorrecto.~%-33%&lt;img src="https://i.ibb.co/FgNrFDm/M-POS-NEG-MAX-MIN-M-0.png" width="100"&gt;#Incorrecto.}]]]</v>
      </c>
      <c r="J82" s="293" t="e" vm="234">
        <v>#VALUE!</v>
      </c>
      <c r="K82" s="293" t="e" vm="235">
        <v>#VALUE!</v>
      </c>
      <c r="L82" s="293" t="e" vm="236">
        <v>#VALUE!</v>
      </c>
      <c r="M82" s="114" t="s">
        <v>371</v>
      </c>
    </row>
    <row r="83" spans="1:13" ht="33.450000000000003" customHeight="1" outlineLevel="1">
      <c r="A83">
        <f t="shared" si="8"/>
        <v>82</v>
      </c>
      <c r="B83" s="114" t="s">
        <v>373</v>
      </c>
      <c r="C83" s="114" t="s">
        <v>374</v>
      </c>
      <c r="D83" s="114" t="s">
        <v>462</v>
      </c>
      <c r="E83" s="115" t="str">
        <f t="shared" si="6"/>
        <v>&lt;img src="https://i.ibb.co/0QGzvL2/M-POS-POS-MIN-MAX-NEG-MIN.png" width="100"&gt;</v>
      </c>
      <c r="F83" s="114" cm="1">
        <f t="array" aca="1" ref="F83" ca="1">INDIRECT("A"&amp;ROW()-1)</f>
        <v>81</v>
      </c>
      <c r="G83" s="114" cm="1">
        <f t="array" aca="1" ref="G83" ca="1">INDIRECT("A"&amp;ROW()-2)</f>
        <v>80</v>
      </c>
      <c r="H83" s="113">
        <f t="shared" ca="1" si="7"/>
        <v>78</v>
      </c>
      <c r="I83" s="238" t="str" cm="1">
        <f t="array" aca="1" ref="I83" ca="1">" [[[{"&amp;'RESULTADOS - FTP'!$O$52&amp;":MCVS:"&amp;'RESULTADOS - FTP'!$P$3 &amp;   E83                         &amp;"#"&amp;Retro_MuyBien&amp;
                                      "~%"&amp;'RESULTADOS - FTP'!$R$52&amp;"%" &amp; INDIRECT("E"&amp; F83 + 1 )  &amp;"#"&amp;Retro_Mal&amp;
                                      "~%"&amp;'RESULTADOS - FTP'!$R$52&amp;"%" &amp; INDIRECT("E"&amp; G83 + 1 )  &amp;"#"&amp;Retro_Mal&amp;"}]]]"</f>
        <v xml:space="preserve"> [[[{6:MCVS:%100%&lt;img src="https://i.ibb.co/0QGzvL2/M-POS-POS-MIN-MAX-NEG-MIN.png" width="100"&gt;#¡Muy bien!~%-33%&lt;img src="https://i.ibb.co/DkmpBRG/M-NEG-POS-MIN-MAX-M-0.png" width="100"&gt;#Incorrecto.~%-33%&lt;img src="https://i.ibb.co/jr6LKgt/M-NEG-POS-MIN-MAX-M-L.png" width="100"&gt;#Incorrecto.}]]]</v>
      </c>
      <c r="J83" s="293" t="e" vm="237">
        <v>#VALUE!</v>
      </c>
      <c r="K83" s="293" t="e" vm="238">
        <v>#VALUE!</v>
      </c>
      <c r="L83" s="293" t="e" vm="239">
        <v>#VALUE!</v>
      </c>
      <c r="M83" s="114" t="s">
        <v>373</v>
      </c>
    </row>
    <row r="84" spans="1:13" ht="33.450000000000003" customHeight="1" outlineLevel="1">
      <c r="A84">
        <f t="shared" si="8"/>
        <v>83</v>
      </c>
      <c r="B84" s="114" t="s">
        <v>375</v>
      </c>
      <c r="C84" s="114" t="s">
        <v>376</v>
      </c>
      <c r="D84" s="114" t="s">
        <v>456</v>
      </c>
      <c r="E84" s="115" t="str">
        <f t="shared" si="6"/>
        <v>&lt;img src="https://i.ibb.co/4NkhP0y/M-POS-POS-MAX-MIN-NEG-MIN.png" width="100"&gt;</v>
      </c>
      <c r="F84" s="114" cm="1">
        <f t="array" aca="1" ref="F84" ca="1">INDIRECT("A"&amp;ROW()-1)</f>
        <v>82</v>
      </c>
      <c r="G84" s="114" cm="1">
        <f t="array" aca="1" ref="G84" ca="1">INDIRECT("A"&amp;ROW()-2)</f>
        <v>81</v>
      </c>
      <c r="H84" s="113">
        <f t="shared" ca="1" si="7"/>
        <v>41</v>
      </c>
      <c r="I84" s="238" t="str" cm="1">
        <f t="array" aca="1" ref="I84" ca="1">" [[[{"&amp;'RESULTADOS - FTP'!$O$52&amp;":MCVS:"&amp;'RESULTADOS - FTP'!$P$3 &amp;   E84                         &amp;"#"&amp;Retro_MuyBien&amp;
                                      "~%"&amp;'RESULTADOS - FTP'!$R$52&amp;"%" &amp; INDIRECT("E"&amp; F84 + 1 )  &amp;"#"&amp;Retro_Mal&amp;
                                      "~%"&amp;'RESULTADOS - FTP'!$R$52&amp;"%" &amp; INDIRECT("E"&amp; G84 + 1 )  &amp;"#"&amp;Retro_Mal&amp;"}]]]"</f>
        <v xml:space="preserve"> [[[{6:MCVS:%100%&lt;img src="https://i.ibb.co/4NkhP0y/M-POS-POS-MAX-MIN-NEG-MIN.png" width="100"&gt;#¡Muy bien!~%-33%&lt;img src="https://i.ibb.co/0QGzvL2/M-POS-POS-MIN-MAX-NEG-MIN.png" width="100"&gt;#Incorrecto.~%-33%&lt;img src="https://i.ibb.co/DkmpBRG/M-NEG-POS-MIN-MAX-M-0.png" width="100"&gt;#Incorrecto.}]]]</v>
      </c>
      <c r="J84" s="293" t="e" vm="240">
        <v>#VALUE!</v>
      </c>
      <c r="K84" s="293" t="e" vm="241">
        <v>#VALUE!</v>
      </c>
      <c r="L84" s="293" t="e" vm="242">
        <v>#VALUE!</v>
      </c>
      <c r="M84" s="114" t="s">
        <v>375</v>
      </c>
    </row>
    <row r="85" spans="1:13" ht="33.450000000000003" customHeight="1" outlineLevel="1">
      <c r="A85">
        <f t="shared" si="8"/>
        <v>84</v>
      </c>
      <c r="B85" s="114" t="s">
        <v>377</v>
      </c>
      <c r="C85" s="114" t="s">
        <v>378</v>
      </c>
      <c r="D85" s="114" t="s">
        <v>496</v>
      </c>
      <c r="E85" s="115" t="str">
        <f t="shared" si="6"/>
        <v>&lt;img src="https://i.ibb.co/qr0ghpC/M-NEG-NEG-MIN-MAX-POS-MAX.png" width="100"&gt;</v>
      </c>
      <c r="F85" s="114" cm="1">
        <f t="array" aca="1" ref="F85" ca="1">INDIRECT("A"&amp;ROW()-1)</f>
        <v>83</v>
      </c>
      <c r="G85" s="114" cm="1">
        <f t="array" aca="1" ref="G85" ca="1">INDIRECT("A"&amp;ROW()-2)</f>
        <v>82</v>
      </c>
      <c r="H85" s="113">
        <f t="shared" ca="1" si="7"/>
        <v>76</v>
      </c>
      <c r="I85" s="238" t="str" cm="1">
        <f t="array" aca="1" ref="I85" ca="1">" [[[{"&amp;'RESULTADOS - FTP'!$O$52&amp;":MCVS:"&amp;'RESULTADOS - FTP'!$P$3 &amp;   E85                         &amp;"#"&amp;Retro_MuyBien&amp;
                                      "~%"&amp;'RESULTADOS - FTP'!$R$52&amp;"%" &amp; INDIRECT("E"&amp; F85 + 1 )  &amp;"#"&amp;Retro_Mal&amp;
                                      "~%"&amp;'RESULTADOS - FTP'!$R$52&amp;"%" &amp; INDIRECT("E"&amp; G85 + 1 )  &amp;"#"&amp;Retro_Mal&amp;"}]]]"</f>
        <v xml:space="preserve"> [[[{6:MCVS:%100%&lt;img src="https://i.ibb.co/qr0ghpC/M-NEG-NEG-MIN-MAX-POS-MAX.png" width="100"&gt;#¡Muy bien!~%-33%&lt;img src="https://i.ibb.co/4NkhP0y/M-POS-POS-MAX-MIN-NEG-MIN.png" width="100"&gt;#Incorrecto.~%-33%&lt;img src="https://i.ibb.co/0QGzvL2/M-POS-POS-MIN-MAX-NEG-MIN.png" width="100"&gt;#Incorrecto.}]]]</v>
      </c>
      <c r="J85" s="293" t="e" vm="243">
        <v>#VALUE!</v>
      </c>
      <c r="K85" s="293" t="e" vm="244">
        <v>#VALUE!</v>
      </c>
      <c r="L85" s="293" t="e" vm="245">
        <v>#VALUE!</v>
      </c>
      <c r="M85" s="114" t="s">
        <v>377</v>
      </c>
    </row>
    <row r="86" spans="1:13" ht="33.450000000000003" customHeight="1" outlineLevel="1">
      <c r="A86">
        <f t="shared" si="8"/>
        <v>85</v>
      </c>
      <c r="B86" s="114" t="s">
        <v>452</v>
      </c>
      <c r="C86" s="114" t="s">
        <v>379</v>
      </c>
      <c r="D86" s="114" t="s">
        <v>490</v>
      </c>
      <c r="E86" s="115" t="str">
        <f t="shared" si="6"/>
        <v>&lt;img src="https://i.ibb.co/VCHCJ1c/M-NEG-NEG-MAX-MIN-POS-MAX.png" width="100"&gt;</v>
      </c>
      <c r="F86" s="114" cm="1">
        <f t="array" aca="1" ref="F86" ca="1">INDIRECT("A"&amp;ROW()-1)</f>
        <v>84</v>
      </c>
      <c r="G86" s="114" cm="1">
        <f t="array" aca="1" ref="G86" ca="1">INDIRECT("A"&amp;ROW()-2)</f>
        <v>83</v>
      </c>
      <c r="H86" s="113">
        <f t="shared" ca="1" si="7"/>
        <v>60</v>
      </c>
      <c r="I86" s="238" t="str" cm="1">
        <f t="array" aca="1" ref="I86" ca="1">" [[[{"&amp;'RESULTADOS - FTP'!$O$52&amp;":MCVS:"&amp;'RESULTADOS - FTP'!$P$3 &amp;   E86                         &amp;"#"&amp;Retro_MuyBien&amp;
                                      "~%"&amp;'RESULTADOS - FTP'!$R$52&amp;"%" &amp; INDIRECT("E"&amp; F86 + 1 )  &amp;"#"&amp;Retro_Mal&amp;
                                      "~%"&amp;'RESULTADOS - FTP'!$R$52&amp;"%" &amp; INDIRECT("E"&amp; G86 + 1 )  &amp;"#"&amp;Retro_Mal&amp;"}]]]"</f>
        <v xml:space="preserve"> [[[{6:MCVS:%100%&lt;img src="https://i.ibb.co/VCHCJ1c/M-NEG-NEG-MAX-MIN-POS-MAX.png" width="100"&gt;#¡Muy bien!~%-33%&lt;img src="https://i.ibb.co/qr0ghpC/M-NEG-NEG-MIN-MAX-POS-MAX.png" width="100"&gt;#Incorrecto.~%-33%&lt;img src="https://i.ibb.co/4NkhP0y/M-POS-POS-MAX-MIN-NEG-MIN.png" width="100"&gt;#Incorrecto.}]]]</v>
      </c>
      <c r="J86" s="293" t="e" vm="246">
        <v>#VALUE!</v>
      </c>
      <c r="K86" s="293" t="e" vm="247">
        <v>#VALUE!</v>
      </c>
      <c r="L86" s="293" t="e" vm="248">
        <v>#VALUE!</v>
      </c>
      <c r="M86" s="114" t="s">
        <v>452</v>
      </c>
    </row>
    <row r="87" spans="1:13" ht="33.450000000000003" customHeight="1" outlineLevel="1">
      <c r="A87">
        <f t="shared" si="8"/>
        <v>86</v>
      </c>
      <c r="B87" s="114" t="s">
        <v>655</v>
      </c>
      <c r="C87" s="114" t="s">
        <v>379</v>
      </c>
      <c r="D87" s="114" t="s">
        <v>490</v>
      </c>
      <c r="E87" s="115" t="str">
        <f t="shared" ref="E87:E90" si="9">$E$1&amp;D87&amp;$F$1</f>
        <v>&lt;img src="https://i.ibb.co/VCHCJ1c/M-NEG-NEG-MAX-MIN-POS-MAX.png" width="100"&gt;</v>
      </c>
      <c r="F87" s="114" cm="1">
        <f t="array" aca="1" ref="F87" ca="1">INDIRECT("A"&amp;ROW()-1)</f>
        <v>85</v>
      </c>
      <c r="G87" s="114" cm="1">
        <f t="array" aca="1" ref="G87" ca="1">INDIRECT("A"&amp;ROW()-2)</f>
        <v>84</v>
      </c>
      <c r="H87" s="113">
        <f t="shared" ref="H87:H90" ca="1" si="10">RANDBETWEEN($A$41,MIN(F87:G87)-1)</f>
        <v>51</v>
      </c>
      <c r="I87" s="238" t="str" cm="1">
        <f t="array" aca="1" ref="I87" ca="1">" [[[{"&amp;'RESULTADOS - FTP'!$O$52&amp;":MCVS:"&amp;'RESULTADOS - FTP'!$P$3 &amp;   E87                         &amp;"#"&amp;Retro_MuyBien&amp;
                                      "~%"&amp;'RESULTADOS - FTP'!$R$52&amp;"%" &amp; INDIRECT("E"&amp; F87 + 1 )  &amp;"#"&amp;Retro_Mal&amp;
                                      "~%"&amp;'RESULTADOS - FTP'!$R$52&amp;"%" &amp; INDIRECT("E"&amp; G87 + 1 )  &amp;"#"&amp;Retro_Mal&amp;"}]]]"</f>
        <v xml:space="preserve"> [[[{6:MCVS:%100%&lt;img src="https://i.ibb.co/VCHCJ1c/M-NEG-NEG-MAX-MIN-POS-MAX.png" width="100"&gt;#¡Muy bien!~%-33%&lt;img src="https://i.ibb.co/VCHCJ1c/M-NEG-NEG-MAX-MIN-POS-MAX.png" width="100"&gt;#Incorrecto.~%-33%&lt;img src="https://i.ibb.co/qr0ghpC/M-NEG-NEG-MIN-MAX-POS-MAX.png" width="100"&gt;#Incorrecto.}]]]</v>
      </c>
      <c r="J87" s="293" t="e" vm="249">
        <v>#VALUE!</v>
      </c>
      <c r="K87" s="293" t="e" vm="250">
        <v>#VALUE!</v>
      </c>
      <c r="L87" s="293" t="e" vm="251">
        <v>#VALUE!</v>
      </c>
      <c r="M87" s="114" t="s">
        <v>655</v>
      </c>
    </row>
    <row r="88" spans="1:13" ht="33.450000000000003" customHeight="1" outlineLevel="1">
      <c r="A88">
        <f t="shared" si="8"/>
        <v>87</v>
      </c>
      <c r="B88" s="114" t="s">
        <v>658</v>
      </c>
      <c r="C88" s="114" t="s">
        <v>379</v>
      </c>
      <c r="D88" s="114" t="s">
        <v>490</v>
      </c>
      <c r="E88" s="115" t="str">
        <f t="shared" si="9"/>
        <v>&lt;img src="https://i.ibb.co/VCHCJ1c/M-NEG-NEG-MAX-MIN-POS-MAX.png" width="100"&gt;</v>
      </c>
      <c r="F88" s="114" cm="1">
        <f t="array" aca="1" ref="F88" ca="1">INDIRECT("A"&amp;ROW()-1)</f>
        <v>86</v>
      </c>
      <c r="G88" s="114" cm="1">
        <f t="array" aca="1" ref="G88" ca="1">INDIRECT("A"&amp;ROW()-2)</f>
        <v>85</v>
      </c>
      <c r="H88" s="113">
        <f t="shared" ca="1" si="10"/>
        <v>50</v>
      </c>
      <c r="I88" s="238" t="str" cm="1">
        <f t="array" aca="1" ref="I88" ca="1">" [[[{"&amp;'RESULTADOS - FTP'!$O$52&amp;":MCVS:"&amp;'RESULTADOS - FTP'!$P$3 &amp;   E88                         &amp;"#"&amp;Retro_MuyBien&amp;
                                      "~%"&amp;'RESULTADOS - FTP'!$R$52&amp;"%" &amp; INDIRECT("E"&amp; F88 + 1 )  &amp;"#"&amp;Retro_Mal&amp;
                                      "~%"&amp;'RESULTADOS - FTP'!$R$52&amp;"%" &amp; INDIRECT("E"&amp; G88 + 1 )  &amp;"#"&amp;Retro_Mal&amp;"}]]]"</f>
        <v xml:space="preserve"> [[[{6:MCVS:%100%&lt;img src="https://i.ibb.co/VCHCJ1c/M-NEG-NEG-MAX-MIN-POS-MAX.png" width="100"&gt;#¡Muy bien!~%-33%&lt;img src="https://i.ibb.co/VCHCJ1c/M-NEG-NEG-MAX-MIN-POS-MAX.png" width="100"&gt;#Incorrecto.~%-33%&lt;img src="https://i.ibb.co/VCHCJ1c/M-NEG-NEG-MAX-MIN-POS-MAX.png" width="100"&gt;#Incorrecto.}]]]</v>
      </c>
      <c r="J88" s="293" t="e" vm="252">
        <v>#VALUE!</v>
      </c>
      <c r="K88" s="293" t="e" vm="253">
        <v>#VALUE!</v>
      </c>
      <c r="L88" s="293" t="e" vm="254">
        <v>#VALUE!</v>
      </c>
      <c r="M88" s="114" t="s">
        <v>658</v>
      </c>
    </row>
    <row r="89" spans="1:13" ht="33.450000000000003" customHeight="1" outlineLevel="1">
      <c r="A89">
        <f t="shared" si="8"/>
        <v>88</v>
      </c>
      <c r="B89" s="114" t="s">
        <v>656</v>
      </c>
      <c r="C89" s="114" t="s">
        <v>379</v>
      </c>
      <c r="D89" s="114" t="s">
        <v>490</v>
      </c>
      <c r="E89" s="115" t="str">
        <f t="shared" ref="E89" si="11">$E$1&amp;D89&amp;$F$1</f>
        <v>&lt;img src="https://i.ibb.co/VCHCJ1c/M-NEG-NEG-MAX-MIN-POS-MAX.png" width="100"&gt;</v>
      </c>
      <c r="F89" s="114" cm="1">
        <f t="array" aca="1" ref="F89" ca="1">INDIRECT("A"&amp;ROW()-1)</f>
        <v>87</v>
      </c>
      <c r="G89" s="114" cm="1">
        <f t="array" aca="1" ref="G89" ca="1">INDIRECT("A"&amp;ROW()-2)</f>
        <v>86</v>
      </c>
      <c r="H89" s="113">
        <f t="shared" ref="H89" ca="1" si="12">RANDBETWEEN($A$41,MIN(F89:G89)-1)</f>
        <v>79</v>
      </c>
      <c r="I89" s="238" t="str" cm="1">
        <f t="array" aca="1" ref="I89" ca="1">" [[[{"&amp;'RESULTADOS - FTP'!$O$52&amp;":MCVS:"&amp;'RESULTADOS - FTP'!$P$3 &amp;   E89                         &amp;"#"&amp;Retro_MuyBien&amp;
                                      "~%"&amp;'RESULTADOS - FTP'!$R$52&amp;"%" &amp; INDIRECT("E"&amp; F89 + 1 )  &amp;"#"&amp;Retro_Mal&amp;
                                      "~%"&amp;'RESULTADOS - FTP'!$R$52&amp;"%" &amp; INDIRECT("E"&amp; G89 + 1 )  &amp;"#"&amp;Retro_Mal&amp;"}]]]"</f>
        <v xml:space="preserve"> [[[{6:MCVS:%100%&lt;img src="https://i.ibb.co/VCHCJ1c/M-NEG-NEG-MAX-MIN-POS-MAX.png" width="100"&gt;#¡Muy bien!~%-33%&lt;img src="https://i.ibb.co/VCHCJ1c/M-NEG-NEG-MAX-MIN-POS-MAX.png" width="100"&gt;#Incorrecto.~%-33%&lt;img src="https://i.ibb.co/VCHCJ1c/M-NEG-NEG-MAX-MIN-POS-MAX.png" width="100"&gt;#Incorrecto.}]]]</v>
      </c>
      <c r="J89" s="293" t="e" vm="255">
        <v>#VALUE!</v>
      </c>
      <c r="K89" s="293" t="e" vm="256">
        <v>#VALUE!</v>
      </c>
      <c r="L89" s="293" t="e" vm="257">
        <v>#VALUE!</v>
      </c>
      <c r="M89" s="114" t="s">
        <v>656</v>
      </c>
    </row>
    <row r="90" spans="1:13" ht="33.450000000000003" customHeight="1" outlineLevel="1">
      <c r="A90">
        <f t="shared" si="8"/>
        <v>89</v>
      </c>
      <c r="B90" s="114" t="s">
        <v>657</v>
      </c>
      <c r="C90" s="114" t="s">
        <v>379</v>
      </c>
      <c r="D90" s="114" t="s">
        <v>490</v>
      </c>
      <c r="E90" s="115" t="str">
        <f t="shared" si="9"/>
        <v>&lt;img src="https://i.ibb.co/VCHCJ1c/M-NEG-NEG-MAX-MIN-POS-MAX.png" width="100"&gt;</v>
      </c>
      <c r="F90" s="114" cm="1">
        <f t="array" aca="1" ref="F90" ca="1">INDIRECT("A"&amp;ROW()-1)</f>
        <v>88</v>
      </c>
      <c r="G90" s="114" cm="1">
        <f t="array" aca="1" ref="G90" ca="1">INDIRECT("A"&amp;ROW()-2)</f>
        <v>87</v>
      </c>
      <c r="H90" s="113">
        <f t="shared" ca="1" si="10"/>
        <v>62</v>
      </c>
      <c r="I90" s="238" t="str" cm="1">
        <f t="array" aca="1" ref="I90" ca="1">" [[[{"&amp;'RESULTADOS - FTP'!$O$52&amp;":MCVS:"&amp;'RESULTADOS - FTP'!$P$3 &amp;   E90                         &amp;"#"&amp;Retro_MuyBien&amp;
                                      "~%"&amp;'RESULTADOS - FTP'!$R$52&amp;"%" &amp; INDIRECT("E"&amp; F90 + 1 )  &amp;"#"&amp;Retro_Mal&amp;
                                      "~%"&amp;'RESULTADOS - FTP'!$R$52&amp;"%" &amp; INDIRECT("E"&amp; G90 + 1 )  &amp;"#"&amp;Retro_Mal&amp;"}]]]"</f>
        <v xml:space="preserve"> [[[{6:MCVS:%100%&lt;img src="https://i.ibb.co/VCHCJ1c/M-NEG-NEG-MAX-MIN-POS-MAX.png" width="100"&gt;#¡Muy bien!~%-33%&lt;img src="https://i.ibb.co/VCHCJ1c/M-NEG-NEG-MAX-MIN-POS-MAX.png" width="100"&gt;#Incorrecto.~%-33%&lt;img src="https://i.ibb.co/VCHCJ1c/M-NEG-NEG-MAX-MIN-POS-MAX.png" width="100"&gt;#Incorrecto.}]]]</v>
      </c>
      <c r="J90" s="293" t="e" vm="258">
        <v>#VALUE!</v>
      </c>
      <c r="K90" s="293" t="e" vm="259">
        <v>#VALUE!</v>
      </c>
      <c r="L90" s="293" t="e" vm="260">
        <v>#VALUE!</v>
      </c>
      <c r="M90" s="114" t="s">
        <v>657</v>
      </c>
    </row>
    <row r="92" spans="1:13">
      <c r="A92" s="105" t="s">
        <v>380</v>
      </c>
    </row>
    <row r="93" spans="1:13" ht="51.75" customHeight="1" outlineLevel="1">
      <c r="A93" s="36" t="s">
        <v>12</v>
      </c>
      <c r="B93" s="36" t="s">
        <v>381</v>
      </c>
      <c r="C93" s="36"/>
      <c r="D93" s="36" t="s">
        <v>539</v>
      </c>
      <c r="E93" s="685" t="str">
        <f t="shared" ref="E93" si="13">$E$1&amp;D93&amp;$F$1</f>
        <v>&lt;img src="https://i.ibb.co/SKCx3nH/q-H-Barra.png" width="100"&gt;</v>
      </c>
      <c r="F93" s="685"/>
      <c r="G93" s="685"/>
      <c r="H93" s="685"/>
      <c r="I93" s="685"/>
      <c r="J93" s="562" t="e" vm="261">
        <v>#VALUE!</v>
      </c>
      <c r="K93" s="562"/>
      <c r="L93" s="562"/>
    </row>
    <row r="94" spans="1:13" ht="51.75" customHeight="1" outlineLevel="1">
      <c r="A94" s="36" t="s">
        <v>34</v>
      </c>
      <c r="B94" s="36" t="s">
        <v>382</v>
      </c>
      <c r="C94" s="36"/>
      <c r="D94" s="36" t="s">
        <v>536</v>
      </c>
      <c r="E94" s="685" t="str">
        <f t="shared" ref="E94:E98" si="14">$E$1&amp;D94&amp;$F$1</f>
        <v>&lt;img src="https://i.ibb.co/Scd2DHk/q-H-Cota.png" width="100"&gt;</v>
      </c>
      <c r="F94" s="685"/>
      <c r="G94" s="685"/>
      <c r="H94" s="685"/>
      <c r="I94" s="685"/>
      <c r="J94" s="562" t="e" vm="262">
        <v>#VALUE!</v>
      </c>
      <c r="K94" s="562"/>
      <c r="L94" s="562"/>
    </row>
    <row r="95" spans="1:13" ht="51.75" customHeight="1">
      <c r="A95" s="36" t="s">
        <v>36</v>
      </c>
      <c r="B95" s="36" t="s">
        <v>554</v>
      </c>
      <c r="C95" s="36"/>
      <c r="D95" s="36" t="s">
        <v>555</v>
      </c>
      <c r="E95" s="685" t="str">
        <f t="shared" si="14"/>
        <v>&lt;img src="https://i.ibb.co/QDbrwxC/q-H-V-Cota.png" width="100"&gt;</v>
      </c>
      <c r="F95" s="685"/>
      <c r="G95" s="685"/>
      <c r="H95" s="685"/>
      <c r="I95" s="685"/>
      <c r="J95" s="562" t="e" vm="263">
        <v>#VALUE!</v>
      </c>
      <c r="K95" s="562"/>
      <c r="L95" s="562"/>
    </row>
    <row r="96" spans="1:13" ht="51.75" customHeight="1" outlineLevel="1">
      <c r="A96" s="36" t="s">
        <v>37</v>
      </c>
      <c r="B96" s="36" t="s">
        <v>383</v>
      </c>
      <c r="C96" s="36"/>
      <c r="D96" s="36" t="s">
        <v>537</v>
      </c>
      <c r="E96" s="685" t="str">
        <f t="shared" si="14"/>
        <v>&lt;img src="https://i.ibb.co/SwrvKnt/q-V-Barra.png" width="100"&gt;</v>
      </c>
      <c r="F96" s="685"/>
      <c r="G96" s="685"/>
      <c r="H96" s="685"/>
      <c r="I96" s="685"/>
      <c r="J96" s="562" t="e" vm="264">
        <v>#VALUE!</v>
      </c>
      <c r="K96" s="562"/>
      <c r="L96" s="562"/>
    </row>
    <row r="97" spans="1:12" ht="51.75" customHeight="1" outlineLevel="1">
      <c r="A97" s="36" t="s">
        <v>38</v>
      </c>
      <c r="B97" s="36" t="s">
        <v>384</v>
      </c>
      <c r="C97" s="36"/>
      <c r="D97" s="36" t="s">
        <v>538</v>
      </c>
      <c r="E97" s="685" t="str">
        <f t="shared" si="14"/>
        <v>&lt;img src="https://i.ibb.co/h9yZxCy/q-V-Cota.png" width="100"&gt;</v>
      </c>
      <c r="F97" s="685"/>
      <c r="G97" s="685"/>
      <c r="H97" s="685"/>
      <c r="I97" s="685"/>
      <c r="J97" s="562" t="e" vm="265">
        <v>#VALUE!</v>
      </c>
      <c r="K97" s="562"/>
      <c r="L97" s="562"/>
    </row>
    <row r="98" spans="1:12" ht="51.75" customHeight="1">
      <c r="A98" s="36" t="s">
        <v>416</v>
      </c>
      <c r="B98" s="36" t="s">
        <v>556</v>
      </c>
      <c r="C98" s="36"/>
      <c r="D98" s="36" t="s">
        <v>550</v>
      </c>
      <c r="E98" s="685" t="str">
        <f t="shared" si="14"/>
        <v>&lt;img src="https://i.ibb.co/6BxwXgN/q-P-Barra.png" width="100"&gt;</v>
      </c>
      <c r="F98" s="685"/>
      <c r="G98" s="685"/>
      <c r="H98" s="685"/>
      <c r="I98" s="685"/>
      <c r="J98" s="562" t="e" vm="266">
        <v>#VALUE!</v>
      </c>
      <c r="K98" s="562"/>
      <c r="L98" s="562"/>
    </row>
    <row r="100" spans="1:12">
      <c r="A100" s="105" t="s">
        <v>385</v>
      </c>
    </row>
    <row r="101" spans="1:12">
      <c r="A101" s="241" t="s">
        <v>721</v>
      </c>
    </row>
    <row r="102" spans="1:12" outlineLevel="1">
      <c r="A102" s="37" t="s">
        <v>386</v>
      </c>
      <c r="C102" t="s">
        <v>387</v>
      </c>
      <c r="D102" s="114" t="str">
        <f>MID(C102,33,33)</f>
        <v>1uT2gdZzepTKwrjSmjva9_uoZOP_HnRnX</v>
      </c>
      <c r="E102" s="116" t="str">
        <f>$E$1&amp;D102&amp;$G$1</f>
        <v>&lt;img src="1uT2gdZzepTKwrjSmjva9_uoZOP_HnRnX" width="300"&gt;</v>
      </c>
    </row>
    <row r="103" spans="1:12" outlineLevel="1">
      <c r="A103" s="37" t="s">
        <v>388</v>
      </c>
      <c r="C103" t="s">
        <v>389</v>
      </c>
      <c r="D103" s="114" t="str">
        <f>MID(C103,33,33)</f>
        <v>1CksGC9gsPR6rWP3sUbLeHzfWTO9O2daM</v>
      </c>
      <c r="E103" s="116" t="str">
        <f>$E$1&amp;D103&amp;$G$1</f>
        <v>&lt;img src="1CksGC9gsPR6rWP3sUbLeHzfWTO9O2daM" width="300"&gt;</v>
      </c>
    </row>
    <row r="104" spans="1:12" outlineLevel="1">
      <c r="A104" s="37" t="s">
        <v>390</v>
      </c>
      <c r="C104" t="s">
        <v>391</v>
      </c>
      <c r="D104" s="114" t="str">
        <f>MID(C104,33,33)</f>
        <v>1nFRFlnOV9ke4ZYUbAgiQDnAZwMndr7Zy</v>
      </c>
      <c r="E104" s="116" t="str">
        <f>$E$1&amp;D104&amp;$G$1</f>
        <v>&lt;img src="1nFRFlnOV9ke4ZYUbAgiQDnAZwMndr7Zy" width="300"&gt;</v>
      </c>
    </row>
  </sheetData>
  <sheetProtection selectLockedCells="1"/>
  <autoFilter ref="A1:I86" xr:uid="{00000000-0009-0000-0000-000006000000}"/>
  <mergeCells count="12">
    <mergeCell ref="E98:I98"/>
    <mergeCell ref="J93:L93"/>
    <mergeCell ref="J94:L94"/>
    <mergeCell ref="J95:L95"/>
    <mergeCell ref="J96:L96"/>
    <mergeCell ref="J97:L97"/>
    <mergeCell ref="J98:L98"/>
    <mergeCell ref="E93:I93"/>
    <mergeCell ref="E94:I94"/>
    <mergeCell ref="E95:I95"/>
    <mergeCell ref="E96:I96"/>
    <mergeCell ref="E97:I97"/>
  </mergeCells>
  <conditionalFormatting sqref="A102:A1048576 A1:A100">
    <cfRule type="duplicateValues" dxfId="14" priority="5"/>
  </conditionalFormatting>
  <conditionalFormatting sqref="B2:B90">
    <cfRule type="duplicateValues" dxfId="13" priority="4"/>
  </conditionalFormatting>
  <conditionalFormatting sqref="K3">
    <cfRule type="duplicateValues" dxfId="12" priority="2"/>
  </conditionalFormatting>
  <conditionalFormatting sqref="M2 M4:M90">
    <cfRule type="duplicateValues" dxfId="11" priority="3"/>
  </conditionalFormatting>
  <conditionalFormatting sqref="M3">
    <cfRule type="duplicateValues" dxfId="10" priority="1"/>
  </conditionalFormatting>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_Enlaces_Imagenes">
    <tabColor rgb="FF005877"/>
  </sheetPr>
  <dimension ref="A1:G49"/>
  <sheetViews>
    <sheetView showGridLines="0" showRowColHeaders="0" zoomScale="110" zoomScaleNormal="110" workbookViewId="0">
      <pane xSplit="5" ySplit="1" topLeftCell="F2" activePane="bottomRight" state="frozen"/>
      <selection pane="topRight" activeCell="F1" sqref="F1"/>
      <selection pane="bottomLeft" activeCell="A2" sqref="A2"/>
      <selection pane="bottomRight" activeCell="A42" sqref="A42"/>
    </sheetView>
  </sheetViews>
  <sheetFormatPr baseColWidth="10" defaultColWidth="0" defaultRowHeight="14.35" zeroHeight="1"/>
  <cols>
    <col min="1" max="1" width="42.76171875" customWidth="1"/>
    <col min="2" max="3" width="6.64453125" customWidth="1"/>
    <col min="4" max="4" width="2.87890625" customWidth="1"/>
    <col min="5" max="5" width="89.76171875" customWidth="1"/>
    <col min="6" max="6" width="2.64453125" customWidth="1"/>
    <col min="7" max="7" width="0" hidden="1" customWidth="1"/>
    <col min="8" max="16384" width="10.76171875" hidden="1"/>
  </cols>
  <sheetData>
    <row r="1" spans="1:5">
      <c r="A1" s="4" t="s">
        <v>0</v>
      </c>
      <c r="B1" s="4" t="s">
        <v>9</v>
      </c>
      <c r="C1" s="4" t="s">
        <v>10</v>
      </c>
      <c r="D1" s="4" t="s">
        <v>2</v>
      </c>
      <c r="E1" s="4" t="s">
        <v>11</v>
      </c>
    </row>
    <row r="2" spans="1:5">
      <c r="A2" s="20" t="s">
        <v>580</v>
      </c>
      <c r="B2" s="365"/>
      <c r="C2" s="365" t="s">
        <v>43</v>
      </c>
      <c r="D2" s="275" t="s">
        <v>577</v>
      </c>
      <c r="E2" t="str">
        <f>URL_I&amp;T_DATOS_IMAGENES[[#This Row],[Enlace]]&amp;IF(T_DATOS_IMAGENES[[#This Row],[Ancho]]="","",URL_W&amp;T_DATOS_IMAGENES[[#This Row],[Ancho]])&amp;IF(T_DATOS_IMAGENES[[#This Row],[Alto]]="","",URL_ALTO&amp;T_DATOS_IMAGENES[[#This Row],[Alto]])&amp;URL_F</f>
        <v>&lt;img src="https://i.ibb.co/VB7z87D/Pilar-Empotrado-Libre.png" height="200"&gt;</v>
      </c>
    </row>
    <row r="3" spans="1:5">
      <c r="A3" s="20" t="s">
        <v>579</v>
      </c>
      <c r="B3" s="365"/>
      <c r="C3" s="365" t="s">
        <v>43</v>
      </c>
      <c r="D3" s="275" t="s">
        <v>578</v>
      </c>
      <c r="E3" t="str">
        <f>URL_I&amp;T_DATOS_IMAGENES[[#This Row],[Enlace]]&amp;IF(T_DATOS_IMAGENES[[#This Row],[Ancho]]="","",URL_W&amp;T_DATOS_IMAGENES[[#This Row],[Ancho]])&amp;IF(T_DATOS_IMAGENES[[#This Row],[Alto]]="","",URL_ALTO&amp;T_DATOS_IMAGENES[[#This Row],[Alto]])&amp;URL_F</f>
        <v>&lt;img src="https://i.ibb.co/d7f1j2K/Pilar-Empotrado-Libre-Pescante-Recto.png" height="200"&gt;</v>
      </c>
    </row>
    <row r="4" spans="1:5">
      <c r="A4" s="20" t="s">
        <v>581</v>
      </c>
      <c r="B4" s="365"/>
      <c r="C4" s="365" t="s">
        <v>43</v>
      </c>
      <c r="D4" s="275" t="s">
        <v>576</v>
      </c>
      <c r="E4" t="str">
        <f>URL_I&amp;T_DATOS_IMAGENES[[#This Row],[Enlace]]&amp;IF(T_DATOS_IMAGENES[[#This Row],[Ancho]]="","",URL_W&amp;T_DATOS_IMAGENES[[#This Row],[Ancho]])&amp;IF(T_DATOS_IMAGENES[[#This Row],[Alto]]="","",URL_ALTO&amp;T_DATOS_IMAGENES[[#This Row],[Alto]])&amp;URL_F</f>
        <v>&lt;img src="https://i.ibb.co/gzz9sTm/Pilar-Empotrado-Libre-Pescante-Inclinado.png" height="200"&gt;</v>
      </c>
    </row>
    <row r="5" spans="1:5" hidden="1">
      <c r="A5" s="364" t="s">
        <v>614</v>
      </c>
      <c r="B5" s="365"/>
      <c r="C5" s="365" t="s">
        <v>43</v>
      </c>
      <c r="D5" s="275" t="s">
        <v>593</v>
      </c>
      <c r="E5" t="str">
        <f>URL_I&amp;T_DATOS_IMAGENES[[#This Row],[Enlace]]&amp;IF(T_DATOS_IMAGENES[[#This Row],[Ancho]]="","",URL_W&amp;T_DATOS_IMAGENES[[#This Row],[Ancho]])&amp;IF(T_DATOS_IMAGENES[[#This Row],[Alto]]="","",URL_ALTO&amp;T_DATOS_IMAGENES[[#This Row],[Alto]])&amp;URL_F</f>
        <v>&lt;img src="https://i.ibb.co/sjySzxN/Viga-Horizontal-Empotrado-Movil-Vol1-Art-G.png" height="200"&gt;</v>
      </c>
    </row>
    <row r="6" spans="1:5" hidden="1">
      <c r="A6" s="364" t="s">
        <v>615</v>
      </c>
      <c r="B6" s="365"/>
      <c r="C6" s="365" t="s">
        <v>43</v>
      </c>
      <c r="D6" s="275" t="s">
        <v>594</v>
      </c>
      <c r="E6" t="str">
        <f>URL_I&amp;T_DATOS_IMAGENES[[#This Row],[Enlace]]&amp;IF(T_DATOS_IMAGENES[[#This Row],[Ancho]]="","",URL_W&amp;T_DATOS_IMAGENES[[#This Row],[Ancho]])&amp;IF(T_DATOS_IMAGENES[[#This Row],[Alto]]="","",URL_ALTO&amp;T_DATOS_IMAGENES[[#This Row],[Alto]])&amp;URL_F</f>
        <v>&lt;img src="https://i.ibb.co/YPRkc4d/Viga-Horizontal-Empotrado-Movil-Vol2-Art-F.png" height="200"&gt;</v>
      </c>
    </row>
    <row r="7" spans="1:5">
      <c r="A7" s="20" t="s">
        <v>589</v>
      </c>
      <c r="B7" s="365"/>
      <c r="C7" s="365" t="s">
        <v>43</v>
      </c>
      <c r="D7" s="275" t="s">
        <v>595</v>
      </c>
      <c r="E7" t="str">
        <f>URL_I&amp;T_DATOS_IMAGENES[[#This Row],[Enlace]]&amp;IF(T_DATOS_IMAGENES[[#This Row],[Ancho]]="","",URL_W&amp;T_DATOS_IMAGENES[[#This Row],[Ancho]])&amp;IF(T_DATOS_IMAGENES[[#This Row],[Alto]]="","",URL_ALTO&amp;T_DATOS_IMAGENES[[#This Row],[Alto]])&amp;URL_F</f>
        <v>&lt;img src="https://i.ibb.co/nzLrYdB/Viga-Horizontal-Fijo-Movil.png" height="200"&gt;</v>
      </c>
    </row>
    <row r="8" spans="1:5">
      <c r="A8" s="20" t="s">
        <v>616</v>
      </c>
      <c r="B8" s="365"/>
      <c r="C8" s="365" t="s">
        <v>43</v>
      </c>
      <c r="D8" s="275" t="s">
        <v>596</v>
      </c>
      <c r="E8" t="str">
        <f>URL_I&amp;T_DATOS_IMAGENES[[#This Row],[Enlace]]&amp;IF(T_DATOS_IMAGENES[[#This Row],[Ancho]]="","",URL_W&amp;T_DATOS_IMAGENES[[#This Row],[Ancho]])&amp;IF(T_DATOS_IMAGENES[[#This Row],[Alto]]="","",URL_ALTO&amp;T_DATOS_IMAGENES[[#This Row],[Alto]])&amp;URL_F</f>
        <v>&lt;img src="https://i.ibb.co/qx0RVHJ/Viga-Horizontal-Fijo-Movil-Vol1.png" height="200"&gt;</v>
      </c>
    </row>
    <row r="9" spans="1:5">
      <c r="A9" s="20" t="s">
        <v>590</v>
      </c>
      <c r="B9" s="365"/>
      <c r="C9" s="365" t="s">
        <v>43</v>
      </c>
      <c r="D9" s="275" t="s">
        <v>597</v>
      </c>
      <c r="E9" t="str">
        <f>URL_I&amp;T_DATOS_IMAGENES[[#This Row],[Enlace]]&amp;IF(T_DATOS_IMAGENES[[#This Row],[Ancho]]="","",URL_W&amp;T_DATOS_IMAGENES[[#This Row],[Ancho]])&amp;IF(T_DATOS_IMAGENES[[#This Row],[Alto]]="","",URL_ALTO&amp;T_DATOS_IMAGENES[[#This Row],[Alto]])&amp;URL_F</f>
        <v>&lt;img src="https://i.ibb.co/7bqXMvQ/Viga-Horizontal-Libre-Empotrado.png" height="200"&gt;</v>
      </c>
    </row>
    <row r="10" spans="1:5" hidden="1">
      <c r="A10" s="364" t="s">
        <v>591</v>
      </c>
      <c r="B10" s="365"/>
      <c r="C10" s="365" t="s">
        <v>43</v>
      </c>
      <c r="D10" s="275" t="s">
        <v>598</v>
      </c>
      <c r="E10" t="str">
        <f>URL_I&amp;T_DATOS_IMAGENES[[#This Row],[Enlace]]&amp;IF(T_DATOS_IMAGENES[[#This Row],[Ancho]]="","",URL_W&amp;T_DATOS_IMAGENES[[#This Row],[Ancho]])&amp;IF(T_DATOS_IMAGENES[[#This Row],[Alto]]="","",URL_ALTO&amp;T_DATOS_IMAGENES[[#This Row],[Alto]])&amp;URL_F</f>
        <v>&lt;img src="https://i.ibb.co/MSLz4wr/Viga-Horizontal-Movil-Empotrado-Art-F.png" height="200"&gt;</v>
      </c>
    </row>
    <row r="11" spans="1:5" hidden="1">
      <c r="A11" s="364" t="s">
        <v>582</v>
      </c>
      <c r="B11" s="365"/>
      <c r="C11" s="365" t="s">
        <v>43</v>
      </c>
      <c r="D11" s="275" t="s">
        <v>599</v>
      </c>
      <c r="E11" t="str">
        <f>URL_I&amp;T_DATOS_IMAGENES[[#This Row],[Enlace]]&amp;IF(T_DATOS_IMAGENES[[#This Row],[Ancho]]="","",URL_W&amp;T_DATOS_IMAGENES[[#This Row],[Ancho]])&amp;IF(T_DATOS_IMAGENES[[#This Row],[Alto]]="","",URL_ALTO&amp;T_DATOS_IMAGENES[[#This Row],[Alto]])&amp;URL_F</f>
        <v>&lt;img src="https://i.ibb.co/pJ6mXsP/Viga-Horizontal-Movil-Empotrado-Art-G.png" height="200"&gt;</v>
      </c>
    </row>
    <row r="12" spans="1:5" hidden="1">
      <c r="A12" s="364" t="s">
        <v>583</v>
      </c>
      <c r="B12" s="365"/>
      <c r="C12" s="365" t="s">
        <v>43</v>
      </c>
      <c r="D12" s="275" t="s">
        <v>600</v>
      </c>
      <c r="E12" t="str">
        <f>URL_I&amp;T_DATOS_IMAGENES[[#This Row],[Enlace]]&amp;IF(T_DATOS_IMAGENES[[#This Row],[Ancho]]="","",URL_W&amp;T_DATOS_IMAGENES[[#This Row],[Ancho]])&amp;IF(T_DATOS_IMAGENES[[#This Row],[Alto]]="","",URL_ALTO&amp;T_DATOS_IMAGENES[[#This Row],[Alto]])&amp;URL_F</f>
        <v>&lt;img src="https://i.ibb.co/bKjj1VR/Viga-Horizontal-Movil-Empotrado-Art-H.png" height="200"&gt;</v>
      </c>
    </row>
    <row r="13" spans="1:5">
      <c r="A13" s="20" t="s">
        <v>584</v>
      </c>
      <c r="B13" s="365"/>
      <c r="C13" s="365" t="s">
        <v>43</v>
      </c>
      <c r="D13" s="275" t="s">
        <v>601</v>
      </c>
      <c r="E13" t="str">
        <f>URL_I&amp;T_DATOS_IMAGENES[[#This Row],[Enlace]]&amp;IF(T_DATOS_IMAGENES[[#This Row],[Ancho]]="","",URL_W&amp;T_DATOS_IMAGENES[[#This Row],[Ancho]])&amp;IF(T_DATOS_IMAGENES[[#This Row],[Alto]]="","",URL_ALTO&amp;T_DATOS_IMAGENES[[#This Row],[Alto]])&amp;URL_F</f>
        <v>&lt;img src="https://i.ibb.co/kQPyJKw/Viga-Horizontal-Movil-Fijo.png" height="200"&gt;</v>
      </c>
    </row>
    <row r="14" spans="1:5">
      <c r="A14" s="20" t="s">
        <v>617</v>
      </c>
      <c r="B14" s="365"/>
      <c r="C14" s="365" t="s">
        <v>43</v>
      </c>
      <c r="D14" s="275" t="s">
        <v>602</v>
      </c>
      <c r="E14" t="str">
        <f>URL_I&amp;T_DATOS_IMAGENES[[#This Row],[Enlace]]&amp;IF(T_DATOS_IMAGENES[[#This Row],[Ancho]]="","",URL_W&amp;T_DATOS_IMAGENES[[#This Row],[Ancho]])&amp;IF(T_DATOS_IMAGENES[[#This Row],[Alto]]="","",URL_ALTO&amp;T_DATOS_IMAGENES[[#This Row],[Alto]])&amp;URL_F</f>
        <v>&lt;img src="https://i.ibb.co/Wt9LZhR/Viga-Horizontal-Movil-Fijo-Vol1.png" height="200"&gt;</v>
      </c>
    </row>
    <row r="15" spans="1:5">
      <c r="A15" s="20" t="s">
        <v>618</v>
      </c>
      <c r="B15" s="365"/>
      <c r="C15" s="365" t="s">
        <v>43</v>
      </c>
      <c r="D15" s="275" t="s">
        <v>603</v>
      </c>
      <c r="E15" t="str">
        <f>URL_I&amp;T_DATOS_IMAGENES[[#This Row],[Enlace]]&amp;IF(T_DATOS_IMAGENES[[#This Row],[Ancho]]="","",URL_W&amp;T_DATOS_IMAGENES[[#This Row],[Ancho]])&amp;IF(T_DATOS_IMAGENES[[#This Row],[Alto]]="","",URL_ALTO&amp;T_DATOS_IMAGENES[[#This Row],[Alto]])&amp;URL_F</f>
        <v>&lt;img src="https://i.ibb.co/WfTV7vP/Viga-Horizontal-Vol1-Fijo-Movil-Vol1.png" height="200"&gt;</v>
      </c>
    </row>
    <row r="16" spans="1:5" hidden="1">
      <c r="A16" s="364" t="s">
        <v>619</v>
      </c>
      <c r="B16" s="365"/>
      <c r="C16" s="365" t="s">
        <v>43</v>
      </c>
      <c r="D16" s="275" t="s">
        <v>604</v>
      </c>
      <c r="E16" t="str">
        <f>URL_I&amp;T_DATOS_IMAGENES[[#This Row],[Enlace]]&amp;IF(T_DATOS_IMAGENES[[#This Row],[Ancho]]="","",URL_W&amp;T_DATOS_IMAGENES[[#This Row],[Ancho]])&amp;IF(T_DATOS_IMAGENES[[#This Row],[Alto]]="","",URL_ALTO&amp;T_DATOS_IMAGENES[[#This Row],[Alto]])&amp;URL_F</f>
        <v>&lt;img src="https://i.ibb.co/pvFVxBK/Viga-Horizontal-Vol1-Movil-Empotrado-Art-G.png" height="200"&gt;</v>
      </c>
    </row>
    <row r="17" spans="1:5" hidden="1">
      <c r="A17" s="364" t="s">
        <v>620</v>
      </c>
      <c r="B17" s="365"/>
      <c r="C17" s="365" t="s">
        <v>43</v>
      </c>
      <c r="D17" s="275" t="s">
        <v>605</v>
      </c>
      <c r="E17" t="str">
        <f>URL_I&amp;T_DATOS_IMAGENES[[#This Row],[Enlace]]&amp;IF(T_DATOS_IMAGENES[[#This Row],[Ancho]]="","",URL_W&amp;T_DATOS_IMAGENES[[#This Row],[Ancho]])&amp;IF(T_DATOS_IMAGENES[[#This Row],[Alto]]="","",URL_ALTO&amp;T_DATOS_IMAGENES[[#This Row],[Alto]])&amp;URL_F</f>
        <v>&lt;img src="https://i.ibb.co/MG0JDZ2/Viga-Horizontal-Vol1-Movil-Empotrado-Art-H.png" height="200"&gt;</v>
      </c>
    </row>
    <row r="18" spans="1:5">
      <c r="A18" s="20" t="s">
        <v>750</v>
      </c>
      <c r="B18" s="365"/>
      <c r="C18" s="365" t="s">
        <v>43</v>
      </c>
      <c r="D18" s="275" t="s">
        <v>749</v>
      </c>
      <c r="E18" t="str">
        <f>URL_I&amp;T_DATOS_IMAGENES[[#This Row],[Enlace]]&amp;IF(T_DATOS_IMAGENES[[#This Row],[Ancho]]="","",URL_W&amp;T_DATOS_IMAGENES[[#This Row],[Ancho]])&amp;IF(T_DATOS_IMAGENES[[#This Row],[Alto]]="","",URL_ALTO&amp;T_DATOS_IMAGENES[[#This Row],[Alto]])&amp;URL_F</f>
        <v>&lt;img src="https://i.ibb.co/BqWB5gx/Viga-Horizontal-Vol1-Movil-Fijo-Vol1.png" height="200"&gt;</v>
      </c>
    </row>
    <row r="19" spans="1:5" hidden="1">
      <c r="A19" s="364" t="s">
        <v>621</v>
      </c>
      <c r="B19" s="365"/>
      <c r="C19" s="365" t="s">
        <v>43</v>
      </c>
      <c r="D19" s="275" t="s">
        <v>606</v>
      </c>
      <c r="E19" t="str">
        <f>URL_I&amp;T_DATOS_IMAGENES[[#This Row],[Enlace]]&amp;IF(T_DATOS_IMAGENES[[#This Row],[Ancho]]="","",URL_W&amp;T_DATOS_IMAGENES[[#This Row],[Ancho]])&amp;IF(T_DATOS_IMAGENES[[#This Row],[Alto]]="","",URL_ALTO&amp;T_DATOS_IMAGENES[[#This Row],[Alto]])&amp;URL_F</f>
        <v>&lt;img src="https://i.ibb.co/5Y56vtY/Viga-Horizontal-Vol2-Movil-Empotrado-Art-H.png" height="200"&gt;</v>
      </c>
    </row>
    <row r="20" spans="1:5">
      <c r="A20" s="20" t="s">
        <v>751</v>
      </c>
      <c r="B20" s="365"/>
      <c r="C20" s="365" t="s">
        <v>43</v>
      </c>
      <c r="D20" s="275" t="s">
        <v>752</v>
      </c>
      <c r="E20" t="str">
        <f>URL_I&amp;T_DATOS_IMAGENES[[#This Row],[Enlace]]&amp;IF(T_DATOS_IMAGENES[[#This Row],[Ancho]]="","",URL_W&amp;T_DATOS_IMAGENES[[#This Row],[Ancho]])&amp;IF(T_DATOS_IMAGENES[[#This Row],[Alto]]="","",URL_ALTO&amp;T_DATOS_IMAGENES[[#This Row],[Alto]])&amp;URL_F</f>
        <v>&lt;img src="https://i.ibb.co/pRdXt36/Viga-Inclinada-Empotrado-Libre.png" height="200"&gt;</v>
      </c>
    </row>
    <row r="21" spans="1:5">
      <c r="A21" s="20" t="s">
        <v>592</v>
      </c>
      <c r="B21" s="365"/>
      <c r="C21" s="365" t="s">
        <v>43</v>
      </c>
      <c r="D21" s="275" t="s">
        <v>607</v>
      </c>
      <c r="E21" t="str">
        <f>URL_I&amp;T_DATOS_IMAGENES[[#This Row],[Enlace]]&amp;IF(T_DATOS_IMAGENES[[#This Row],[Ancho]]="","",URL_W&amp;T_DATOS_IMAGENES[[#This Row],[Ancho]])&amp;IF(T_DATOS_IMAGENES[[#This Row],[Alto]]="","",URL_ALTO&amp;T_DATOS_IMAGENES[[#This Row],[Alto]])&amp;URL_F</f>
        <v>&lt;img src="https://i.ibb.co/FgVLJWv/Viga-Inclinada-Fijo-Movil.png" height="200"&gt;</v>
      </c>
    </row>
    <row r="22" spans="1:5">
      <c r="A22" s="20" t="s">
        <v>753</v>
      </c>
      <c r="B22" s="365"/>
      <c r="C22" s="365" t="s">
        <v>43</v>
      </c>
      <c r="D22" s="275" t="s">
        <v>754</v>
      </c>
      <c r="E22" t="str">
        <f>URL_I&amp;T_DATOS_IMAGENES[[#This Row],[Enlace]]&amp;IF(T_DATOS_IMAGENES[[#This Row],[Ancho]]="","",URL_W&amp;T_DATOS_IMAGENES[[#This Row],[Ancho]])&amp;IF(T_DATOS_IMAGENES[[#This Row],[Alto]]="","",URL_ALTO&amp;T_DATOS_IMAGENES[[#This Row],[Alto]])&amp;URL_F</f>
        <v>&lt;img src="https://i.ibb.co/3vJpMbZ/Viga-Inclinada-Libre-Empotrado.png" height="200"&gt;</v>
      </c>
    </row>
    <row r="23" spans="1:5">
      <c r="A23" s="20" t="s">
        <v>622</v>
      </c>
      <c r="B23" s="365"/>
      <c r="C23" s="365" t="s">
        <v>43</v>
      </c>
      <c r="D23" s="275" t="s">
        <v>608</v>
      </c>
      <c r="E23" t="str">
        <f>URL_I&amp;T_DATOS_IMAGENES[[#This Row],[Enlace]]&amp;IF(T_DATOS_IMAGENES[[#This Row],[Ancho]]="","",URL_W&amp;T_DATOS_IMAGENES[[#This Row],[Ancho]])&amp;IF(T_DATOS_IMAGENES[[#This Row],[Alto]]="","",URL_ALTO&amp;T_DATOS_IMAGENES[[#This Row],[Alto]])&amp;URL_F</f>
        <v>&lt;img src="https://i.ibb.co/YNPKThs/Viga-Inclinada-Movil-Fijo.png" height="200"&gt;</v>
      </c>
    </row>
    <row r="24" spans="1:5">
      <c r="A24" s="20" t="s">
        <v>585</v>
      </c>
      <c r="B24" s="365"/>
      <c r="C24" s="365" t="s">
        <v>43</v>
      </c>
      <c r="D24" s="275" t="s">
        <v>609</v>
      </c>
      <c r="E24" t="str">
        <f>URL_I&amp;T_DATOS_IMAGENES[[#This Row],[Enlace]]&amp;IF(T_DATOS_IMAGENES[[#This Row],[Ancho]]="","",URL_W&amp;T_DATOS_IMAGENES[[#This Row],[Ancho]])&amp;IF(T_DATOS_IMAGENES[[#This Row],[Alto]]="","",URL_ALTO&amp;T_DATOS_IMAGENES[[#This Row],[Alto]])&amp;URL_F</f>
        <v>&lt;img src="https://i.ibb.co/LJPXSS9/Viga-Horizontal-Empotrado-Libre.png" height="200"&gt;</v>
      </c>
    </row>
    <row r="25" spans="1:5" hidden="1">
      <c r="A25" s="364" t="s">
        <v>586</v>
      </c>
      <c r="B25" s="365"/>
      <c r="C25" s="365" t="s">
        <v>43</v>
      </c>
      <c r="D25" s="275" t="s">
        <v>610</v>
      </c>
      <c r="E25" t="str">
        <f>URL_I&amp;T_DATOS_IMAGENES[[#This Row],[Enlace]]&amp;IF(T_DATOS_IMAGENES[[#This Row],[Ancho]]="","",URL_W&amp;T_DATOS_IMAGENES[[#This Row],[Ancho]])&amp;IF(T_DATOS_IMAGENES[[#This Row],[Alto]]="","",URL_ALTO&amp;T_DATOS_IMAGENES[[#This Row],[Alto]])&amp;URL_F</f>
        <v>&lt;img src="https://i.ibb.co/h2HnHM6/Viga-Horizontal-Empotrado-Movil-Art-F.png" height="200"&gt;</v>
      </c>
    </row>
    <row r="26" spans="1:5" hidden="1">
      <c r="A26" s="364" t="s">
        <v>587</v>
      </c>
      <c r="B26" s="365"/>
      <c r="C26" s="365" t="s">
        <v>43</v>
      </c>
      <c r="D26" s="275" t="s">
        <v>611</v>
      </c>
      <c r="E26" t="str">
        <f>URL_I&amp;T_DATOS_IMAGENES[[#This Row],[Enlace]]&amp;IF(T_DATOS_IMAGENES[[#This Row],[Ancho]]="","",URL_W&amp;T_DATOS_IMAGENES[[#This Row],[Ancho]])&amp;IF(T_DATOS_IMAGENES[[#This Row],[Alto]]="","",URL_ALTO&amp;T_DATOS_IMAGENES[[#This Row],[Alto]])&amp;URL_F</f>
        <v>&lt;img src="https://i.ibb.co/yQWzKbH/Viga-Horizontal-Empotrado-Movil-Art-G.png" height="200"&gt;</v>
      </c>
    </row>
    <row r="27" spans="1:5" hidden="1">
      <c r="A27" s="364" t="s">
        <v>588</v>
      </c>
      <c r="B27" s="365"/>
      <c r="C27" s="365" t="s">
        <v>43</v>
      </c>
      <c r="D27" s="275" t="s">
        <v>612</v>
      </c>
      <c r="E27" t="str">
        <f>URL_I&amp;T_DATOS_IMAGENES[[#This Row],[Enlace]]&amp;IF(T_DATOS_IMAGENES[[#This Row],[Ancho]]="","",URL_W&amp;T_DATOS_IMAGENES[[#This Row],[Ancho]])&amp;IF(T_DATOS_IMAGENES[[#This Row],[Alto]]="","",URL_ALTO&amp;T_DATOS_IMAGENES[[#This Row],[Alto]])&amp;URL_F</f>
        <v>&lt;img src="https://i.ibb.co/Ns58hj1/Viga-Horizontal-Empotrado-Movil-Art-H.png" height="200"&gt;</v>
      </c>
    </row>
    <row r="28" spans="1:5" hidden="1">
      <c r="A28" s="364" t="s">
        <v>623</v>
      </c>
      <c r="B28" s="365"/>
      <c r="C28" s="365" t="s">
        <v>43</v>
      </c>
      <c r="D28" s="275" t="s">
        <v>613</v>
      </c>
      <c r="E28" t="str">
        <f>URL_I&amp;T_DATOS_IMAGENES[[#This Row],[Enlace]]&amp;IF(T_DATOS_IMAGENES[[#This Row],[Ancho]]="","",URL_W&amp;T_DATOS_IMAGENES[[#This Row],[Ancho]])&amp;IF(T_DATOS_IMAGENES[[#This Row],[Alto]]="","",URL_ALTO&amp;T_DATOS_IMAGENES[[#This Row],[Alto]])&amp;URL_F</f>
        <v>&lt;img src="https://i.ibb.co/GV3y9rM/Viga-Horizontal-Empotrado-Movil-Vol1-Art-F.png" height="200"&gt;</v>
      </c>
    </row>
    <row r="29" spans="1:5">
      <c r="A29" s="20" t="s">
        <v>641</v>
      </c>
      <c r="B29" s="365"/>
      <c r="C29" s="365" t="s">
        <v>43</v>
      </c>
      <c r="D29" s="277" t="s">
        <v>629</v>
      </c>
      <c r="E29" t="str">
        <f>URL_I&amp;T_DATOS_IMAGENES[[#This Row],[Enlace]]&amp;IF(T_DATOS_IMAGENES[[#This Row],[Ancho]]="","",URL_W&amp;T_DATOS_IMAGENES[[#This Row],[Ancho]])&amp;IF(T_DATOS_IMAGENES[[#This Row],[Alto]]="","",URL_ALTO&amp;T_DATOS_IMAGENES[[#This Row],[Alto]])&amp;URL_F</f>
        <v>&lt;img src="https://i.ibb.co/Y0VNP92/Portico-TODO-Recto.png" height="200"&gt;</v>
      </c>
    </row>
    <row r="30" spans="1:5">
      <c r="A30" s="20" t="s">
        <v>640</v>
      </c>
      <c r="B30" s="365"/>
      <c r="C30" s="365" t="s">
        <v>43</v>
      </c>
      <c r="D30" s="277" t="s">
        <v>628</v>
      </c>
      <c r="E30" t="str">
        <f>URL_I&amp;T_DATOS_IMAGENES[[#This Row],[Enlace]]&amp;IF(T_DATOS_IMAGENES[[#This Row],[Ancho]]="","",URL_W&amp;T_DATOS_IMAGENES[[#This Row],[Ancho]])&amp;IF(T_DATOS_IMAGENES[[#This Row],[Alto]]="","",URL_ALTO&amp;T_DATOS_IMAGENES[[#This Row],[Alto]])&amp;URL_F</f>
        <v>&lt;img src="https://i.ibb.co/kysZMp4/Portico-TODO-Inclinado.png" height="200"&gt;</v>
      </c>
    </row>
    <row r="31" spans="1:5">
      <c r="A31" s="20" t="s">
        <v>644</v>
      </c>
      <c r="B31" s="365"/>
      <c r="C31" s="365" t="s">
        <v>43</v>
      </c>
      <c r="D31" s="277" t="s">
        <v>632</v>
      </c>
      <c r="E31" t="str">
        <f>URL_I&amp;T_DATOS_IMAGENES[[#This Row],[Enlace]]&amp;IF(T_DATOS_IMAGENES[[#This Row],[Ancho]]="","",URL_W&amp;T_DATOS_IMAGENES[[#This Row],[Ancho]])&amp;IF(T_DATOS_IMAGENES[[#This Row],[Alto]]="","",URL_ALTO&amp;T_DATOS_IMAGENES[[#This Row],[Alto]])&amp;URL_F</f>
        <v>&lt;img src="https://i.ibb.co/ws7FHVr/Portico-BCD-DEFG-GJK.png" height="200"&gt;</v>
      </c>
    </row>
    <row r="32" spans="1:5">
      <c r="A32" s="20" t="s">
        <v>642</v>
      </c>
      <c r="B32" s="365"/>
      <c r="C32" s="365" t="s">
        <v>43</v>
      </c>
      <c r="D32" s="277" t="s">
        <v>630</v>
      </c>
      <c r="E32" t="str">
        <f>URL_I&amp;T_DATOS_IMAGENES[[#This Row],[Enlace]]&amp;IF(T_DATOS_IMAGENES[[#This Row],[Ancho]]="","",URL_W&amp;T_DATOS_IMAGENES[[#This Row],[Ancho]])&amp;IF(T_DATOS_IMAGENES[[#This Row],[Alto]]="","",URL_ALTO&amp;T_DATOS_IMAGENES[[#This Row],[Alto]])&amp;URL_F</f>
        <v>&lt;img src="https://i.ibb.co/ZXkCy9Z/Portico-ABC-CDE-EFGHI-GJK.png" height="200"&gt;</v>
      </c>
    </row>
    <row r="33" spans="1:5">
      <c r="A33" s="20" t="s">
        <v>643</v>
      </c>
      <c r="B33" s="365"/>
      <c r="C33" s="365" t="s">
        <v>43</v>
      </c>
      <c r="D33" s="277" t="s">
        <v>631</v>
      </c>
      <c r="E33" t="str">
        <f>URL_I&amp;T_DATOS_IMAGENES[[#This Row],[Enlace]]&amp;IF(T_DATOS_IMAGENES[[#This Row],[Ancho]]="","",URL_W&amp;T_DATOS_IMAGENES[[#This Row],[Ancho]])&amp;IF(T_DATOS_IMAGENES[[#This Row],[Alto]]="","",URL_ALTO&amp;T_DATOS_IMAGENES[[#This Row],[Alto]])&amp;URL_F</f>
        <v>&lt;img src="https://i.ibb.co/4mTjhJd/Portico-ABCD-DEFGHI.png" height="200"&gt;</v>
      </c>
    </row>
    <row r="34" spans="1:5">
      <c r="A34" s="20" t="s">
        <v>645</v>
      </c>
      <c r="B34" s="365"/>
      <c r="C34" s="365" t="s">
        <v>43</v>
      </c>
      <c r="D34" s="277" t="s">
        <v>633</v>
      </c>
      <c r="E34" t="str">
        <f>URL_I&amp;T_DATOS_IMAGENES[[#This Row],[Enlace]]&amp;IF(T_DATOS_IMAGENES[[#This Row],[Ancho]]="","",URL_W&amp;T_DATOS_IMAGENES[[#This Row],[Ancho]])&amp;IF(T_DATOS_IMAGENES[[#This Row],[Alto]]="","",URL_ALTO&amp;T_DATOS_IMAGENES[[#This Row],[Alto]])&amp;URL_F</f>
        <v>&lt;img src="https://i.ibb.co/kJYy67w/Portico-BCD-DEFG-GJK-KLMN.png" height="200"&gt;</v>
      </c>
    </row>
    <row r="35" spans="1:5">
      <c r="A35" s="364" t="s">
        <v>646</v>
      </c>
      <c r="B35" s="365"/>
      <c r="C35" s="365" t="s">
        <v>43</v>
      </c>
      <c r="D35" s="277" t="s">
        <v>634</v>
      </c>
      <c r="E35" t="str">
        <f>URL_I&amp;T_DATOS_IMAGENES[[#This Row],[Enlace]]&amp;IF(T_DATOS_IMAGENES[[#This Row],[Ancho]]="","",URL_W&amp;T_DATOS_IMAGENES[[#This Row],[Ancho]])&amp;IF(T_DATOS_IMAGENES[[#This Row],[Alto]]="","",URL_ALTO&amp;T_DATOS_IMAGENES[[#This Row],[Alto]])&amp;URL_F</f>
        <v>&lt;img src="https://i.ibb.co/kXkwkDB/Portico-BCD-DEFG-GJK-KLMN-P06-Fijo-Movil.png" height="200"&gt;</v>
      </c>
    </row>
    <row r="36" spans="1:5">
      <c r="A36" s="20" t="s">
        <v>647</v>
      </c>
      <c r="B36" s="365"/>
      <c r="C36" s="365" t="s">
        <v>43</v>
      </c>
      <c r="D36" s="277" t="s">
        <v>635</v>
      </c>
      <c r="E36" t="str">
        <f>URL_I&amp;T_DATOS_IMAGENES[[#This Row],[Enlace]]&amp;IF(T_DATOS_IMAGENES[[#This Row],[Ancho]]="","",URL_W&amp;T_DATOS_IMAGENES[[#This Row],[Ancho]])&amp;IF(T_DATOS_IMAGENES[[#This Row],[Alto]]="","",URL_ALTO&amp;T_DATOS_IMAGENES[[#This Row],[Alto]])&amp;URL_F</f>
        <v>&lt;img src="https://i.ibb.co/10tcgwy/Portico-CD-DE.png" height="200"&gt;</v>
      </c>
    </row>
    <row r="37" spans="1:5">
      <c r="A37" s="20" t="s">
        <v>636</v>
      </c>
      <c r="B37" s="365"/>
      <c r="C37" s="365" t="s">
        <v>43</v>
      </c>
      <c r="D37" s="277" t="s">
        <v>624</v>
      </c>
      <c r="E37" t="str">
        <f>URL_I&amp;T_DATOS_IMAGENES[[#This Row],[Enlace]]&amp;IF(T_DATOS_IMAGENES[[#This Row],[Ancho]]="","",URL_W&amp;T_DATOS_IMAGENES[[#This Row],[Ancho]])&amp;IF(T_DATOS_IMAGENES[[#This Row],[Alto]]="","",URL_ALTO&amp;T_DATOS_IMAGENES[[#This Row],[Alto]])&amp;URL_F</f>
        <v>&lt;img src="https://i.ibb.co/4tGZpwv/Portico-CDE-EFG-GJK.png" height="200"&gt;</v>
      </c>
    </row>
    <row r="38" spans="1:5">
      <c r="A38" s="20" t="s">
        <v>637</v>
      </c>
      <c r="B38" s="365"/>
      <c r="C38" s="365" t="s">
        <v>43</v>
      </c>
      <c r="D38" s="277" t="s">
        <v>625</v>
      </c>
      <c r="E38" t="str">
        <f>URL_I&amp;T_DATOS_IMAGENES[[#This Row],[Enlace]]&amp;IF(T_DATOS_IMAGENES[[#This Row],[Ancho]]="","",URL_W&amp;T_DATOS_IMAGENES[[#This Row],[Ancho]])&amp;IF(T_DATOS_IMAGENES[[#This Row],[Alto]]="","",URL_ALTO&amp;T_DATOS_IMAGENES[[#This Row],[Alto]])&amp;URL_F</f>
        <v>&lt;img src="https://i.ibb.co/n62NRgx/Portico-CDE-EFGH-GJK.png" height="200"&gt;</v>
      </c>
    </row>
    <row r="39" spans="1:5">
      <c r="A39" s="20" t="s">
        <v>677</v>
      </c>
      <c r="B39" s="365"/>
      <c r="C39" s="365" t="s">
        <v>43</v>
      </c>
      <c r="D39" s="275" t="s">
        <v>679</v>
      </c>
      <c r="E39" t="str">
        <f>URL_I&amp;T_DATOS_IMAGENES[[#This Row],[Enlace]]&amp;IF(T_DATOS_IMAGENES[[#This Row],[Ancho]]="","",URL_W&amp;T_DATOS_IMAGENES[[#This Row],[Ancho]])&amp;IF(T_DATOS_IMAGENES[[#This Row],[Alto]]="","",URL_ALTO&amp;T_DATOS_IMAGENES[[#This Row],[Alto]])&amp;URL_F</f>
        <v>&lt;img src="https://i.ibb.co/g9LH0sN/Portico-CDE-EFG-GJK-KLM.png" height="200"&gt;</v>
      </c>
    </row>
    <row r="40" spans="1:5">
      <c r="A40" s="20" t="s">
        <v>639</v>
      </c>
      <c r="B40" s="365"/>
      <c r="C40" s="365" t="s">
        <v>43</v>
      </c>
      <c r="D40" s="277" t="s">
        <v>627</v>
      </c>
      <c r="E40" t="str">
        <f>URL_I&amp;T_DATOS_IMAGENES[[#This Row],[Enlace]]&amp;IF(T_DATOS_IMAGENES[[#This Row],[Ancho]]="","",URL_W&amp;T_DATOS_IMAGENES[[#This Row],[Ancho]])&amp;IF(T_DATOS_IMAGENES[[#This Row],[Alto]]="","",URL_ALTO&amp;T_DATOS_IMAGENES[[#This Row],[Alto]])&amp;URL_F</f>
        <v>&lt;img src="https://i.ibb.co/ggVcbwR/Portico-EFG-GJK-KLM-MO.png" height="200"&gt;</v>
      </c>
    </row>
    <row r="41" spans="1:5" hidden="1">
      <c r="A41" s="364" t="s">
        <v>638</v>
      </c>
      <c r="B41" s="365"/>
      <c r="C41" s="365" t="s">
        <v>43</v>
      </c>
      <c r="D41" s="277" t="s">
        <v>626</v>
      </c>
      <c r="E41" t="str">
        <f>URL_I&amp;T_DATOS_IMAGENES[[#This Row],[Enlace]]&amp;IF(T_DATOS_IMAGENES[[#This Row],[Ancho]]="","",URL_W&amp;T_DATOS_IMAGENES[[#This Row],[Ancho]])&amp;IF(T_DATOS_IMAGENES[[#This Row],[Alto]]="","",URL_ALTO&amp;T_DATOS_IMAGENES[[#This Row],[Alto]])&amp;URL_F</f>
        <v>&lt;img src="https://i.ibb.co/f1BbX1x/Portico-EFG-GJK-KLM-MO-P05-Movil-Empotrado-Art-FOL.png" height="200"&gt;</v>
      </c>
    </row>
    <row r="42" spans="1:5">
      <c r="A42" s="20" t="s">
        <v>678</v>
      </c>
      <c r="B42" s="365"/>
      <c r="C42" s="365" t="s">
        <v>43</v>
      </c>
      <c r="D42" s="275" t="s">
        <v>680</v>
      </c>
      <c r="E42" t="str">
        <f>URL_I&amp;T_DATOS_IMAGENES[[#This Row],[Enlace]]&amp;IF(T_DATOS_IMAGENES[[#This Row],[Ancho]]="","",URL_W&amp;T_DATOS_IMAGENES[[#This Row],[Ancho]])&amp;IF(T_DATOS_IMAGENES[[#This Row],[Alto]]="","",URL_ALTO&amp;T_DATOS_IMAGENES[[#This Row],[Alto]])&amp;URL_F</f>
        <v>&lt;img src="https://i.ibb.co/yRzfzF0/Portico-EFGHI-GJK-KLMN-MO.png" height="200"&gt;</v>
      </c>
    </row>
    <row r="43" spans="1:5"/>
    <row r="44" spans="1:5"/>
    <row r="45" spans="1:5"/>
    <row r="46" spans="1:5"/>
    <row r="47" spans="1:5"/>
    <row r="48" spans="1:5"/>
    <row r="49"/>
  </sheetData>
  <sheetProtection algorithmName="SHA-512" hashValue="pAAs5v6onMS0Aa378dKT7bCnzaHfP10ohrBn+VRqdQX3VtbsnpWH12xe5fv3OlWWTWr8nNBeg8GpL5n+Y0Qrfg==" saltValue="Yes9VaE8pcpWmyDG5WDH9g==" spinCount="100000" sheet="1" objects="1" scenarios="1" selectLockedCells="1"/>
  <conditionalFormatting sqref="A2:A42">
    <cfRule type="duplicateValues" dxfId="9" priority="2488"/>
  </conditionalFormatting>
  <conditionalFormatting sqref="B43:B1048576 D1:D42">
    <cfRule type="duplicateValues" dxfId="8" priority="3"/>
  </conditionalFormatting>
  <conditionalFormatting sqref="B2:C42">
    <cfRule type="cellIs" dxfId="7" priority="1" operator="equal">
      <formula>"0"</formula>
    </cfRule>
  </conditionalFormatting>
  <pageMargins left="0.7" right="0.7" top="0.75" bottom="0.75" header="0.3" footer="0.3"/>
  <pageSetup paperSize="9" orientation="portrait" horizontalDpi="4294967295" verticalDpi="4294967295"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7</vt:i4>
      </vt:variant>
    </vt:vector>
  </HeadingPairs>
  <TitlesOfParts>
    <vt:vector size="12" baseType="lpstr">
      <vt:lpstr>INSTRUCCIONES</vt:lpstr>
      <vt:lpstr>PROBLEMA</vt:lpstr>
      <vt:lpstr>DATOS FIJOS</vt:lpstr>
      <vt:lpstr>DATOS VARIABLES</vt:lpstr>
      <vt:lpstr>RESULTADOS - FTP</vt:lpstr>
      <vt:lpstr>'ENLACES DIAGRAMAS'!_FilterDatabase</vt:lpstr>
      <vt:lpstr>PROBLEMA!Área_de_impresión</vt:lpstr>
      <vt:lpstr>Dato_FTP</vt:lpstr>
      <vt:lpstr>Descripcion_FTP</vt:lpstr>
      <vt:lpstr>Enunciado_FTP</vt:lpstr>
      <vt:lpstr>Imagen_FTP</vt:lpstr>
      <vt:lpstr>PROBLEMA!Títulos_a_imprimir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Milagros [Alazne] Huerta Gómez de Merodio</dc:creator>
  <cp:lastModifiedBy>Alazne Huerta Gómez de Merodio</cp:lastModifiedBy>
  <cp:lastPrinted>2024-09-14T20:15:30Z</cp:lastPrinted>
  <dcterms:created xsi:type="dcterms:W3CDTF">2023-06-22T15:17:01Z</dcterms:created>
  <dcterms:modified xsi:type="dcterms:W3CDTF">2024-09-16T10:12:57Z</dcterms:modified>
</cp:coreProperties>
</file>