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dministrator\Desktop\data analyst\"/>
    </mc:Choice>
  </mc:AlternateContent>
  <xr:revisionPtr revIDLastSave="0" documentId="13_ncr:1_{DBF25710-B310-42A0-A259-DE47860AAE44}" xr6:coauthVersionLast="47" xr6:coauthVersionMax="47" xr10:uidLastSave="{00000000-0000-0000-0000-000000000000}"/>
  <bookViews>
    <workbookView xWindow="-120" yWindow="-120" windowWidth="20730" windowHeight="11040" xr2:uid="{26D4546B-D2A1-4444-8EAF-A6228F96F0C1}"/>
  </bookViews>
  <sheets>
    <sheet name="Data" sheetId="1" r:id="rId1"/>
    <sheet name="All staff" sheetId="3" r:id="rId2"/>
    <sheet name="Salary Spread" sheetId="6" r:id="rId3"/>
    <sheet name="Salary VS. Rating" sheetId="7" r:id="rId4"/>
    <sheet name="Staff Growth" sheetId="9" r:id="rId5"/>
    <sheet name="Rating by Number" sheetId="8" r:id="rId6"/>
    <sheet name="NZ vS. IND" sheetId="10" r:id="rId7"/>
    <sheet name="Sheet5" sheetId="12" r:id="rId8"/>
    <sheet name="Male vs female" sheetId="4" r:id="rId9"/>
    <sheet name="India Staff" sheetId="2" r:id="rId10"/>
  </sheets>
  <definedNames>
    <definedName name="_xlnm._FilterDatabase" localSheetId="0" hidden="1">Data!$C$5:$I$105</definedName>
    <definedName name="_xlnm._FilterDatabase" localSheetId="9" hidden="1">'India Staff'!$B$2:$H$114</definedName>
    <definedName name="_xlchart.v1.0" hidden="1">'All staff'!$G$2:$G$184</definedName>
    <definedName name="_xlchart.v1.1" hidden="1">'All staff'!$G$2:$G$184</definedName>
    <definedName name="_xlcn.WorksheetConnection_blankdatafile.xlsxstaff1" hidden="1">staff[]</definedName>
    <definedName name="ExternalData_1" localSheetId="1" hidden="1">'All staff'!$A$1:$H$184</definedName>
    <definedName name="Slicer_Country">#N/A</definedName>
  </definedNames>
  <calcPr calcId="191029"/>
  <pivotCaches>
    <pivotCache cacheId="0" r:id="rId11"/>
    <pivotCache cacheId="12" r:id="rId12"/>
    <pivotCache cacheId="126" r:id="rId13"/>
    <pivotCache cacheId="150" r:id="rId14"/>
    <pivotCache cacheId="153" r:id="rId15"/>
  </pivotCaches>
  <fileRecoveryPr repairLoad="1"/>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0" l="1"/>
  <c r="G5" i="10"/>
  <c r="C5" i="10"/>
  <c r="E5" i="10" s="1"/>
  <c r="I5" i="10"/>
  <c r="K5" i="10" s="1"/>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2" i="9"/>
  <c r="O6" i="9" s="1"/>
  <c r="K3" i="3" a="1"/>
  <c r="K3" i="3" s="1"/>
  <c r="K4" i="3" a="1"/>
  <c r="K4" i="3" s="1"/>
  <c r="K5" i="3" a="1"/>
  <c r="K5" i="3" s="1"/>
  <c r="K6" i="3" a="1"/>
  <c r="K6" i="3" s="1"/>
  <c r="K7" i="3" a="1"/>
  <c r="K7" i="3" s="1"/>
  <c r="K8" i="3" a="1"/>
  <c r="K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c r="K31" i="3" a="1"/>
  <c r="K31" i="3" s="1"/>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s="1"/>
  <c r="K44" i="3" a="1"/>
  <c r="K44" i="3" s="1"/>
  <c r="K45" i="3" a="1"/>
  <c r="K45" i="3" s="1"/>
  <c r="K46" i="3" a="1"/>
  <c r="K46" i="3" s="1"/>
  <c r="K47" i="3" a="1"/>
  <c r="K47" i="3" s="1"/>
  <c r="K48" i="3" a="1"/>
  <c r="K48" i="3" s="1"/>
  <c r="K49" i="3" a="1"/>
  <c r="K49" i="3" s="1"/>
  <c r="K50" i="3" a="1"/>
  <c r="K50" i="3" s="1"/>
  <c r="K51" i="3" a="1"/>
  <c r="K51" i="3" s="1"/>
  <c r="K52" i="3" a="1"/>
  <c r="K52" i="3" s="1"/>
  <c r="K53" i="3" a="1"/>
  <c r="K53" i="3" s="1"/>
  <c r="K54" i="3" a="1"/>
  <c r="K54" i="3" s="1"/>
  <c r="K55" i="3" a="1"/>
  <c r="K55" i="3" s="1"/>
  <c r="K56" i="3" a="1"/>
  <c r="K56" i="3" s="1"/>
  <c r="K57" i="3" a="1"/>
  <c r="K57" i="3" s="1"/>
  <c r="K58" i="3" a="1"/>
  <c r="K58" i="3" s="1"/>
  <c r="K59" i="3" a="1"/>
  <c r="K59" i="3" s="1"/>
  <c r="K60" i="3" a="1"/>
  <c r="K60" i="3" s="1"/>
  <c r="K61" i="3" a="1"/>
  <c r="K61" i="3" s="1"/>
  <c r="K62" i="3" a="1"/>
  <c r="K62" i="3" s="1"/>
  <c r="K63" i="3" a="1"/>
  <c r="K63" i="3" s="1"/>
  <c r="K64" i="3" a="1"/>
  <c r="K64" i="3" s="1"/>
  <c r="K65" i="3" a="1"/>
  <c r="K65" i="3" s="1"/>
  <c r="K66" i="3" a="1"/>
  <c r="K66" i="3" s="1"/>
  <c r="K67" i="3" a="1"/>
  <c r="K67" i="3" s="1"/>
  <c r="K68" i="3" a="1"/>
  <c r="K68" i="3" s="1"/>
  <c r="K69" i="3" a="1"/>
  <c r="K69" i="3" s="1"/>
  <c r="K70" i="3" a="1"/>
  <c r="K70" i="3"/>
  <c r="K71" i="3" a="1"/>
  <c r="K71" i="3" s="1"/>
  <c r="K72" i="3" a="1"/>
  <c r="K72" i="3" s="1"/>
  <c r="K73" i="3" a="1"/>
  <c r="K73" i="3" s="1"/>
  <c r="K74" i="3" a="1"/>
  <c r="K74" i="3" s="1"/>
  <c r="K75" i="3" a="1"/>
  <c r="K75" i="3" s="1"/>
  <c r="K76" i="3" a="1"/>
  <c r="K76" i="3" s="1"/>
  <c r="K77" i="3" a="1"/>
  <c r="K77" i="3" s="1"/>
  <c r="K78" i="3" a="1"/>
  <c r="K78" i="3" s="1"/>
  <c r="K79" i="3" a="1"/>
  <c r="K79" i="3" s="1"/>
  <c r="K80" i="3" a="1"/>
  <c r="K80" i="3" s="1"/>
  <c r="K81" i="3" a="1"/>
  <c r="K81" i="3" s="1"/>
  <c r="K82" i="3" a="1"/>
  <c r="K82" i="3" s="1"/>
  <c r="K83" i="3" a="1"/>
  <c r="K83" i="3" s="1"/>
  <c r="K84" i="3" a="1"/>
  <c r="K84" i="3" s="1"/>
  <c r="K85" i="3" a="1"/>
  <c r="K85" i="3" s="1"/>
  <c r="K86" i="3" a="1"/>
  <c r="K86" i="3" s="1"/>
  <c r="K87" i="3" a="1"/>
  <c r="K87" i="3" s="1"/>
  <c r="K88" i="3" a="1"/>
  <c r="K88" i="3" s="1"/>
  <c r="K89" i="3" a="1"/>
  <c r="K89" i="3" s="1"/>
  <c r="K90" i="3" a="1"/>
  <c r="K90" i="3" s="1"/>
  <c r="K91" i="3" a="1"/>
  <c r="K91" i="3" s="1"/>
  <c r="K92" i="3" a="1"/>
  <c r="K92" i="3"/>
  <c r="K93" i="3" a="1"/>
  <c r="K93" i="3" s="1"/>
  <c r="K94" i="3" a="1"/>
  <c r="K94" i="3" s="1"/>
  <c r="K95" i="3" a="1"/>
  <c r="K95" i="3" s="1"/>
  <c r="K96" i="3" a="1"/>
  <c r="K96" i="3" s="1"/>
  <c r="K97" i="3" a="1"/>
  <c r="K97" i="3" s="1"/>
  <c r="K98" i="3" a="1"/>
  <c r="K98" i="3"/>
  <c r="K99" i="3" a="1"/>
  <c r="K99" i="3" s="1"/>
  <c r="K100" i="3" a="1"/>
  <c r="K100" i="3" s="1"/>
  <c r="K101" i="3" a="1"/>
  <c r="K101" i="3" s="1"/>
  <c r="K102" i="3" a="1"/>
  <c r="K102" i="3" s="1"/>
  <c r="K103" i="3" a="1"/>
  <c r="K103" i="3" s="1"/>
  <c r="K104" i="3" a="1"/>
  <c r="K104" i="3" s="1"/>
  <c r="K105" i="3" a="1"/>
  <c r="K105" i="3" s="1"/>
  <c r="K106" i="3" a="1"/>
  <c r="K106" i="3" s="1"/>
  <c r="K107" i="3" a="1"/>
  <c r="K107" i="3" s="1"/>
  <c r="K108" i="3" a="1"/>
  <c r="K108" i="3" s="1"/>
  <c r="K109" i="3" a="1"/>
  <c r="K109" i="3" s="1"/>
  <c r="K110" i="3" a="1"/>
  <c r="K110" i="3" s="1"/>
  <c r="K111" i="3" a="1"/>
  <c r="K111" i="3" s="1"/>
  <c r="K112" i="3" a="1"/>
  <c r="K112" i="3" s="1"/>
  <c r="K113" i="3" a="1"/>
  <c r="K113" i="3" s="1"/>
  <c r="K114" i="3" a="1"/>
  <c r="K114" i="3" s="1"/>
  <c r="K115" i="3" a="1"/>
  <c r="K115" i="3" s="1"/>
  <c r="K116" i="3" a="1"/>
  <c r="K116" i="3" s="1"/>
  <c r="K117" i="3" a="1"/>
  <c r="K117" i="3" s="1"/>
  <c r="K118" i="3" a="1"/>
  <c r="K118" i="3" s="1"/>
  <c r="K119" i="3" a="1"/>
  <c r="K119" i="3" s="1"/>
  <c r="K120" i="3" a="1"/>
  <c r="K120" i="3" s="1"/>
  <c r="K121" i="3" a="1"/>
  <c r="K121" i="3" s="1"/>
  <c r="K122" i="3" a="1"/>
  <c r="K122" i="3" s="1"/>
  <c r="K123" i="3" a="1"/>
  <c r="K123" i="3" s="1"/>
  <c r="K124" i="3" a="1"/>
  <c r="K124" i="3" s="1"/>
  <c r="K125" i="3" a="1"/>
  <c r="K125" i="3" s="1"/>
  <c r="K126" i="3" a="1"/>
  <c r="K126" i="3" s="1"/>
  <c r="K127" i="3" a="1"/>
  <c r="K127" i="3" s="1"/>
  <c r="K128" i="3" a="1"/>
  <c r="K128" i="3" s="1"/>
  <c r="K129" i="3" a="1"/>
  <c r="K129" i="3" s="1"/>
  <c r="K130" i="3" a="1"/>
  <c r="K130" i="3" s="1"/>
  <c r="K131" i="3" a="1"/>
  <c r="K131" i="3" s="1"/>
  <c r="K132" i="3" a="1"/>
  <c r="K132" i="3" s="1"/>
  <c r="K133" i="3" a="1"/>
  <c r="K133" i="3" s="1"/>
  <c r="K134" i="3" a="1"/>
  <c r="K134" i="3" s="1"/>
  <c r="K135" i="3" a="1"/>
  <c r="K135" i="3" s="1"/>
  <c r="K136" i="3" a="1"/>
  <c r="K136" i="3" s="1"/>
  <c r="K137" i="3" a="1"/>
  <c r="K137" i="3" s="1"/>
  <c r="K138" i="3" a="1"/>
  <c r="K138" i="3" s="1"/>
  <c r="K139" i="3" a="1"/>
  <c r="K139" i="3" s="1"/>
  <c r="K140" i="3" a="1"/>
  <c r="K140" i="3" s="1"/>
  <c r="K141" i="3" a="1"/>
  <c r="K141" i="3" s="1"/>
  <c r="K142" i="3" a="1"/>
  <c r="K142" i="3" s="1"/>
  <c r="K143" i="3" a="1"/>
  <c r="K143" i="3" s="1"/>
  <c r="K144" i="3" a="1"/>
  <c r="K144" i="3" s="1"/>
  <c r="K145" i="3" a="1"/>
  <c r="K145" i="3" s="1"/>
  <c r="K146" i="3" a="1"/>
  <c r="K146" i="3" s="1"/>
  <c r="K147" i="3" a="1"/>
  <c r="K147" i="3" s="1"/>
  <c r="K148" i="3" a="1"/>
  <c r="K148" i="3" s="1"/>
  <c r="K149" i="3" a="1"/>
  <c r="K149" i="3" s="1"/>
  <c r="K150" i="3" a="1"/>
  <c r="K150" i="3" s="1"/>
  <c r="K151" i="3" a="1"/>
  <c r="K151" i="3" s="1"/>
  <c r="K152" i="3" a="1"/>
  <c r="K152" i="3" s="1"/>
  <c r="K153" i="3" a="1"/>
  <c r="K153" i="3" s="1"/>
  <c r="K154" i="3" a="1"/>
  <c r="K154" i="3" s="1"/>
  <c r="K155" i="3" a="1"/>
  <c r="K155" i="3" s="1"/>
  <c r="K156" i="3" a="1"/>
  <c r="K156" i="3" s="1"/>
  <c r="K157" i="3" a="1"/>
  <c r="K157" i="3" s="1"/>
  <c r="K158" i="3" a="1"/>
  <c r="K158" i="3" s="1"/>
  <c r="K159" i="3" a="1"/>
  <c r="K159" i="3" s="1"/>
  <c r="K160" i="3" a="1"/>
  <c r="K160" i="3" s="1"/>
  <c r="K161" i="3" a="1"/>
  <c r="K161" i="3" s="1"/>
  <c r="K162" i="3" a="1"/>
  <c r="K162" i="3"/>
  <c r="K163" i="3" a="1"/>
  <c r="K163" i="3" s="1"/>
  <c r="K164" i="3" a="1"/>
  <c r="K164" i="3"/>
  <c r="K165" i="3" a="1"/>
  <c r="K165" i="3" s="1"/>
  <c r="K166" i="3" a="1"/>
  <c r="K166" i="3" s="1"/>
  <c r="K167" i="3" a="1"/>
  <c r="K167" i="3" s="1"/>
  <c r="K168" i="3" a="1"/>
  <c r="K168" i="3" s="1"/>
  <c r="K169" i="3" a="1"/>
  <c r="K169" i="3" s="1"/>
  <c r="K170" i="3" a="1"/>
  <c r="K170" i="3" s="1"/>
  <c r="K171" i="3" a="1"/>
  <c r="K171" i="3" s="1"/>
  <c r="K172" i="3" a="1"/>
  <c r="K172" i="3" s="1"/>
  <c r="K173" i="3" a="1"/>
  <c r="K173" i="3" s="1"/>
  <c r="K174" i="3" a="1"/>
  <c r="K174" i="3" s="1"/>
  <c r="K175" i="3" a="1"/>
  <c r="K175" i="3" s="1"/>
  <c r="K176" i="3" a="1"/>
  <c r="K176" i="3" s="1"/>
  <c r="K177" i="3" a="1"/>
  <c r="K177" i="3" s="1"/>
  <c r="K178" i="3" a="1"/>
  <c r="K178" i="3"/>
  <c r="K179" i="3" a="1"/>
  <c r="K179" i="3" s="1"/>
  <c r="K180" i="3" a="1"/>
  <c r="K180" i="3" s="1"/>
  <c r="K181" i="3" a="1"/>
  <c r="K181" i="3" s="1"/>
  <c r="K182" i="3" a="1"/>
  <c r="K182" i="3" s="1"/>
  <c r="K183" i="3" a="1"/>
  <c r="K183" i="3" s="1"/>
  <c r="K184" i="3" a="1"/>
  <c r="K184" i="3" s="1"/>
  <c r="K2" i="3" a="1"/>
  <c r="K2" i="3" s="1"/>
  <c r="O10" i="3"/>
  <c r="O8"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3" i="3"/>
  <c r="P5" i="3"/>
  <c r="O6" i="3"/>
  <c r="O4" i="3"/>
  <c r="O3" i="3"/>
  <c r="F106" i="1"/>
  <c r="H115" i="2"/>
  <c r="H106" i="1"/>
  <c r="I106" i="1"/>
  <c r="O5" i="9" l="1"/>
  <c r="O4" i="9"/>
  <c r="L5" i="10"/>
  <c r="O33" i="9"/>
  <c r="O21" i="9"/>
  <c r="O9" i="9"/>
  <c r="O35" i="9"/>
  <c r="O31" i="9"/>
  <c r="O27" i="9"/>
  <c r="O23" i="9"/>
  <c r="O19" i="9"/>
  <c r="O15" i="9"/>
  <c r="O11" i="9"/>
  <c r="O7" i="9"/>
  <c r="O3" i="9"/>
  <c r="O37" i="9"/>
  <c r="O29" i="9"/>
  <c r="O25" i="9"/>
  <c r="O17" i="9"/>
  <c r="O13" i="9"/>
  <c r="O36" i="9"/>
  <c r="O32" i="9"/>
  <c r="O28" i="9"/>
  <c r="O24" i="9"/>
  <c r="O20" i="9"/>
  <c r="O16" i="9"/>
  <c r="O12" i="9"/>
  <c r="O8" i="9"/>
  <c r="O2" i="9"/>
  <c r="O34" i="9"/>
  <c r="O30" i="9"/>
  <c r="O26" i="9"/>
  <c r="O22" i="9"/>
  <c r="O18" i="9"/>
  <c r="O14" i="9"/>
  <c r="O10" i="9"/>
  <c r="J5" i="10"/>
  <c r="N14" i="3" a="1"/>
  <c r="N14" i="3" s="1"/>
  <c r="J134" i="3"/>
  <c r="O11" i="3"/>
  <c r="O9" i="3"/>
  <c r="O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2C560F-D502-4F51-ABD7-F311C7DBC560}" keepAlive="1" name="Query - india Staff (2)" description="Connection to the 'india Staff (2)' query in the workbook." type="5" refreshedVersion="0" background="1">
    <dbPr connection="Provider=Microsoft.Mashup.OleDb.1;Data Source=$Workbook$;Location=&quot;india Staff (2)&quot;;Extended Properties=&quot;&quot;" command="SELECT * FROM [india Staff (2)]"/>
  </connection>
  <connection id="2" xr16:uid="{79FCCB53-1AC9-4747-8586-1CE71285815E}"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A6A515FD-0CCA-4780-A9CF-D8C3A28CD738}"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06C0822D-C9A8-4CB1-ABD6-D10B5F37A3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7BB77424-042C-4980-BE5C-63824F0B5393}"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<sst xmlns="http://schemas.openxmlformats.org/spreadsheetml/2006/main" count="1863" uniqueCount="251">
  <si>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</si>
  <si>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</si>
  <si>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</si>
  <si>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</si>
  <si>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</si>
  <si>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</si>
  <si>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</si>
  <si>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</si>
  <si>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</si>
  <si>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</si>
  <si>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</si>
  <si>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</si>
  <si>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</si>
  <si>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</si>
  <si>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</si>
  <si>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</si>
  <si>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</si>
  <si>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</si>
  <si>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</si>
  <si>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</si>
  <si>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</si>
  <si>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</si>
  <si>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</si>
  <si>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</si>
  <si>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</si>
  <si>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</si>
  <si>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</si>
  <si>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</si>
  <si>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</si>
  <si>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</si>
  <si>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</si>
  <si>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</si>
  <si>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</si>
  <si>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</si>
  <si>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</si>
  <si>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</si>
  <si>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</si>
  <si>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</si>
  <si>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</si>
  <si>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</si>
  <si>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</si>
  <si>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</si>
  <si>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</si>
  <si>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</si>
  <si>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</si>
  <si>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</si>
  <si>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</si>
  <si>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</si>
  <si>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</si>
  <si>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</si>
  <si>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</si>
  <si>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</si>
  <si>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</si>
  <si>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</si>
  <si>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</si>
  <si>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</si>
  <si>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</si>
  <si>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</si>
  <si>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</si>
  <si>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</si>
  <si>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</si>
  <si>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</si>
  <si>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</si>
  <si>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</si>
  <si>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</si>
  <si>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</si>
  <si>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</si>
  <si>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</si>
  <si>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</si>
  <si>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</si>
  <si>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</si>
  <si>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</si>
  <si>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</si>
  <si>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</si>
  <si>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</si>
  <si>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</si>
  <si>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</si>
  <si>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</si>
  <si>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</si>
  <si>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</si>
  <si>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</si>
  <si>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</si>
  <si>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</si>
  <si>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</si>
  <si>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</si>
  <si>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</si>
  <si>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</si>
  <si>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</si>
  <si>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</si>
  <si>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</si>
  <si>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</si>
  <si>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</si>
  <si>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</si>
  <si>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</si>
  <si>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</si>
  <si>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</si>
  <si>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</si>
  <si>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</si>
  <si>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</si>
  <si>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</si>
  <si>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</si>
  <si>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</si>
  <si>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</si>
  <si>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</si>
  <si>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</si>
  <si>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</si>
  <si>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</si>
  <si>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</si>
  <si>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</si>
  <si>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</si>
  <si>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</si>
  <si>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</si>
  <si>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</si>
  <si>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</si>
  <si>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</si>
  <si>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</si>
  <si>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</si>
  <si>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</si>
  <si>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</si>
  <si>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</si>
  <si>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</si>
  <si>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</si>
  <si>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</si>
  <si>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</si>
  <si>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</si>
  <si>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</si>
  <si>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</si>
  <si>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</si>
  <si>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</si>
  <si>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</si>
  <si>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</si>
  <si>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</si>
  <si>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</si>
  <si>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</si>
  <si>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</si>
  <si>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</si>
  <si>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</si>
  <si>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</si>
  <si>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</si>
  <si>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</si>
  <si>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</si>
  <si>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</si>
  <si>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</si>
  <si>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</si>
  <si>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</si>
  <si>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</si>
  <si>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</si>
  <si>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</si>
  <si>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</si>
  <si>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</si>
  <si>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</si>
  <si>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</si>
  <si>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</si>
  <si>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</si>
  <si>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</si>
  <si>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</si>
  <si>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</si>
  <si>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</si>
  <si>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</si>
  <si>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</si>
  <si>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</si>
  <si>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</si>
  <si>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</si>
  <si>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</si>
  <si>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</si>
  <si>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</si>
  <si>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</si>
  <si>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</si>
  <si>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</si>
  <si>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</si>
  <si>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</si>
  <si>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</si>
  <si>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</si>
  <si>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</si>
  <si>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</si>
  <si>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</si>
  <si>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</si>
  <si>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</si>
  <si>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</si>
  <si>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</si>
  <si>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</si>
  <si>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</si>
  <si>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</si>
  <si>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</si>
  <si>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</si>
  <si>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</si>
  <si>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</si>
  <si>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</si>
  <si>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</si>
  <si>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</si>
  <si>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</si>
  <si>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</si>
  <si>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</si>
  <si>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</si>
  <si>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</si>
  <si>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</si>
  <si>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</si>
  <si>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</si>
  <si>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</si>
  <si>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</si>
  <si>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</si>
  <si>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</si>
  <si>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</si>
  <si>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</si>
  <si>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</si>
  <si>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</si>
  <si>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</si>
  <si>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</si>
  <si>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Average salary</t>
  </si>
  <si>
    <t>Average tenure</t>
  </si>
  <si>
    <t xml:space="preserve">Average age </t>
  </si>
  <si>
    <t>Female ratio%</t>
  </si>
  <si>
    <t>Count of employees</t>
  </si>
  <si>
    <t>Tenure</t>
  </si>
  <si>
    <t xml:space="preserve">female count </t>
  </si>
  <si>
    <t>Ratio %</t>
  </si>
  <si>
    <t>ratio of 90,000&gt;</t>
  </si>
  <si>
    <t>ratio</t>
  </si>
  <si>
    <t>Date joined</t>
  </si>
  <si>
    <t>XLOOKUP</t>
  </si>
  <si>
    <t>VLOOKUP</t>
  </si>
  <si>
    <t>Row Labels</t>
  </si>
  <si>
    <t>Grand Total</t>
  </si>
  <si>
    <t>Column Labels</t>
  </si>
  <si>
    <t>Count of Name</t>
  </si>
  <si>
    <t>Average of Age</t>
  </si>
  <si>
    <t>Values</t>
  </si>
  <si>
    <t>Average of Salary</t>
  </si>
  <si>
    <t>Average of Tenure</t>
  </si>
  <si>
    <t>Bonus</t>
  </si>
  <si>
    <t xml:space="preserve">Rating as number </t>
  </si>
  <si>
    <t>2020</t>
  </si>
  <si>
    <t>May</t>
  </si>
  <si>
    <t>Jun</t>
  </si>
  <si>
    <t>Jul</t>
  </si>
  <si>
    <t>Aug</t>
  </si>
  <si>
    <t>Sep</t>
  </si>
  <si>
    <t>Oct</t>
  </si>
  <si>
    <t>Nov</t>
  </si>
  <si>
    <t>Dec</t>
  </si>
  <si>
    <t>2021</t>
  </si>
  <si>
    <t>2022</t>
  </si>
  <si>
    <t>2023</t>
  </si>
  <si>
    <t>Column1</t>
  </si>
  <si>
    <t>Column2</t>
  </si>
  <si>
    <t xml:space="preserve">Month </t>
  </si>
  <si>
    <t xml:space="preserve">Headcount by Department </t>
  </si>
  <si>
    <t>NewZealand</t>
  </si>
  <si>
    <t>India</t>
  </si>
  <si>
    <t xml:space="preserve">Headcount </t>
  </si>
  <si>
    <t xml:space="preserve">Running 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</si>
</sst>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8" formatCode="&quot;$&quot;#,##0.00_);[Red]\(&quot;$&quot;#,##0.00\)"/>
    <numFmt numFmtId="44" formatCode="_(&quot;$&quot;* #,##0.00_);_(&quot;$&quot;* \(#,##0.00\);_(&quot;$&quot;* &quot;-&quot;??_);_(@_)"/>
    <numFmt numFmtId="164" formatCode="&quot;$&quot;#,##0.0"/>
    <numFmt numFmtId="165" formatCode="0.0"/>
    <numFmt numFmtId="166" formatCode="&quot;$&quot;#,##0"/>
    <numFmt numFmtId="175" formatCode="_(&quot;$&quot;* #,##0_);_(&quot;$&quot;* \(#,##0\);_(&quot;$&quot;* &quot;-&quot;??_);_(@_)"/>
  </numFmts>
  <fonts count="14" x14ac:knownFonts="1">
    <font>
      <sz val="11"/>
      <color theme="1"/>
      <name val="Calibri"/>
      <family val="2"/>
      <scheme val="minor"/>
    </font>
    <font>
      <sz val="28"/>
      <color theme="1"/>
      <name val="Segoe UI Light"/>
      <family val="2"/>
    </font>
    <font>
      <sz val="11"/>
      <color rgb="FF0F0F0F"/>
      <name val="Roboto"/>
    </font>
    <font>
      <sz val="11"/>
      <color theme="1"/>
      <name val="Calibri"/>
      <family val="2"/>
      <scheme val="minor"/>
    </font>
    <font>
      <b/>
      <sz val="11"/>
      <color theme="1"/>
      <name val="Calibri"/>
      <family val="2"/>
      <scheme val="minor"/>
    </font>
    <font>
      <sz val="11"/>
      <color theme="0"/>
      <name val="Calibri"/>
      <family val="2"/>
      <scheme val="minor"/>
    </font>
    <font>
      <sz val="11"/>
      <color theme="2" tint="-0.249977111117893"/>
      <name val="Calibri"/>
      <family val="2"/>
      <scheme val="minor"/>
    </font>
    <font>
      <b/>
      <sz val="36"/>
      <color theme="1"/>
      <name val="Calibri"/>
      <family val="2"/>
      <scheme val="minor"/>
    </font>
    <font>
      <sz val="36"/>
      <color theme="2"/>
      <name val="Calibri"/>
      <family val="2"/>
      <scheme val="minor"/>
    </font>
    <font>
      <b/>
      <sz val="36"/>
      <color theme="0"/>
      <name val="Calibri"/>
      <family val="2"/>
      <scheme val="minor"/>
    </font>
    <font>
      <sz val="28"/>
      <color theme="0"/>
      <name val="Calibri"/>
      <family val="2"/>
      <scheme val="minor"/>
    </font>
    <font>
      <b/>
      <sz val="26"/>
      <color theme="0"/>
      <name val="Calibri"/>
      <family val="2"/>
      <scheme val="minor"/>
    </font>
    <font>
      <sz val="26"/>
      <color theme="1"/>
      <name val="Calibri"/>
      <family val="2"/>
      <scheme val="minor"/>
    </font>
    <font>
      <sz val="26"/>
      <color theme="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0.14999847407452621"/>
        <bgColor theme="0" tint="-0.14999847407452621"/>
      </patternFill>
    </fill>
    <fill>
      <patternFill patternType="solid">
        <fgColor theme="0"/>
        <bgColor indexed="64"/>
      </patternFill>
    </fill>
    <fill>
      <patternFill patternType="solid">
        <fgColor rgb="FFFFC000"/>
        <bgColor indexed="64"/>
      </patternFill>
    </fill>
    <fill>
      <patternFill patternType="solid">
        <fgColor theme="5"/>
        <bgColor indexed="64"/>
      </patternFill>
    </fill>
  </fills>
  <borders count="1">
    <border>
      <left/>
      <right/>
      <top/>
      <bottom/>
      <diagonal/>
    </border>
  </borders>
  <cellStyleXfs count="2">
    <xf numFmtId="0" fontId="0" fillId="0" borderId="0"/>
    <xf numFmtId="44" fontId="3" fillId="0" borderId="0" applyFont="0" applyFill="0" applyBorder="0" applyAlignment="0" applyProtection="0"/>
  </cellStyleXfs>
  <cellXfs count="3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3" borderId="0" xfId="0" applyNumberFormat="1" applyFill="1"/>
    <xf numFmtId="8" fontId="0" fillId="0" borderId="0" xfId="0" applyNumberFormat="1"/>
    <xf numFmtId="14" fontId="0" fillId="0" borderId="0" xfId="0" applyNumberFormat="1"/>
    <xf numFmtId="2" fontId="0" fillId="0" borderId="0" xfId="0" applyNumberFormat="1"/>
    <xf numFmtId="9" fontId="0" fillId="0" borderId="0" xfId="0" applyNumberFormat="1"/>
    <xf numFmtId="0" fontId="2" fillId="0" borderId="0" xfId="0" applyFont="1"/>
    <xf numFmtId="0" fontId="0" fillId="0" borderId="0" xfId="0" applyAlignment="1">
      <alignment horizontal="left"/>
    </xf>
    <xf numFmtId="14" fontId="0" fillId="0" borderId="0" xfId="0" applyNumberFormat="1" applyAlignment="1">
      <alignment horizontal="left"/>
    </xf>
    <xf numFmtId="0" fontId="0" fillId="0" borderId="0" xfId="0" pivotButton="1"/>
    <xf numFmtId="164" fontId="0" fillId="0" borderId="0" xfId="0" applyNumberFormat="1"/>
    <xf numFmtId="165" fontId="0" fillId="0" borderId="0" xfId="0" applyNumberFormat="1"/>
    <xf numFmtId="166" fontId="0" fillId="0" borderId="0" xfId="0" applyNumberFormat="1"/>
    <xf numFmtId="0" fontId="0" fillId="4" borderId="0" xfId="0" applyFill="1"/>
    <xf numFmtId="0" fontId="0" fillId="4" borderId="0" xfId="0" applyFill="1" applyAlignment="1">
      <alignment horizontal="left"/>
    </xf>
    <xf numFmtId="0" fontId="0" fillId="0" borderId="0" xfId="0" applyNumberFormat="1"/>
    <xf numFmtId="0" fontId="0" fillId="0" borderId="0" xfId="0" applyAlignment="1">
      <alignment horizontal="left" indent="1"/>
    </xf>
    <xf numFmtId="17" fontId="0" fillId="0" borderId="0" xfId="0" applyNumberFormat="1"/>
    <xf numFmtId="0" fontId="6" fillId="0" borderId="0" xfId="0" applyFont="1"/>
    <xf numFmtId="0" fontId="6" fillId="5" borderId="0" xfId="0" applyFont="1" applyFill="1"/>
    <xf numFmtId="0" fontId="7" fillId="5" borderId="0" xfId="0" applyFont="1" applyFill="1" applyAlignment="1">
      <alignment horizontal="center" vertical="center"/>
    </xf>
    <xf numFmtId="9" fontId="8" fillId="2" borderId="0" xfId="0" applyNumberFormat="1" applyFont="1" applyFill="1" applyAlignment="1">
      <alignment horizontal="center" vertical="center"/>
    </xf>
    <xf numFmtId="0" fontId="9" fillId="2" borderId="0" xfId="0" applyFont="1" applyFill="1" applyAlignment="1">
      <alignment horizontal="center" vertical="center"/>
    </xf>
    <xf numFmtId="166" fontId="10" fillId="2" borderId="0" xfId="1" applyNumberFormat="1" applyFont="1" applyFill="1" applyAlignment="1">
      <alignment horizontal="center" vertical="center"/>
    </xf>
    <xf numFmtId="0" fontId="9" fillId="6" borderId="0" xfId="0" applyFont="1" applyFill="1" applyAlignment="1">
      <alignment horizontal="center" vertical="center"/>
    </xf>
    <xf numFmtId="9" fontId="9" fillId="6" borderId="0" xfId="0" applyNumberFormat="1" applyFont="1" applyFill="1" applyAlignment="1">
      <alignment horizontal="center" vertical="center"/>
    </xf>
    <xf numFmtId="175" fontId="11" fillId="6" borderId="0" xfId="1" applyNumberFormat="1" applyFont="1" applyFill="1" applyAlignment="1">
      <alignment horizontal="center" vertical="center"/>
    </xf>
    <xf numFmtId="0" fontId="11" fillId="7" borderId="0" xfId="0" applyFont="1" applyFill="1" applyAlignment="1">
      <alignment horizontal="center" vertical="center"/>
    </xf>
    <xf numFmtId="0" fontId="0" fillId="7" borderId="0" xfId="0" applyFill="1" applyAlignment="1">
      <alignment horizontal="center" vertical="center"/>
    </xf>
    <xf numFmtId="0" fontId="13" fillId="2" borderId="0" xfId="0" applyFont="1" applyFill="1" applyAlignment="1">
      <alignment horizontal="center"/>
    </xf>
    <xf numFmtId="0" fontId="12" fillId="2" borderId="0" xfId="0" applyFont="1" applyFill="1" applyAlignment="1">
      <alignment horizontal="center"/>
    </xf>
    <xf numFmtId="0" fontId="13" fillId="6" borderId="0" xfId="0" applyFont="1" applyFill="1" applyAlignment="1">
      <alignment horizontal="center"/>
    </xf>
    <xf numFmtId="0" fontId="5" fillId="6" borderId="0" xfId="0" applyFont="1" applyFill="1" applyAlignment="1">
      <alignment horizontal="center"/>
    </xf>
    <xf numFmtId="0" fontId="4" fillId="0" borderId="0" xfId="0" applyFont="1"/>
  </cellXfs>
  <cellStyles count="2">
    <cellStyle name="Currency" xfId="1" builtinId="4"/>
    <cellStyle name="Normal" xfId="0" builtinId="0"/>
  </cellStyles>
  <dxfs count="19">
    <dxf>
      <font>
        <color rgb="FF9C0006"/>
      </font>
      <fill>
        <patternFill>
          <bgColor rgb="FFFFC7CE"/>
        </patternFill>
      </fill>
    </dxf>
    <dxf>
      <numFmt numFmtId="12" formatCode="&quot;$&quot;#,##0.00_);[Red]\(&quot;$&quot;#,##0.00\)"/>
    </dxf>
    <dxf>
      <numFmt numFmtId="12" formatCode="&quot;$&quot;#,##0.00_);[Red]\(&quot;$&quot;#,##0.00\)"/>
    </dxf>
    <dxf>
      <numFmt numFmtId="12" formatCode="&quot;$&quot;#,##0.00_);[Red]\(&quot;$&quot;#,##0.00\)"/>
    </dxf>
    <dxf>
      <numFmt numFmtId="20" formatCode="d\-mmm\-yy"/>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theme="1"/>
        </bottom>
      </border>
    </dxf>
    <dxf>
      <numFmt numFmtId="166" formatCode="&quot;$&quot;#,##0"/>
    </dxf>
    <dxf>
      <numFmt numFmtId="0" formatCode="General"/>
    </dxf>
    <dxf>
      <numFmt numFmtId="164" formatCode="&quot;$&quot;#,##0.0"/>
    </dxf>
    <dxf>
      <numFmt numFmtId="2" formatCode="0.00"/>
    </dxf>
    <dxf>
      <numFmt numFmtId="0" formatCode="General"/>
    </dxf>
    <dxf>
      <numFmt numFmtId="19" formatCode="m/d/yyyy"/>
    </dxf>
    <dxf>
      <numFmt numFmtId="0" formatCode="General"/>
    </dxf>
    <dxf>
      <numFmt numFmtId="0" formatCode="General"/>
    </dxf>
    <dxf>
      <numFmt numFmtId="12" formatCode="&quot;$&quot;#,##0.00_);[Red]\(&quot;$&quot;#,##0.00\)"/>
    </dxf>
  </dxfs>
  <tableStyles count="3" defaultTableStyle="TableStyleMedium2" defaultPivotStyle="PivotStyleLight16">
    <tableStyle name="Table Style 1" pivot="0" count="0" xr9:uid="{9C9CDE9C-905B-4220-B27B-D1F3B9F3B0D7}"/>
    <tableStyle name="Table Style 2" pivot="0" count="0" xr9:uid="{1BC45769-C5B8-458C-B075-E8C04A9BA8D7}"/>
    <tableStyle name="Table Style 3" pivot="0" count="0" xr9:uid="{59B10765-07BA-4930-8119-01083C8C11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General</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49AC-43D2-84E1-9F039AA4CCDD}"/>
            </c:ext>
          </c:extLst>
        </c:ser>
        <c:dLbls>
          <c:showLegendKey val="0"/>
          <c:showVal val="0"/>
          <c:showCatName val="0"/>
          <c:showSerName val="0"/>
          <c:showPercent val="0"/>
          <c:showBubbleSize val="0"/>
        </c:dLbls>
        <c:axId val="9936447"/>
        <c:axId val="58499999"/>
      </c:scatterChart>
      <c:valAx>
        <c:axId val="9936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99999"/>
        <c:crosses val="autoZero"/>
        <c:crossBetween val="midCat"/>
      </c:valAx>
      <c:valAx>
        <c:axId val="58499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chocolates.xlsx]Staff Growth!PivotTable1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'Staff Growth'!$C$3</c:f>
              <c:strCache>
                <c:ptCount val="1"/>
                <c:pt idx="0">
                  <c:v>Total</c:v>
                </c:pt>
              </c:strCache>
            </c:strRef>
          </c:tx>
          <c:spPr>
            <a:ln w="28575" cap="rnd">
              <a:solidFill>
                <a:schemeClr val="accent1"/>
              </a:solidFill>
              <a:round/>
            </a:ln>
            <a:effectLst/>
          </c:spPr>
          <c:marker>
            <c:symbol val="none"/>
          </c:marker>
          <c:cat>
            <c:multiLvlStrRef>
              <c:f>'Staff Growth'!$B$4:$B$16</c:f>
              <c:multiLvlStrCache>
                <c:ptCount val="11"/>
                <c:lvl>
                  <c:pt idx="0">
                    <c:v>May</c:v>
                  </c:pt>
                  <c:pt idx="1">
                    <c:v>Jun</c:v>
                  </c:pt>
                  <c:pt idx="2">
                    <c:v>Jul</c:v>
                  </c:pt>
                  <c:pt idx="3">
                    <c:v>Aug</c:v>
                  </c:pt>
                  <c:pt idx="4">
                    <c:v>Sep</c:v>
                  </c:pt>
                  <c:pt idx="5">
                    <c:v>Oct</c:v>
                  </c:pt>
                  <c:pt idx="6">
                    <c:v>Nov</c:v>
                  </c:pt>
                  <c:pt idx="7">
                    <c:v>Dec</c:v>
                  </c:pt>
                </c:lvl>
                <c:lvl>
                  <c:pt idx="0">
                    <c:v>2020</c:v>
                  </c:pt>
                  <c:pt idx="8">
                    <c:v>2021</c:v>
                  </c:pt>
                  <c:pt idx="9">
                    <c:v>2022</c:v>
                  </c:pt>
                  <c:pt idx="10">
                    <c:v>2023</c:v>
                  </c:pt>
                </c:lvl>
              </c:multiLvlStrCache>
            </c:multiLvlStrRef>
          </c:cat>
          <c:val>
            <c:numRef>
              <c:f>'Staff Growth'!$C$4:$C$16</c:f>
              <c:numCache>
                <c:formatCode>General</c:formatCode>
                <c:ptCount val="11"/>
                <c:pt idx="0">
                  <c:v>3</c:v>
                </c:pt>
                <c:pt idx="1">
                  <c:v>1</c:v>
                </c:pt>
                <c:pt idx="2">
                  <c:v>5</c:v>
                </c:pt>
                <c:pt idx="3">
                  <c:v>3</c:v>
                </c:pt>
                <c:pt idx="4">
                  <c:v>6</c:v>
                </c:pt>
                <c:pt idx="5">
                  <c:v>6</c:v>
                </c:pt>
                <c:pt idx="6">
                  <c:v>6</c:v>
                </c:pt>
                <c:pt idx="7">
                  <c:v>7</c:v>
                </c:pt>
                <c:pt idx="8">
                  <c:v>82</c:v>
                </c:pt>
                <c:pt idx="9">
                  <c:v>62</c:v>
                </c:pt>
                <c:pt idx="10">
                  <c:v>2</c:v>
                </c:pt>
              </c:numCache>
            </c:numRef>
          </c:val>
          <c:smooth val="0"/>
          <c:extLst>
            <c:ext xmlns:c16="http://schemas.microsoft.com/office/drawing/2014/chart" uri="{C3380CC4-5D6E-409C-BE32-E72D297353CC}">
              <c16:uniqueId val="{00000000-EF78-4B69-9404-B5EB54FA0853}"/>
            </c:ext>
          </c:extLst>
        </c:ser>
        <c:dLbls>
          <c:showLegendKey val="0"/>
          <c:showVal val="0"/>
          <c:showCatName val="0"/>
          <c:showSerName val="0"/>
          <c:showPercent val="0"/>
          <c:showBubbleSize val="0"/>
        </c:dLbls>
        <c:smooth val="0"/>
        <c:axId val="2052998607"/>
        <c:axId val="58496527"/>
      </c:lineChart>
      <c:catAx>
        <c:axId val="205299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96527"/>
        <c:crosses val="autoZero"/>
        <c:auto val="1"/>
        <c:lblAlgn val="ctr"/>
        <c:lblOffset val="100"/>
        <c:noMultiLvlLbl val="0"/>
      </c:catAx>
      <c:valAx>
        <c:axId val="58496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9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'Staff Growth'!$O$1</c:f>
              <c:strCache>
                <c:ptCount val="1"/>
                <c:pt idx="0">
                  <c:v>Running count </c:v>
                </c:pt>
              </c:strCache>
            </c:strRef>
          </c:tx>
          <c:spPr>
            <a:ln w="28575" cap="rnd">
              <a:solidFill>
                <a:schemeClr val="accent1"/>
              </a:solidFill>
              <a:round/>
            </a:ln>
            <a:effectLst/>
          </c:spPr>
          <c:marker>
            <c:symbol val="none"/>
          </c:marker>
          <c:cat>
            <c:numRef>
              <c:f>'Staff Growth'!$M$2:$M$214</c:f>
              <c:numCache>
                <c:formatCode>mmm\-yy</c:formatCode>
                <c:ptCount val="213"/>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'Staff Growth'!$O$2:$O$214</c:f>
              <c:numCache>
                <c:formatCode>General</c:formatCode>
                <c:ptCount val="213"/>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472C-4D74-A1AD-57C2882D6C2F}"/>
            </c:ext>
          </c:extLst>
        </c:ser>
        <c:dLbls>
          <c:showLegendKey val="0"/>
          <c:showVal val="0"/>
          <c:showCatName val="0"/>
          <c:showSerName val="0"/>
          <c:showPercent val="0"/>
          <c:showBubbleSize val="0"/>
        </c:dLbls>
        <c:smooth val="0"/>
        <c:axId val="809592239"/>
        <c:axId val="116127071"/>
      </c:lineChart>
      <c:dateAx>
        <c:axId val="80959223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27071"/>
        <c:crosses val="autoZero"/>
        <c:auto val="1"/>
        <c:lblOffset val="100"/>
        <c:baseTimeUnit val="months"/>
      </c:dateAx>
      <c:valAx>
        <c:axId val="11612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59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chocolates.xlsx]Sheet5!PivotTable2</c:name>
    <c:fmtId val="11"/>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02243642408454"/>
          <c:y val="0.11854633555420954"/>
          <c:w val="0.73462395232248323"/>
          <c:h val="0.75959382905191153"/>
        </c:manualLayout>
      </c:layout>
      <c:barChart>
        <c:barDir val="bar"/>
        <c:grouping val="clustered"/>
        <c:varyColors val="0"/>
        <c:ser>
          <c:idx val="0"/>
          <c:order val="0"/>
          <c:tx>
            <c:strRef>
              <c:f>Sheet5!$B$3</c:f>
              <c:strCache>
                <c:ptCount val="1"/>
                <c:pt idx="0">
                  <c:v>Total</c:v>
                </c:pt>
              </c:strCache>
            </c:strRef>
          </c:tx>
          <c:spPr>
            <a:solidFill>
              <a:schemeClr val="accent4"/>
            </a:solidFill>
            <a:ln>
              <a:noFill/>
            </a:ln>
            <a:effectLst/>
          </c:spPr>
          <c:invertIfNegative val="0"/>
          <c:cat>
            <c:strRef>
              <c:f>Sheet5!$A$4:$A$9</c:f>
              <c:strCache>
                <c:ptCount val="5"/>
                <c:pt idx="0">
                  <c:v>Procurement</c:v>
                </c:pt>
                <c:pt idx="1">
                  <c:v>Website</c:v>
                </c:pt>
                <c:pt idx="2">
                  <c:v>Finance</c:v>
                </c:pt>
                <c:pt idx="3">
                  <c:v>Sales</c:v>
                </c:pt>
                <c:pt idx="4">
                  <c:v>HR</c:v>
                </c:pt>
              </c:strCache>
            </c:strRef>
          </c:cat>
          <c:val>
            <c:numRef>
              <c:f>Sheet5!$B$4:$B$9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0BFB-41A7-A436-0A1FCE754F54}"/>
            </c:ext>
          </c:extLst>
        </c:ser>
        <c:dLbls>
          <c:showLegendKey val="0"/>
          <c:showVal val="0"/>
          <c:showCatName val="0"/>
          <c:showSerName val="0"/>
          <c:showPercent val="0"/>
          <c:showBubbleSize val="0"/>
        </c:dLbls>
        <c:gapWidth val="25"/>
        <c:axId val="110275295"/>
        <c:axId val="58516367"/>
      </c:barChart>
      <c:catAx>
        <c:axId val="1102752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16367"/>
        <c:crosses val="autoZero"/>
        <c:auto val="1"/>
        <c:lblAlgn val="ctr"/>
        <c:lblOffset val="100"/>
        <c:noMultiLvlLbl val="0"/>
      </c:catAx>
      <c:valAx>
        <c:axId val="5851636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75295"/>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chocolates.xlsx]Sheet5!PivotTable3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Sheet5!$F$3</c:f>
              <c:strCache>
                <c:ptCount val="1"/>
                <c:pt idx="0">
                  <c:v>Total</c:v>
                </c:pt>
              </c:strCache>
            </c:strRef>
          </c:tx>
          <c:spPr>
            <a:solidFill>
              <a:schemeClr val="accent1"/>
            </a:solidFill>
            <a:ln>
              <a:noFill/>
            </a:ln>
            <a:effectLst/>
          </c:spPr>
          <c:invertIfNegative val="0"/>
          <c:cat>
            <c:strRef>
              <c:f>Sheet5!$E$4:$E$9</c:f>
              <c:strCache>
                <c:ptCount val="5"/>
                <c:pt idx="0">
                  <c:v>Website</c:v>
                </c:pt>
                <c:pt idx="1">
                  <c:v>Procurement</c:v>
                </c:pt>
                <c:pt idx="2">
                  <c:v>Finance</c:v>
                </c:pt>
                <c:pt idx="3">
                  <c:v>Sales</c:v>
                </c:pt>
                <c:pt idx="4">
                  <c:v>HR</c:v>
                </c:pt>
              </c:strCache>
            </c:strRef>
          </c:cat>
          <c:val>
            <c:numRef>
              <c:f>Sheet5!$F$4:$F$9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A35-48AD-8B59-03134185DB99}"/>
            </c:ext>
          </c:extLst>
        </c:ser>
        <c:dLbls>
          <c:showLegendKey val="0"/>
          <c:showVal val="0"/>
          <c:showCatName val="0"/>
          <c:showSerName val="0"/>
          <c:showPercent val="0"/>
          <c:showBubbleSize val="0"/>
        </c:dLbls>
        <c:gapWidth val="25"/>
        <c:axId val="110273375"/>
        <c:axId val="112544991"/>
      </c:barChart>
      <c:catAx>
        <c:axId val="1102733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44991"/>
        <c:crosses val="autoZero"/>
        <c:auto val="1"/>
        <c:lblAlgn val="ctr"/>
        <c:lblOffset val="100"/>
        <c:noMultiLvlLbl val="0"/>
      </c:catAx>
      <c:valAx>
        <c:axId val="11254499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8B515DE6-FC1C-4449-8468-E2B2193ABDCE}">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18019A56-18CE-4C6D-89EC-FCFA5367D32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xdr:rowOff>
    </xdr:from>
    <xdr:to>
      <xdr:col>5</xdr:col>
      <xdr:colOff>114300</xdr:colOff>
      <xdr:row>14</xdr:row>
      <xdr:rowOff>19051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916EBDB-9355-4849-8A0B-66743EBBB9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90501"/>
              <a:ext cx="3162300" cy="2495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57150</xdr:colOff>
      <xdr:row>1</xdr:row>
      <xdr:rowOff>19050</xdr:rowOff>
    </xdr:from>
    <xdr:to>
      <xdr:col>12</xdr:col>
      <xdr:colOff>600075</xdr:colOff>
      <xdr:row>23</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22ABEFF-EA8D-4E5C-8F45-6CA7ED4BBA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714750" y="209550"/>
              <a:ext cx="4200525" cy="4286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304800</xdr:colOff>
      <xdr:row>15</xdr:row>
      <xdr:rowOff>76200</xdr:rowOff>
    </xdr:to>
    <xdr:graphicFrame macro="">
      <xdr:nvGraphicFramePr>
        <xdr:cNvPr id="3" name="Chart 2">
          <a:extLst>
            <a:ext uri="{FF2B5EF4-FFF2-40B4-BE49-F238E27FC236}">
              <a16:creationId xmlns:a16="http://schemas.microsoft.com/office/drawing/2014/main" id="{E9EA3FA2-A186-4D98-A6E6-70063B6D3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404811</xdr:colOff>
      <xdr:row>0</xdr:row>
      <xdr:rowOff>1</xdr:rowOff>
    </xdr:from>
    <xdr:to>
      <xdr:col>11</xdr:col>
      <xdr:colOff>123825</xdr:colOff>
      <xdr:row>11</xdr:row>
      <xdr:rowOff>19051</xdr:rowOff>
    </xdr:to>
    <xdr:graphicFrame macro="">
      <xdr:nvGraphicFramePr>
        <xdr:cNvPr id="3" name="Chart 2">
          <a:extLst>
            <a:ext uri="{FF2B5EF4-FFF2-40B4-BE49-F238E27FC236}">
              <a16:creationId xmlns:a16="http://schemas.microsoft.com/office/drawing/2014/main" id="{E5005DCB-AB76-E174-B577-67F58A365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427817</xdr:colOff>
      <xdr:row>11</xdr:row>
      <xdr:rowOff>137225</xdr:rowOff>
    </xdr:from>
    <xdr:to>
      <xdr:col>11</xdr:col>
      <xdr:colOff>121079</xdr:colOff>
      <xdr:row>22</xdr:row>
      <xdr:rowOff>80720</xdr:rowOff>
    </xdr:to>
    <xdr:graphicFrame macro="">
      <xdr:nvGraphicFramePr>
        <xdr:cNvPr id="14" name="Chart 13">
          <a:extLst>
            <a:ext uri="{FF2B5EF4-FFF2-40B4-BE49-F238E27FC236}">
              <a16:creationId xmlns:a16="http://schemas.microsoft.com/office/drawing/2014/main" id="{1AAB24ED-ADD1-458F-9C2B-295A082B3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272144</xdr:colOff>
      <xdr:row>9</xdr:row>
      <xdr:rowOff>149678</xdr:rowOff>
    </xdr:from>
    <xdr:to>
      <xdr:col>12</xdr:col>
      <xdr:colOff>1381125</xdr:colOff>
      <xdr:row>23</xdr:row>
      <xdr:rowOff>0</xdr:rowOff>
    </xdr:to>
    <xdr:graphicFrame macro="">
      <xdr:nvGraphicFramePr>
        <xdr:cNvPr id="4" name="Chart 3">
          <a:extLst>
            <a:ext uri="{FF2B5EF4-FFF2-40B4-BE49-F238E27FC236}">
              <a16:creationId xmlns:a16="http://schemas.microsoft.com/office/drawing/2014/main" id="{B80C8B32-53AC-416A-9D11-B93CDB580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68036</xdr:colOff>
      <xdr:row>9</xdr:row>
      <xdr:rowOff>149679</xdr:rowOff>
    </xdr:from>
    <xdr:to>
      <xdr:col>6</xdr:col>
      <xdr:colOff>1444625</xdr:colOff>
      <xdr:row>22</xdr:row>
      <xdr:rowOff>142875</xdr:rowOff>
    </xdr:to>
    <xdr:graphicFrame macro="">
      <xdr:nvGraphicFramePr>
        <xdr:cNvPr id="6" name="Chart 5">
          <a:extLst>
            <a:ext uri="{FF2B5EF4-FFF2-40B4-BE49-F238E27FC236}">
              <a16:creationId xmlns:a16="http://schemas.microsoft.com/office/drawing/2014/main" id="{B63BF1C9-EA0C-4637-8804-1E7250BE6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958521</xdr:colOff>
      <xdr:row>5</xdr:row>
      <xdr:rowOff>181560</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32927C02-08E4-4823-9A54-AE9C3C24A1D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430024" y="188703"/>
              <a:ext cx="1821162" cy="936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343.582417361111" createdVersion="8" refreshedVersion="8" minRefreshableVersion="3" recordCount="183" xr:uid="{CE5CE7A4-F981-489E-81D2-0669E8970348}">
  <cacheSource type="worksheet">
    <worksheetSource name="staff"/>
  </cacheSource>
  <cacheFields count="9">
    <cacheField name="Name" numFmtId="0">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acheField>
    <cacheField name="Date Joined" numFmtId="14">
      <sharedItems containsSemiMixedTypes="0" containsNonDate="0" containsDate="1" containsString="0" minDate="2020-05-07T00:00:00" maxDate="2023-04-30T00:00:00"/>
    </cacheField>
    <cacheField name="Department" numFmtId="0">
      <sharedItems/>
    </cacheField>
    <cacheField name="Salary" numFmtId="0">
      <sharedItems containsSemiMixedTypes="0" containsString="0" containsNumber="1" containsInteger="1" minValue="33920" maxValue="119110"/>
    </cacheField>
    <cacheField name="Country" numFmtId="0">
      <sharedItems count="2">
        <s v="IND"/>
        <s v="NZ"/>
      </sharedItems>
    </cacheField>
    <cacheField name="Tenure" numFmtId="2">
      <sharedItems containsSemiMixedTypes="0" containsString="0" containsNumber="1" minValue="0.81643835616438354" maxValue="3.7945205479452055"/>
    </cacheField>
  </cacheFields>
  <extLst>
    <ext xmlns:x14="http://schemas.microsoft.com/office/spreadsheetml/2009/9/main" uri="{725AE2AE-9491-48be-B2B4-4EB974FC3084}">
      <x14:pivotCacheDefinition pivotCacheId="17922483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344.526862384257" backgroundQuery="1" createdVersion="8" refreshedVersion="8" minRefreshableVersion="3" recordCount="0" supportSubquery="1" supportAdvancedDrill="1" xr:uid="{BB127282-9760-406B-BE34-249AECBACDF6}">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6" level="32767"/>
    <cacheField name="[Measures].[Average of Salary]" caption="Average of Salary" numFmtId="0" hierarchy="18"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344.538843750001" backgroundQuery="1" createdVersion="8" refreshedVersion="8" minRefreshableVersion="3" recordCount="0" supportSubquery="1" supportAdvancedDrill="1" xr:uid="{B65771F1-630B-442D-B485-8738A1C3EBD3}">
  <cacheSource type="external" connectionId="4"/>
  <cacheFields count="3">
    <cacheField name="[staff].[Date Joined (Month)].[Date Joined (Month)]" caption="Date Joined (Month)" numFmtId="0" hierarchy="12" level="1">
      <sharedItems count="8">
        <s v="May"/>
        <s v="Jun"/>
        <s v="Jul"/>
        <s v="Aug"/>
        <s v="Sep"/>
        <s v="Oct"/>
        <s v="Nov"/>
        <s v="Dec"/>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344.662478009261" backgroundQuery="1" createdVersion="8" refreshedVersion="8" minRefreshableVersion="3" recordCount="0" supportSubquery="1" supportAdvancedDrill="1" xr:uid="{B92F7934-FA7B-457E-B960-4DD6C8A66156}">
  <cacheSource type="external" connectionId="4"/>
  <cacheFields count="3">
    <cacheField name="[staff].[Country].[Country]" caption="Country" numFmtId="0" hierarchy="7" level="1">
      <sharedItems containsSemiMixedTypes="0" containsNonDate="0" containsString="0"/>
    </cacheField>
    <cacheField name="[Measures].[Count of Name]" caption="Count of Name" numFmtId="0" hierarchy="16" level="32767"/>
    <cacheField name="[staff].[Department].[Department]" caption="Department" numFmtId="0" hierarchy="5" level="1">
      <sharedItems count="5">
        <s v="Finance"/>
        <s v="HR"/>
        <s v="Procurement"/>
        <s v="Sales"/>
        <s v="Website"/>
      </sharedItems>
    </cacheField>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344.662609027779" backgroundQuery="1" createdVersion="8" refreshedVersion="8" minRefreshableVersion="3" recordCount="0" supportSubquery="1" supportAdvancedDrill="1" xr:uid="{5FE90CC0-3C5E-4854-8346-EFE5BF9029D3}">
  <cacheSource type="external" connectionId="4"/>
  <cacheFields count="3">
    <cacheField name="[staff].[Country].[Country]" caption="Country" numFmtId="0" hierarchy="7" level="1">
      <sharedItems containsSemiMixedTypes="0" containsNonDate="0" containsString="0"/>
    </cacheField>
    <cacheField name="[Measures].[Count of Name]" caption="Count of Name" numFmtId="0" hierarchy="16" level="32767"/>
    <cacheField name="[staff].[Department].[Department]" caption="Department" numFmtId="0" hierarchy="5" level="1">
      <sharedItems count="5">
        <s v="Finance"/>
        <s v="HR"/>
        <s v="Procurement"/>
        <s v="Sales"/>
        <s v="Website"/>
      </sharedItems>
    </cacheField>
  </cacheFields>
  <cacheHierarchies count="1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Deepali Charan"/>
    <x v="0"/>
    <n v="20"/>
    <s v="Average"/>
    <d v="2020-10-18T00:00:00"/>
    <s v="Website"/>
    <n v="112650"/>
    <x v="0"/>
    <n v="3.3452054794520549"/>
  </r>
  <r>
    <s v="Yagna Sujeev"/>
    <x v="1"/>
    <n v="32"/>
    <s v="Above average"/>
    <d v="2021-04-07T00:00:00"/>
    <s v="Website"/>
    <n v="43840"/>
    <x v="0"/>
    <n v="2.8767123287671232"/>
  </r>
  <r>
    <s v="Satyendra Venkatadri"/>
    <x v="0"/>
    <n v="31"/>
    <s v="Average"/>
    <d v="2022-04-12T00:00:00"/>
    <s v="Procurement"/>
    <n v="103550"/>
    <x v="0"/>
    <n v="1.8630136986301369"/>
  </r>
  <r>
    <s v="Madhavdas Buhpathi"/>
    <x v="1"/>
    <n v="32"/>
    <s v="Average"/>
    <d v="2021-05-23T00:00:00"/>
    <s v="HR"/>
    <n v="45510"/>
    <x v="0"/>
    <n v="2.7506849315068491"/>
  </r>
  <r>
    <s v="Sahila Chandrasekhar"/>
    <x v="2"/>
    <n v="37"/>
    <s v="Poor"/>
    <d v="2020-09-11T00:00:00"/>
    <s v="Finance"/>
    <n v="115440"/>
    <x v="0"/>
    <n v="3.4465753424657533"/>
  </r>
  <r>
    <s v="Mirium Seemantini Shivakumar"/>
    <x v="1"/>
    <n v="38"/>
    <s v="Above average"/>
    <d v="2021-03-13T00:00:00"/>
    <s v="Sales"/>
    <n v="56870"/>
    <x v="0"/>
    <n v="2.9452054794520546"/>
  </r>
  <r>
    <s v="Purnendu Vijayarangan"/>
    <x v="1"/>
    <n v="25"/>
    <s v="Average"/>
    <d v="2020-11-09T00:00:00"/>
    <s v="Sales"/>
    <n v="92700"/>
    <x v="0"/>
    <n v="3.2849315068493152"/>
  </r>
  <r>
    <s v="Rukma Vinita"/>
    <x v="2"/>
    <n v="32"/>
    <s v="Average"/>
    <d v="2022-06-01T00:00:00"/>
    <s v="Website"/>
    <n v="91310"/>
    <x v="0"/>
    <n v="1.726027397260274"/>
  </r>
  <r>
    <s v="Yauvani Tarpa"/>
    <x v="0"/>
    <n v="33"/>
    <s v="Average"/>
    <d v="2021-05-08T00:00:00"/>
    <s v="Sales"/>
    <n v="74550"/>
    <x v="0"/>
    <n v="2.7917808219178082"/>
  </r>
  <r>
    <s v="Damayanti Thangavadivelu"/>
    <x v="0"/>
    <n v="25"/>
    <s v="Above average"/>
    <d v="2022-04-14T00:00:00"/>
    <s v="Procurement"/>
    <n v="109190"/>
    <x v="0"/>
    <n v="1.8575342465753424"/>
  </r>
  <r>
    <s v="Manjusri Ruchi"/>
    <x v="1"/>
    <n v="40"/>
    <s v="Average"/>
    <d v="2021-05-04T00:00:00"/>
    <s v="Website"/>
    <n v="104410"/>
    <x v="0"/>
    <n v="2.8027397260273972"/>
  </r>
  <r>
    <s v="Mithil Nadkarni"/>
    <x v="0"/>
    <n v="30"/>
    <s v="Average"/>
    <d v="2021-12-14T00:00:00"/>
    <s v="Finance"/>
    <n v="96800"/>
    <x v="0"/>
    <n v="2.1890410958904107"/>
  </r>
  <r>
    <s v="Ardhendu Abhichandra Jayakar"/>
    <x v="0"/>
    <n v="28"/>
    <s v="Above average"/>
    <d v="2020-05-29T00:00:00"/>
    <s v="Finance"/>
    <n v="48170"/>
    <x v="0"/>
    <n v="3.7342465753424658"/>
  </r>
  <r>
    <s v="Akbar Sorabhjee"/>
    <x v="0"/>
    <n v="21"/>
    <s v="Average"/>
    <d v="2020-07-30T00:00:00"/>
    <s v="Procurement"/>
    <n v="37920"/>
    <x v="0"/>
    <n v="3.5643835616438357"/>
  </r>
  <r>
    <s v="Bandhula Sathyanna"/>
    <x v="0"/>
    <n v="34"/>
    <s v="Average"/>
    <d v="2022-03-22T00:00:00"/>
    <s v="Procurement"/>
    <n v="112650"/>
    <x v="0"/>
    <n v="1.9205479452054794"/>
  </r>
  <r>
    <s v="Daruka Ghazali"/>
    <x v="1"/>
    <n v="34"/>
    <s v="Poor"/>
    <d v="2022-04-09T00:00:00"/>
    <s v="Sales"/>
    <n v="49630"/>
    <x v="0"/>
    <n v="1.8712328767123287"/>
  </r>
  <r>
    <s v="Heer Pennathur"/>
    <x v="0"/>
    <n v="36"/>
    <s v="Average"/>
    <d v="2020-05-07T00:00:00"/>
    <s v="Website"/>
    <n v="118840"/>
    <x v="0"/>
    <n v="3.7945205479452055"/>
  </r>
  <r>
    <s v="Shekhar Eswara"/>
    <x v="0"/>
    <n v="30"/>
    <s v="Average"/>
    <d v="2022-08-16T00:00:00"/>
    <s v="Website"/>
    <n v="69710"/>
    <x v="0"/>
    <n v="1.5178082191780822"/>
  </r>
  <r>
    <s v="Udyan Lanka"/>
    <x v="0"/>
    <n v="20"/>
    <s v="Average"/>
    <d v="2022-05-02T00:00:00"/>
    <s v="Procurement"/>
    <n v="79570"/>
    <x v="0"/>
    <n v="1.8082191780821917"/>
  </r>
  <r>
    <s v="Shreela Ramasubraman"/>
    <x v="1"/>
    <n v="22"/>
    <s v="Above average"/>
    <d v="2021-07-11T00:00:00"/>
    <s v="Procurement"/>
    <n v="76900"/>
    <x v="0"/>
    <n v="2.6164383561643834"/>
  </r>
  <r>
    <s v="Sanchali Shirish"/>
    <x v="0"/>
    <n v="27"/>
    <s v="Average"/>
    <d v="2020-08-30T00:00:00"/>
    <s v="Sales"/>
    <n v="54970"/>
    <x v="0"/>
    <n v="3.4794520547945207"/>
  </r>
  <r>
    <s v="Gangadutt Ragha"/>
    <x v="0"/>
    <n v="37"/>
    <s v="Poor"/>
    <d v="2021-03-22T00:00:00"/>
    <s v="Website"/>
    <n v="88050"/>
    <x v="0"/>
    <n v="2.9205479452054797"/>
  </r>
  <r>
    <s v="Waheeda Vasuman"/>
    <x v="0"/>
    <n v="43"/>
    <s v="Average"/>
    <d v="2021-12-28T00:00:00"/>
    <s v="Sales"/>
    <n v="36040"/>
    <x v="0"/>
    <n v="2.1506849315068495"/>
  </r>
  <r>
    <s v="Nanak Sapna"/>
    <x v="1"/>
    <n v="42"/>
    <s v="Exceptional"/>
    <d v="2022-06-06T00:00:00"/>
    <s v="Procurement"/>
    <n v="75000"/>
    <x v="0"/>
    <n v="1.7123287671232876"/>
  </r>
  <r>
    <s v="Shobhana Samuel"/>
    <x v="0"/>
    <n v="35"/>
    <s v="Average"/>
    <d v="2022-04-15T00:00:00"/>
    <s v="Procurement"/>
    <n v="40400"/>
    <x v="0"/>
    <n v="1.8547945205479452"/>
  </r>
  <r>
    <s v="Amlankusum Rajabhushan"/>
    <x v="0"/>
    <n v="24"/>
    <s v="Average"/>
    <d v="2022-03-05T00:00:00"/>
    <s v="Website"/>
    <n v="100420"/>
    <x v="0"/>
    <n v="1.9671232876712328"/>
  </r>
  <r>
    <s v="Pratigya Rema"/>
    <x v="1"/>
    <n v="31"/>
    <s v="Average"/>
    <d v="2022-02-12T00:00:00"/>
    <s v="Website"/>
    <n v="58100"/>
    <x v="0"/>
    <n v="2.0246575342465754"/>
  </r>
  <r>
    <s v="Ramnath Ravuri"/>
    <x v="1"/>
    <n v="44"/>
    <s v="Average"/>
    <d v="2023-02-28T00:00:00"/>
    <s v="Website"/>
    <n v="114870"/>
    <x v="0"/>
    <n v="0.98082191780821915"/>
  </r>
  <r>
    <s v="Prerana Nishita"/>
    <x v="1"/>
    <n v="32"/>
    <s v="Average"/>
    <d v="2021-12-19T00:00:00"/>
    <s v="Procurement"/>
    <n v="41570"/>
    <x v="0"/>
    <n v="2.1753424657534248"/>
  </r>
  <r>
    <s v="Makshi Vinutha"/>
    <x v="1"/>
    <n v="30"/>
    <s v="Average"/>
    <d v="2022-08-27T00:00:00"/>
    <s v="Procurement"/>
    <n v="112570"/>
    <x v="0"/>
    <n v="1.4876712328767123"/>
  </r>
  <r>
    <s v="Shiuli Sapna"/>
    <x v="0"/>
    <n v="26"/>
    <s v="Average"/>
    <d v="2020-11-29T00:00:00"/>
    <s v="Procurement"/>
    <n v="47360"/>
    <x v="0"/>
    <n v="3.2301369863013698"/>
  </r>
  <r>
    <s v="Agrata Rajarama"/>
    <x v="1"/>
    <n v="21"/>
    <s v="Average"/>
    <d v="2021-03-01T00:00:00"/>
    <s v="Finance"/>
    <n v="65920"/>
    <x v="0"/>
    <n v="2.978082191780822"/>
  </r>
  <r>
    <s v="Vasu Nandin"/>
    <x v="1"/>
    <n v="28"/>
    <s v="Average"/>
    <d v="2022-01-10T00:00:00"/>
    <s v="Procurement"/>
    <n v="99970"/>
    <x v="0"/>
    <n v="2.1150684931506851"/>
  </r>
  <r>
    <s v="Bhuvan Pals"/>
    <x v="1"/>
    <n v="25"/>
    <s v="Above average"/>
    <d v="2022-03-13T00:00:00"/>
    <s v="Website"/>
    <n v="80700"/>
    <x v="0"/>
    <n v="1.9452054794520548"/>
  </r>
  <r>
    <s v="Gumwant Veera"/>
    <x v="0"/>
    <n v="24"/>
    <s v="Poor"/>
    <d v="2021-06-28T00:00:00"/>
    <s v="Finance"/>
    <n v="52610"/>
    <x v="0"/>
    <n v="2.6520547945205482"/>
  </r>
  <r>
    <s v="Narois Motiwala"/>
    <x v="0"/>
    <n v="29"/>
    <s v="Poor"/>
    <d v="2020-10-15T00:00:00"/>
    <s v="Website"/>
    <n v="112110"/>
    <x v="0"/>
    <n v="3.3534246575342466"/>
  </r>
  <r>
    <s v="Anjushri Chandiramani"/>
    <x v="1"/>
    <n v="27"/>
    <s v="Average"/>
    <d v="2020-08-18T00:00:00"/>
    <s v="HR"/>
    <n v="119110"/>
    <x v="0"/>
    <n v="3.5123287671232877"/>
  </r>
  <r>
    <s v="Krishnakanta Vellanki"/>
    <x v="0"/>
    <n v="22"/>
    <s v="Above average"/>
    <d v="2021-07-07T00:00:00"/>
    <s v="Sales"/>
    <n v="112780"/>
    <x v="0"/>
    <n v="2.6273972602739728"/>
  </r>
  <r>
    <s v="Dhruv Manjunath"/>
    <x v="1"/>
    <n v="36"/>
    <s v="Average"/>
    <d v="2020-07-11T00:00:00"/>
    <s v="Procurement"/>
    <n v="114890"/>
    <x v="0"/>
    <n v="3.6164383561643834"/>
  </r>
  <r>
    <s v="Vanmala Shriharsha"/>
    <x v="0"/>
    <n v="27"/>
    <s v="Average"/>
    <d v="2021-11-06T00:00:00"/>
    <s v="Finance"/>
    <n v="48980"/>
    <x v="0"/>
    <n v="2.2931506849315069"/>
  </r>
  <r>
    <s v="Sameer Shashank Sapra"/>
    <x v="0"/>
    <n v="21"/>
    <s v="Average"/>
    <d v="2020-12-15T00:00:00"/>
    <s v="HR"/>
    <n v="75880"/>
    <x v="0"/>
    <n v="3.1863013698630138"/>
  </r>
  <r>
    <s v="Anumati Shyamari Meherhomji"/>
    <x v="1"/>
    <n v="28"/>
    <s v="Average"/>
    <d v="2021-04-10T00:00:00"/>
    <s v="Sales"/>
    <n v="53240"/>
    <x v="0"/>
    <n v="2.8684931506849316"/>
  </r>
  <r>
    <s v="Tarala Vishaal"/>
    <x v="1"/>
    <n v="34"/>
    <s v="Average"/>
    <d v="2021-07-20T00:00:00"/>
    <s v="Finance"/>
    <n v="85000"/>
    <x v="0"/>
    <n v="2.591780821917808"/>
  </r>
  <r>
    <s v="Shubhra Potla"/>
    <x v="1"/>
    <n v="21"/>
    <s v="Average"/>
    <d v="2022-02-27T00:00:00"/>
    <s v="Website"/>
    <n v="33920"/>
    <x v="0"/>
    <n v="1.9835616438356165"/>
  </r>
  <r>
    <s v="Hemavati Muthiah"/>
    <x v="1"/>
    <n v="33"/>
    <s v="Average"/>
    <d v="2021-02-26T00:00:00"/>
    <s v="Website"/>
    <n v="75280"/>
    <x v="0"/>
    <n v="2.9863013698630136"/>
  </r>
  <r>
    <s v="Krittika Gaekwad"/>
    <x v="1"/>
    <n v="34"/>
    <s v="Average"/>
    <d v="2022-02-02T00:00:00"/>
    <s v="Finance"/>
    <n v="58940"/>
    <x v="0"/>
    <n v="2.0520547945205481"/>
  </r>
  <r>
    <s v="Shevantilal Muppala"/>
    <x v="1"/>
    <n v="28"/>
    <s v="Average"/>
    <d v="2021-08-17T00:00:00"/>
    <s v="Procurement"/>
    <n v="104770"/>
    <x v="0"/>
    <n v="2.515068493150685"/>
  </r>
  <r>
    <s v="Shattesh Utpat"/>
    <x v="0"/>
    <n v="21"/>
    <s v="Average"/>
    <d v="2022-05-20T00:00:00"/>
    <s v="Procurement"/>
    <n v="57090"/>
    <x v="0"/>
    <n v="1.7589041095890412"/>
  </r>
  <r>
    <s v="Kamalakshi Mukundan"/>
    <x v="0"/>
    <n v="27"/>
    <s v="Above average"/>
    <d v="2020-12-09T00:00:00"/>
    <s v="Finance"/>
    <n v="91650"/>
    <x v="0"/>
    <n v="3.2027397260273971"/>
  </r>
  <r>
    <s v="Chandana Sannidhi Surnilla"/>
    <x v="0"/>
    <n v="42"/>
    <s v="Poor"/>
    <d v="2022-04-19T00:00:00"/>
    <s v="Finance"/>
    <n v="70270"/>
    <x v="0"/>
    <n v="1.8438356164383563"/>
  </r>
  <r>
    <s v="Indu Varada Sumedh"/>
    <x v="1"/>
    <n v="28"/>
    <s v="Average"/>
    <d v="2020-10-20T00:00:00"/>
    <s v="Finance"/>
    <n v="75970"/>
    <x v="0"/>
    <n v="3.3397260273972602"/>
  </r>
  <r>
    <s v="Karuna Pashupathy"/>
    <x v="2"/>
    <n v="27"/>
    <s v="Above average"/>
    <d v="2021-01-16T00:00:00"/>
    <s v="Website"/>
    <n v="90700"/>
    <x v="0"/>
    <n v="3.0986301369863014"/>
  </r>
  <r>
    <s v="Mardav Ramaswami"/>
    <x v="0"/>
    <n v="30"/>
    <s v="Average"/>
    <d v="2022-02-15T00:00:00"/>
    <s v="Procurement"/>
    <n v="60570"/>
    <x v="0"/>
    <n v="2.0164383561643837"/>
  </r>
  <r>
    <s v="Sarayu Ragunathan"/>
    <x v="0"/>
    <n v="33"/>
    <s v="Average"/>
    <d v="2020-09-29T00:00:00"/>
    <s v="Procurement"/>
    <n v="115920"/>
    <x v="0"/>
    <n v="3.3972602739726026"/>
  </r>
  <r>
    <s v="Kevalkumar Solanki"/>
    <x v="1"/>
    <n v="33"/>
    <s v="Average"/>
    <d v="2020-06-24T00:00:00"/>
    <s v="Finance"/>
    <n v="65360"/>
    <x v="0"/>
    <n v="3.6630136986301371"/>
  </r>
  <r>
    <s v="Upendra Swati"/>
    <x v="2"/>
    <n v="30"/>
    <s v="Average"/>
    <d v="2021-12-05T00:00:00"/>
    <s v="Finance"/>
    <n v="64000"/>
    <x v="0"/>
    <n v="2.2136986301369861"/>
  </r>
  <r>
    <s v="Deepit Ranjana"/>
    <x v="1"/>
    <n v="34"/>
    <s v="Average"/>
    <d v="2021-07-06T00:00:00"/>
    <s v="Finance"/>
    <n v="92450"/>
    <x v="0"/>
    <n v="2.6301369863013697"/>
  </r>
  <r>
    <s v="Amal Nimesh"/>
    <x v="0"/>
    <n v="31"/>
    <s v="Average"/>
    <d v="2021-09-11T00:00:00"/>
    <s v="Website"/>
    <n v="48950"/>
    <x v="0"/>
    <n v="2.4465753424657533"/>
  </r>
  <r>
    <s v="Kunja Prashanta Vibha"/>
    <x v="1"/>
    <n v="27"/>
    <s v="Average"/>
    <d v="2022-03-05T00:00:00"/>
    <s v="Website"/>
    <n v="83750"/>
    <x v="0"/>
    <n v="1.9671232876712328"/>
  </r>
  <r>
    <s v="Godavari Veena"/>
    <x v="1"/>
    <n v="40"/>
    <s v="Average"/>
    <d v="2021-03-21T00:00:00"/>
    <s v="Website"/>
    <n v="87620"/>
    <x v="0"/>
    <n v="2.9232876712328766"/>
  </r>
  <r>
    <s v="Devasree Fullara Saurin"/>
    <x v="1"/>
    <n v="20"/>
    <s v="Poor"/>
    <d v="2021-10-07T00:00:00"/>
    <s v="Sales"/>
    <n v="68900"/>
    <x v="0"/>
    <n v="2.3753424657534246"/>
  </r>
  <r>
    <s v="Geena Raghavanpillai"/>
    <x v="0"/>
    <n v="32"/>
    <s v="Average"/>
    <d v="2021-07-26T00:00:00"/>
    <s v="Sales"/>
    <n v="53540"/>
    <x v="0"/>
    <n v="2.5753424657534247"/>
  </r>
  <r>
    <s v="Rupak Mehra"/>
    <x v="0"/>
    <n v="28"/>
    <s v="Very poor"/>
    <d v="2022-07-16T00:00:00"/>
    <s v="Sales"/>
    <n v="43510"/>
    <x v="0"/>
    <n v="1.6027397260273972"/>
  </r>
  <r>
    <s v="Sawini Chandan"/>
    <x v="1"/>
    <n v="38"/>
    <s v="Exceptional"/>
    <d v="2021-04-30T00:00:00"/>
    <s v="Sales"/>
    <n v="109160"/>
    <x v="0"/>
    <n v="2.8136986301369862"/>
  </r>
  <r>
    <s v="Baruna Ogale"/>
    <x v="0"/>
    <n v="40"/>
    <s v="Average"/>
    <d v="2021-01-08T00:00:00"/>
    <s v="Procurement"/>
    <n v="99750"/>
    <x v="0"/>
    <n v="3.1205479452054794"/>
  </r>
  <r>
    <s v="Jagajeet Viraj"/>
    <x v="1"/>
    <n v="31"/>
    <s v="Average"/>
    <d v="2020-09-10T00:00:00"/>
    <s v="Website"/>
    <n v="41980"/>
    <x v="0"/>
    <n v="3.4493150684931506"/>
  </r>
  <r>
    <s v="Kulbhushan Moorthy"/>
    <x v="0"/>
    <n v="36"/>
    <s v="Average"/>
    <d v="2021-03-17T00:00:00"/>
    <s v="Finance"/>
    <n v="71380"/>
    <x v="0"/>
    <n v="2.9342465753424656"/>
  </r>
  <r>
    <s v="Ilesh Dasgupta"/>
    <x v="0"/>
    <n v="27"/>
    <s v="Very poor"/>
    <d v="2021-12-17T00:00:00"/>
    <s v="Procurement"/>
    <n v="113280"/>
    <x v="0"/>
    <n v="2.1808219178082191"/>
  </r>
  <r>
    <s v="Madhumati Gazala Soumitra"/>
    <x v="1"/>
    <n v="33"/>
    <s v="Average"/>
    <d v="2022-07-05T00:00:00"/>
    <s v="Finance"/>
    <n v="86570"/>
    <x v="0"/>
    <n v="1.6328767123287671"/>
  </r>
  <r>
    <s v="Chitrasen Laul"/>
    <x v="0"/>
    <n v="26"/>
    <s v="Average"/>
    <d v="2021-06-03T00:00:00"/>
    <s v="Procurement"/>
    <n v="53540"/>
    <x v="0"/>
    <n v="2.7205479452054795"/>
  </r>
  <r>
    <s v="Jaishree Atasi Yavatkar"/>
    <x v="0"/>
    <n v="37"/>
    <s v="Average"/>
    <d v="2022-03-20T00:00:00"/>
    <s v="Website"/>
    <n v="69070"/>
    <x v="0"/>
    <n v="1.9260273972602739"/>
  </r>
  <r>
    <s v="Kantimoy Pritish"/>
    <x v="1"/>
    <n v="30"/>
    <s v="Poor"/>
    <d v="2021-05-12T00:00:00"/>
    <s v="Finance"/>
    <n v="67910"/>
    <x v="0"/>
    <n v="2.7808219178082192"/>
  </r>
  <r>
    <s v="Rameshwari Chikodi"/>
    <x v="0"/>
    <n v="30"/>
    <s v="Average"/>
    <d v="2021-01-18T00:00:00"/>
    <s v="Website"/>
    <n v="69120"/>
    <x v="0"/>
    <n v="3.0931506849315067"/>
  </r>
  <r>
    <s v="Lalit Kothari"/>
    <x v="1"/>
    <n v="34"/>
    <s v="Average"/>
    <d v="2021-12-20T00:00:00"/>
    <s v="Finance"/>
    <n v="60130"/>
    <x v="0"/>
    <n v="2.1726027397260275"/>
  </r>
  <r>
    <s v="Sahas Sanabhi Shrikant"/>
    <x v="0"/>
    <n v="23"/>
    <s v="Average"/>
    <d v="2021-07-01T00:00:00"/>
    <s v="Procurement"/>
    <n v="106460"/>
    <x v="0"/>
    <n v="2.6438356164383561"/>
  </r>
  <r>
    <s v="Kaishori Harathi Kateel"/>
    <x v="1"/>
    <n v="37"/>
    <s v="Average"/>
    <d v="2021-07-12T00:00:00"/>
    <s v="HR"/>
    <n v="118100"/>
    <x v="0"/>
    <n v="2.6136986301369864"/>
  </r>
  <r>
    <s v="Rushil Kripa"/>
    <x v="1"/>
    <n v="36"/>
    <s v="Average"/>
    <d v="2021-09-29T00:00:00"/>
    <s v="Procurement"/>
    <n v="78390"/>
    <x v="0"/>
    <n v="2.3972602739726026"/>
  </r>
  <r>
    <s v="Sarojini Naueshwara"/>
    <x v="1"/>
    <n v="30"/>
    <s v="Average"/>
    <d v="2022-08-16T00:00:00"/>
    <s v="Procurement"/>
    <n v="114180"/>
    <x v="0"/>
    <n v="1.5178082191780822"/>
  </r>
  <r>
    <s v="Sartaj Probal"/>
    <x v="1"/>
    <n v="28"/>
    <s v="Average"/>
    <d v="2022-01-29T00:00:00"/>
    <s v="Procurement"/>
    <n v="104120"/>
    <x v="0"/>
    <n v="2.0630136986301371"/>
  </r>
  <r>
    <s v="Mahindra Sreedharan"/>
    <x v="0"/>
    <n v="30"/>
    <s v="Average"/>
    <d v="2022-03-20T00:00:00"/>
    <s v="Procurement"/>
    <n v="67950"/>
    <x v="0"/>
    <n v="1.9260273972602739"/>
  </r>
  <r>
    <s v="Suchira Bhanupriya Tapti"/>
    <x v="1"/>
    <n v="29"/>
    <s v="Average"/>
    <d v="2020-05-11T00:00:00"/>
    <s v="Website"/>
    <n v="34980"/>
    <x v="0"/>
    <n v="3.7835616438356166"/>
  </r>
  <r>
    <s v="Fullara Sushanti Mokate"/>
    <x v="1"/>
    <n v="24"/>
    <s v="Average"/>
    <d v="2020-09-13T00:00:00"/>
    <s v="Website"/>
    <n v="62780"/>
    <x v="0"/>
    <n v="3.441095890410959"/>
  </r>
  <r>
    <s v="Hridaynath Tendulkar"/>
    <x v="0"/>
    <n v="20"/>
    <s v="Average"/>
    <d v="2021-07-20T00:00:00"/>
    <s v="Website"/>
    <n v="107700"/>
    <x v="0"/>
    <n v="2.591780821917808"/>
  </r>
  <r>
    <s v="Abhaya Priyavardhan"/>
    <x v="0"/>
    <n v="25"/>
    <s v="Average"/>
    <d v="2021-05-06T00:00:00"/>
    <s v="Sales"/>
    <n v="65700"/>
    <x v="0"/>
    <n v="2.7972602739726029"/>
  </r>
  <r>
    <s v="Ayog Chakrabarti"/>
    <x v="1"/>
    <n v="33"/>
    <s v="Very poor"/>
    <d v="2021-04-27T00:00:00"/>
    <s v="Website"/>
    <n v="75480"/>
    <x v="0"/>
    <n v="2.8219178082191783"/>
  </r>
  <r>
    <s v="Pragya Nilufar"/>
    <x v="0"/>
    <n v="33"/>
    <s v="Average"/>
    <d v="2021-09-09T00:00:00"/>
    <s v="Website"/>
    <n v="53870"/>
    <x v="0"/>
    <n v="2.452054794520548"/>
  </r>
  <r>
    <s v="Shulabh Qutub Sundaramoorthy"/>
    <x v="1"/>
    <n v="36"/>
    <s v="Average"/>
    <d v="2021-08-25T00:00:00"/>
    <s v="Sales"/>
    <n v="78540"/>
    <x v="0"/>
    <n v="2.493150684931507"/>
  </r>
  <r>
    <s v="Vinanti Choudhari"/>
    <x v="0"/>
    <n v="19"/>
    <s v="Average"/>
    <d v="2021-01-22T00:00:00"/>
    <s v="Procurement"/>
    <n v="58960"/>
    <x v="0"/>
    <n v="3.0821917808219177"/>
  </r>
  <r>
    <s v="Ranajay Kailashnath Richa"/>
    <x v="0"/>
    <n v="46"/>
    <s v="Average"/>
    <d v="2022-05-16T00:00:00"/>
    <s v="Procurement"/>
    <n v="70610"/>
    <x v="0"/>
    <n v="1.7698630136986302"/>
  </r>
  <r>
    <s v="Asija Pothireddy"/>
    <x v="0"/>
    <n v="33"/>
    <s v="Average"/>
    <d v="2020-12-16T00:00:00"/>
    <s v="Finance"/>
    <n v="59430"/>
    <x v="0"/>
    <n v="3.1835616438356165"/>
  </r>
  <r>
    <s v="Piyali Mahanthapa"/>
    <x v="0"/>
    <n v="33"/>
    <s v="Above average"/>
    <d v="2022-03-20T00:00:00"/>
    <s v="Procurement"/>
    <n v="48530"/>
    <x v="0"/>
    <n v="1.9260273972602739"/>
  </r>
  <r>
    <s v="Sukhdev Nageshwar"/>
    <x v="1"/>
    <n v="33"/>
    <s v="Average"/>
    <d v="2020-10-25T00:00:00"/>
    <s v="Website"/>
    <n v="96140"/>
    <x v="0"/>
    <n v="3.3260273972602739"/>
  </r>
  <r>
    <s v="Lindy Guillet"/>
    <x v="0"/>
    <n v="22"/>
    <s v="Above average"/>
    <d v="2021-09-07T00:00:00"/>
    <s v="Sales"/>
    <n v="112780"/>
    <x v="1"/>
    <n v="2.4575342465753423"/>
  </r>
  <r>
    <s v="Ambros Murthwaite"/>
    <x v="0"/>
    <n v="46"/>
    <s v="Average"/>
    <d v="2022-07-16T00:00:00"/>
    <s v="Procurement"/>
    <n v="70610"/>
    <x v="1"/>
    <n v="1.6027397260273972"/>
  </r>
  <r>
    <s v="Tatum Hush"/>
    <x v="1"/>
    <n v="28"/>
    <s v="Average"/>
    <d v="2021-06-10T00:00:00"/>
    <s v="Sales"/>
    <n v="53240"/>
    <x v="1"/>
    <n v="2.7013698630136984"/>
  </r>
  <r>
    <s v="Benny Karolovsky"/>
    <x v="2"/>
    <n v="37"/>
    <s v="Poor"/>
    <d v="2020-11-11T00:00:00"/>
    <s v="Finance"/>
    <n v="115440"/>
    <x v="1"/>
    <n v="3.2794520547945205"/>
  </r>
  <r>
    <s v="Hoyt D'Alesco"/>
    <x v="0"/>
    <n v="32"/>
    <s v="Average"/>
    <d v="2021-09-26T00:00:00"/>
    <s v="Sales"/>
    <n v="53540"/>
    <x v="1"/>
    <n v="2.4054794520547946"/>
  </r>
  <r>
    <s v="Halimeda Kuscha"/>
    <x v="1"/>
    <n v="30"/>
    <s v="Average"/>
    <d v="2022-10-27T00:00:00"/>
    <s v="Procurement"/>
    <n v="112570"/>
    <x v="1"/>
    <n v="1.3205479452054794"/>
  </r>
  <r>
    <s v="Erin Androsik"/>
    <x v="0"/>
    <n v="33"/>
    <s v="Above average"/>
    <d v="2022-05-20T00:00:00"/>
    <s v="Procurement"/>
    <n v="48530"/>
    <x v="1"/>
    <n v="1.7589041095890412"/>
  </r>
  <r>
    <s v="Vic Radolf"/>
    <x v="1"/>
    <n v="24"/>
    <s v="Average"/>
    <d v="2020-11-13T00:00:00"/>
    <s v="Website"/>
    <n v="62780"/>
    <x v="1"/>
    <n v="3.2739726027397262"/>
  </r>
  <r>
    <s v="William Reeveley"/>
    <x v="0"/>
    <n v="33"/>
    <s v="Average"/>
    <d v="2021-11-09T00:00:00"/>
    <s v="Website"/>
    <n v="53870"/>
    <x v="1"/>
    <n v="2.2849315068493152"/>
  </r>
  <r>
    <s v="Ewart Laphorn"/>
    <x v="1"/>
    <n v="27"/>
    <s v="Average"/>
    <d v="2020-10-18T00:00:00"/>
    <s v="HR"/>
    <n v="119110"/>
    <x v="1"/>
    <n v="3.3452054794520549"/>
  </r>
  <r>
    <s v="Bev Lashley"/>
    <x v="0"/>
    <n v="29"/>
    <s v="Poor"/>
    <d v="2020-12-15T00:00:00"/>
    <s v="Website"/>
    <n v="112110"/>
    <x v="1"/>
    <n v="3.1863013698630138"/>
  </r>
  <r>
    <s v="Kath Bletsoe"/>
    <x v="0"/>
    <n v="25"/>
    <s v="Average"/>
    <d v="2021-07-06T00:00:00"/>
    <s v="Sales"/>
    <n v="65700"/>
    <x v="1"/>
    <n v="2.6301369863013697"/>
  </r>
  <r>
    <s v="Murry Dryburgh"/>
    <x v="0"/>
    <n v="37"/>
    <s v="Average"/>
    <d v="2022-05-20T00:00:00"/>
    <s v="Website"/>
    <n v="69070"/>
    <x v="1"/>
    <n v="1.7589041095890412"/>
  </r>
  <r>
    <s v="Kaine Padly"/>
    <x v="0"/>
    <n v="20"/>
    <s v="Average"/>
    <d v="2021-09-20T00:00:00"/>
    <s v="Website"/>
    <n v="107700"/>
    <x v="1"/>
    <n v="2.4219178082191779"/>
  </r>
  <r>
    <s v="Kassi Jonson"/>
    <x v="1"/>
    <n v="32"/>
    <s v="Above average"/>
    <d v="2021-06-07T00:00:00"/>
    <s v="Website"/>
    <n v="43840"/>
    <x v="1"/>
    <n v="2.7095890410958905"/>
  </r>
  <r>
    <s v="Simon Kembery"/>
    <x v="0"/>
    <n v="40"/>
    <s v="Average"/>
    <d v="2021-03-08T00:00:00"/>
    <s v="Procurement"/>
    <n v="99750"/>
    <x v="1"/>
    <n v="2.9589041095890409"/>
  </r>
  <r>
    <s v="Orton Livick"/>
    <x v="0"/>
    <n v="21"/>
    <s v="Average"/>
    <d v="2020-09-30T00:00:00"/>
    <s v="Procurement"/>
    <n v="37920"/>
    <x v="1"/>
    <n v="3.3945205479452056"/>
  </r>
  <r>
    <s v="Kelci Walkden"/>
    <x v="0"/>
    <n v="21"/>
    <s v="Average"/>
    <d v="2022-07-20T00:00:00"/>
    <s v="Procurement"/>
    <n v="57090"/>
    <x v="1"/>
    <n v="1.5917808219178082"/>
  </r>
  <r>
    <s v="Dotty Strutley"/>
    <x v="1"/>
    <n v="31"/>
    <s v="Average"/>
    <d v="2020-11-10T00:00:00"/>
    <s v="Website"/>
    <n v="41980"/>
    <x v="1"/>
    <n v="3.2821917808219179"/>
  </r>
  <r>
    <s v="Shari McNee"/>
    <x v="0"/>
    <n v="21"/>
    <s v="Average"/>
    <d v="2021-02-15T00:00:00"/>
    <s v="HR"/>
    <n v="75880"/>
    <x v="1"/>
    <n v="3.0164383561643837"/>
  </r>
  <r>
    <s v="Oby Sorrel"/>
    <x v="1"/>
    <n v="34"/>
    <s v="Average"/>
    <d v="2022-04-02T00:00:00"/>
    <s v="Finance"/>
    <n v="58940"/>
    <x v="1"/>
    <n v="1.8904109589041096"/>
  </r>
  <r>
    <s v="Husein Augar"/>
    <x v="1"/>
    <n v="30"/>
    <s v="Poor"/>
    <d v="2021-07-12T00:00:00"/>
    <s v="Finance"/>
    <n v="67910"/>
    <x v="1"/>
    <n v="2.6136986301369864"/>
  </r>
  <r>
    <s v="Brien Boise"/>
    <x v="1"/>
    <n v="31"/>
    <s v="Average"/>
    <d v="2022-04-12T00:00:00"/>
    <s v="Website"/>
    <n v="58100"/>
    <x v="1"/>
    <n v="1.8630136986301369"/>
  </r>
  <r>
    <s v="Esmaria Denecamp"/>
    <x v="0"/>
    <n v="27"/>
    <s v="Average"/>
    <d v="2022-01-06T00:00:00"/>
    <s v="Finance"/>
    <n v="48980"/>
    <x v="1"/>
    <n v="2.1260273972602741"/>
  </r>
  <r>
    <s v="Curtice Advani"/>
    <x v="2"/>
    <n v="30"/>
    <s v="Average"/>
    <d v="2022-02-05T00:00:00"/>
    <s v="Finance"/>
    <n v="64000"/>
    <x v="1"/>
    <n v="2.043835616438356"/>
  </r>
  <r>
    <s v="Barr Faughny"/>
    <x v="1"/>
    <n v="42"/>
    <s v="Exceptional"/>
    <d v="2022-08-06T00:00:00"/>
    <s v="Procurement"/>
    <n v="75000"/>
    <x v="1"/>
    <n v="1.5452054794520549"/>
  </r>
  <r>
    <s v="Merrilee Plenty"/>
    <x v="1"/>
    <n v="40"/>
    <s v="Average"/>
    <d v="2021-05-21T00:00:00"/>
    <s v="Website"/>
    <n v="87620"/>
    <x v="1"/>
    <n v="2.7561643835616438"/>
  </r>
  <r>
    <s v="Niall Selesnick"/>
    <x v="1"/>
    <n v="29"/>
    <s v="Average"/>
    <d v="2020-07-11T00:00:00"/>
    <s v="Website"/>
    <n v="34980"/>
    <x v="1"/>
    <n v="3.6164383561643834"/>
  </r>
  <r>
    <s v="Beverie Moffet"/>
    <x v="1"/>
    <n v="28"/>
    <s v="Average"/>
    <d v="2020-12-20T00:00:00"/>
    <s v="Finance"/>
    <n v="75970"/>
    <x v="1"/>
    <n v="3.1726027397260275"/>
  </r>
  <r>
    <s v="Jehu Rudeforth"/>
    <x v="1"/>
    <n v="34"/>
    <s v="Average"/>
    <d v="2022-02-20T00:00:00"/>
    <s v="Finance"/>
    <n v="60130"/>
    <x v="1"/>
    <n v="2.0027397260273974"/>
  </r>
  <r>
    <s v="Camilla Castle"/>
    <x v="1"/>
    <n v="33"/>
    <s v="Very poor"/>
    <d v="2021-06-27T00:00:00"/>
    <s v="Website"/>
    <n v="75480"/>
    <x v="1"/>
    <n v="2.6547945205479451"/>
  </r>
  <r>
    <s v="Roddy Speechley"/>
    <x v="0"/>
    <n v="33"/>
    <s v="Average"/>
    <d v="2020-11-29T00:00:00"/>
    <s v="Procurement"/>
    <n v="115920"/>
    <x v="1"/>
    <n v="3.2301369863013698"/>
  </r>
  <r>
    <s v="Gray Seamon"/>
    <x v="1"/>
    <n v="36"/>
    <s v="Average"/>
    <d v="2021-10-25T00:00:00"/>
    <s v="Sales"/>
    <n v="78540"/>
    <x v="1"/>
    <n v="2.3260273972602739"/>
  </r>
  <r>
    <s v="Madelene Upcott"/>
    <x v="0"/>
    <n v="25"/>
    <s v="Above average"/>
    <d v="2022-06-14T00:00:00"/>
    <s v="Procurement"/>
    <n v="109190"/>
    <x v="1"/>
    <n v="1.6904109589041096"/>
  </r>
  <r>
    <s v="Violante Courtonne"/>
    <x v="1"/>
    <n v="34"/>
    <s v="Poor"/>
    <d v="2022-06-09T00:00:00"/>
    <s v="Sales"/>
    <n v="49630"/>
    <x v="1"/>
    <n v="1.704109589041096"/>
  </r>
  <r>
    <s v="Bernie Gorges"/>
    <x v="1"/>
    <n v="28"/>
    <s v="Average"/>
    <d v="2022-03-10T00:00:00"/>
    <s v="Procurement"/>
    <n v="99970"/>
    <x v="1"/>
    <n v="1.9534246575342467"/>
  </r>
  <r>
    <s v="Torrance Collier"/>
    <x v="1"/>
    <n v="33"/>
    <s v="Average"/>
    <d v="2020-12-25T00:00:00"/>
    <s v="Website"/>
    <n v="96140"/>
    <x v="1"/>
    <n v="3.1589041095890411"/>
  </r>
  <r>
    <s v="Dyna Doucette"/>
    <x v="0"/>
    <n v="31"/>
    <s v="Average"/>
    <d v="2022-06-12T00:00:00"/>
    <s v="Procurement"/>
    <n v="103550"/>
    <x v="1"/>
    <n v="1.6958904109589041"/>
  </r>
  <r>
    <s v="Gunar Cockshoot"/>
    <x v="0"/>
    <n v="31"/>
    <s v="Average"/>
    <d v="2021-11-11T00:00:00"/>
    <s v="Website"/>
    <n v="48950"/>
    <x v="1"/>
    <n v="2.2794520547945205"/>
  </r>
  <r>
    <s v="Kaye Crocroft"/>
    <x v="0"/>
    <n v="24"/>
    <s v="Poor"/>
    <d v="2021-08-28T00:00:00"/>
    <s v="Finance"/>
    <n v="52610"/>
    <x v="1"/>
    <n v="2.484931506849315"/>
  </r>
  <r>
    <s v="Allene Gobbet"/>
    <x v="1"/>
    <n v="36"/>
    <s v="Average"/>
    <d v="2021-11-29T00:00:00"/>
    <s v="Procurement"/>
    <n v="78390"/>
    <x v="1"/>
    <n v="2.2301369863013698"/>
  </r>
  <r>
    <s v="Sibyl Dunkirk"/>
    <x v="1"/>
    <n v="33"/>
    <s v="Average"/>
    <d v="2022-09-05T00:00:00"/>
    <s v="Finance"/>
    <n v="86570"/>
    <x v="1"/>
    <n v="1.463013698630137"/>
  </r>
  <r>
    <s v="Agnes Collicott"/>
    <x v="1"/>
    <n v="27"/>
    <s v="Average"/>
    <d v="2022-05-05T00:00:00"/>
    <s v="Website"/>
    <n v="83750"/>
    <x v="1"/>
    <n v="1.8"/>
  </r>
  <r>
    <s v="Leilah Yesinin"/>
    <x v="1"/>
    <n v="34"/>
    <s v="Average"/>
    <d v="2021-09-06T00:00:00"/>
    <s v="Finance"/>
    <n v="92450"/>
    <x v="1"/>
    <n v="2.4602739726027396"/>
  </r>
  <r>
    <s v="Mollie Hanway"/>
    <x v="0"/>
    <n v="20"/>
    <s v="Average"/>
    <d v="2020-12-18T00:00:00"/>
    <s v="Website"/>
    <n v="112650"/>
    <x v="1"/>
    <n v="3.1780821917808217"/>
  </r>
  <r>
    <s v="Kellsie Waby"/>
    <x v="0"/>
    <n v="20"/>
    <s v="Average"/>
    <d v="2022-07-02T00:00:00"/>
    <s v="Procurement"/>
    <n v="79570"/>
    <x v="1"/>
    <n v="1.6410958904109589"/>
  </r>
  <r>
    <s v="Hyacinthie Braybrooke"/>
    <x v="1"/>
    <n v="20"/>
    <s v="Poor"/>
    <d v="2021-12-07T00:00:00"/>
    <s v="Sales"/>
    <n v="68900"/>
    <x v="1"/>
    <n v="2.2082191780821918"/>
  </r>
  <r>
    <s v="Van Tuxwell"/>
    <x v="1"/>
    <n v="25"/>
    <s v="Above average"/>
    <d v="2022-05-13T00:00:00"/>
    <s v="Website"/>
    <n v="80700"/>
    <x v="1"/>
    <n v="1.7780821917808218"/>
  </r>
  <r>
    <s v="Lilyan Klimpt"/>
    <x v="0"/>
    <n v="19"/>
    <s v="Average"/>
    <d v="2021-03-22T00:00:00"/>
    <s v="Procurement"/>
    <n v="58960"/>
    <x v="1"/>
    <n v="2.9205479452054797"/>
  </r>
  <r>
    <s v="Tawnya Tickel"/>
    <x v="0"/>
    <n v="36"/>
    <s v="Average"/>
    <d v="2020-07-07T00:00:00"/>
    <s v="Website"/>
    <n v="118840"/>
    <x v="1"/>
    <n v="3.6273972602739728"/>
  </r>
  <r>
    <s v="Jan Morforth"/>
    <x v="0"/>
    <n v="28"/>
    <s v="Above average"/>
    <d v="2020-07-29T00:00:00"/>
    <s v="Finance"/>
    <n v="48170"/>
    <x v="1"/>
    <n v="3.5671232876712327"/>
  </r>
  <r>
    <s v="Florinda Crace"/>
    <x v="1"/>
    <n v="32"/>
    <s v="Average"/>
    <d v="2021-07-23T00:00:00"/>
    <s v="HR"/>
    <n v="45510"/>
    <x v="1"/>
    <n v="2.5835616438356164"/>
  </r>
  <r>
    <s v="Tracy Renad"/>
    <x v="1"/>
    <n v="36"/>
    <s v="Average"/>
    <d v="2020-09-11T00:00:00"/>
    <s v="Procurement"/>
    <n v="114890"/>
    <x v="1"/>
    <n v="3.4465753424657533"/>
  </r>
  <r>
    <s v="Myer McCory"/>
    <x v="0"/>
    <n v="30"/>
    <s v="Average"/>
    <d v="2022-10-16T00:00:00"/>
    <s v="Website"/>
    <n v="69710"/>
    <x v="1"/>
    <n v="1.3506849315068492"/>
  </r>
  <r>
    <s v="Bennie Pepis"/>
    <x v="0"/>
    <n v="36"/>
    <s v="Average"/>
    <d v="2021-05-17T00:00:00"/>
    <s v="Finance"/>
    <n v="71380"/>
    <x v="1"/>
    <n v="2.7671232876712328"/>
  </r>
  <r>
    <s v="Rafaelita Blaksland"/>
    <x v="1"/>
    <n v="38"/>
    <s v="Exceptional"/>
    <d v="2021-06-30T00:00:00"/>
    <s v="Sales"/>
    <n v="109160"/>
    <x v="1"/>
    <n v="2.6465753424657534"/>
  </r>
  <r>
    <s v="Mahalia Larcher"/>
    <x v="0"/>
    <n v="27"/>
    <s v="Very poor"/>
    <d v="2022-02-17T00:00:00"/>
    <s v="Procurement"/>
    <n v="113280"/>
    <x v="1"/>
    <n v="2.010958904109589"/>
  </r>
  <r>
    <s v="Andria Kimpton"/>
    <x v="0"/>
    <n v="30"/>
    <s v="Average"/>
    <d v="2021-03-18T00:00:00"/>
    <s v="Website"/>
    <n v="69120"/>
    <x v="1"/>
    <n v="2.9315068493150687"/>
  </r>
  <r>
    <s v="Valentia Etteridge"/>
    <x v="1"/>
    <n v="37"/>
    <s v="Average"/>
    <d v="2021-09-12T00:00:00"/>
    <s v="HR"/>
    <n v="118100"/>
    <x v="1"/>
    <n v="2.4438356164383563"/>
  </r>
  <r>
    <s v="Virginia McConville"/>
    <x v="1"/>
    <n v="22"/>
    <s v="Above average"/>
    <d v="2021-09-11T00:00:00"/>
    <s v="Procurement"/>
    <n v="76900"/>
    <x v="1"/>
    <n v="2.4465753424657533"/>
  </r>
  <r>
    <s v="Wilone O'Kielt"/>
    <x v="1"/>
    <n v="43"/>
    <s v="Average"/>
    <d v="2023-04-29T00:00:00"/>
    <s v="Website"/>
    <n v="114870"/>
    <x v="1"/>
    <n v="0.81643835616438354"/>
  </r>
  <r>
    <s v="Madge McCloughen"/>
    <x v="2"/>
    <n v="32"/>
    <s v="Average"/>
    <d v="2022-08-01T00:00:00"/>
    <s v="Website"/>
    <n v="91310"/>
    <x v="1"/>
    <n v="1.558904109589041"/>
  </r>
  <r>
    <s v="Janene Hairsine"/>
    <x v="1"/>
    <n v="28"/>
    <s v="Average"/>
    <d v="2021-10-17T00:00:00"/>
    <s v="Procurement"/>
    <n v="104770"/>
    <x v="1"/>
    <n v="2.3479452054794518"/>
  </r>
  <r>
    <s v="Alta Kaszper"/>
    <x v="0"/>
    <n v="27"/>
    <s v="Average"/>
    <d v="2020-10-30T00:00:00"/>
    <s v="Sales"/>
    <n v="54970"/>
    <x v="1"/>
    <n v="3.3123287671232875"/>
  </r>
  <r>
    <s v="Dennison Crosswaite"/>
    <x v="2"/>
    <n v="26"/>
    <s v="Above average"/>
    <d v="2021-03-16T00:00:00"/>
    <s v="Website"/>
    <n v="90700"/>
    <x v="1"/>
    <n v="2.9369863013698629"/>
  </r>
  <r>
    <s v="Oran Buxcy"/>
    <x v="1"/>
    <n v="38"/>
    <s v="Above average"/>
    <d v="2021-05-13T00:00:00"/>
    <s v="Sales"/>
    <n v="56870"/>
    <x v="1"/>
    <n v="2.7780821917808218"/>
  </r>
  <r>
    <s v="Hinda Label"/>
    <x v="1"/>
    <n v="25"/>
    <s v="Average"/>
    <d v="2021-01-09T00:00:00"/>
    <s v="Sales"/>
    <n v="92700"/>
    <x v="1"/>
    <n v="3.117808219178082"/>
  </r>
  <r>
    <s v="Marney O'Breen"/>
    <x v="1"/>
    <n v="21"/>
    <s v="Average"/>
    <d v="2021-05-01T00:00:00"/>
    <s v="Finance"/>
    <n v="65920"/>
    <x v="1"/>
    <n v="2.8109589041095893"/>
  </r>
  <r>
    <s v="Dell Molloy"/>
    <x v="0"/>
    <n v="26"/>
    <s v="Average"/>
    <d v="2021-01-29T00:00:00"/>
    <s v="Procurement"/>
    <n v="47360"/>
    <x v="1"/>
    <n v="3.0630136986301371"/>
  </r>
  <r>
    <s v="Mallorie Waber"/>
    <x v="0"/>
    <n v="30"/>
    <s v="Average"/>
    <d v="2022-04-15T00:00:00"/>
    <s v="Procurement"/>
    <n v="60570"/>
    <x v="1"/>
    <n v="1.8547945205479452"/>
  </r>
  <r>
    <s v="Cherlyn Barter"/>
    <x v="1"/>
    <n v="28"/>
    <s v="Average"/>
    <d v="2022-03-29T00:00:00"/>
    <s v="Procurement"/>
    <n v="104120"/>
    <x v="1"/>
    <n v="1.9013698630136986"/>
  </r>
  <r>
    <s v="Ches Bonnell"/>
    <x v="0"/>
    <n v="37"/>
    <s v="Poor"/>
    <d v="2021-05-22T00:00:00"/>
    <s v="Website"/>
    <n v="88050"/>
    <x v="1"/>
    <n v="2.7534246575342465"/>
  </r>
  <r>
    <s v="Collin Jagson"/>
    <x v="0"/>
    <n v="24"/>
    <s v="Average"/>
    <d v="2022-05-05T00:00:00"/>
    <s v="Website"/>
    <n v="100420"/>
    <x v="1"/>
    <n v="1.8"/>
  </r>
  <r>
    <s v="Hogan Iles"/>
    <x v="1"/>
    <n v="30"/>
    <s v="Average"/>
    <d v="2022-10-16T00:00:00"/>
    <s v="Procurement"/>
    <n v="114180"/>
    <x v="1"/>
    <n v="1.3506849315068492"/>
  </r>
  <r>
    <s v="Gretchen Callow"/>
    <x v="1"/>
    <n v="21"/>
    <s v="Average"/>
    <d v="2022-04-27T00:00:00"/>
    <s v="Website"/>
    <n v="33920"/>
    <x v="1"/>
    <n v="1.821917808219178"/>
  </r>
  <r>
    <s v="Kissiah Maydway"/>
    <x v="0"/>
    <n v="23"/>
    <s v="Average"/>
    <d v="2021-09-01T00:00:00"/>
    <s v="Procurement"/>
    <n v="106460"/>
    <x v="1"/>
    <n v="2.473972602739726"/>
  </r>
  <r>
    <s v="Archibald Filliskirk"/>
    <x v="0"/>
    <n v="35"/>
    <s v="Average"/>
    <d v="2022-06-15T00:00:00"/>
    <s v="Procurement"/>
    <n v="40400"/>
    <x v="1"/>
    <n v="1.6876712328767123"/>
  </r>
  <r>
    <s v="Enoch Dowrey"/>
    <x v="0"/>
    <n v="27"/>
    <s v="Above average"/>
    <d v="2021-02-09T00:00:00"/>
    <s v="Finance"/>
    <n v="91650"/>
    <x v="1"/>
    <n v="3.032876712328767"/>
  </r>
  <r>
    <s v="Bili Sizey"/>
    <x v="0"/>
    <n v="43"/>
    <s v="Average"/>
    <d v="2022-02-28T00:00:00"/>
    <s v="Sales"/>
    <n v="36040"/>
    <x v="1"/>
    <n v="1.9808219178082191"/>
  </r>
  <r>
    <s v="Caro Chappel"/>
    <x v="1"/>
    <n v="40"/>
    <s v="Average"/>
    <d v="2021-07-04T00:00:00"/>
    <s v="Website"/>
    <n v="104410"/>
    <x v="1"/>
    <n v="2.6356164383561644"/>
  </r>
  <r>
    <s v="Constantino Espley"/>
    <x v="0"/>
    <n v="30"/>
    <s v="Average"/>
    <d v="2022-02-14T00:00:00"/>
    <s v="Finance"/>
    <n v="96800"/>
    <x v="1"/>
    <n v="2.0191780821917806"/>
  </r>
  <r>
    <s v="Karlen McCaffrey"/>
    <x v="1"/>
    <n v="34"/>
    <s v="Average"/>
    <d v="2021-09-20T00:00:00"/>
    <s v="Finance"/>
    <n v="85000"/>
    <x v="1"/>
    <n v="2.4219178082191779"/>
  </r>
  <r>
    <s v="Drusy MacCombe"/>
    <x v="0"/>
    <n v="28"/>
    <s v="Very poor"/>
    <d v="2022-09-16T00:00:00"/>
    <s v="Sales"/>
    <n v="43510"/>
    <x v="1"/>
    <n v="1.4328767123287671"/>
  </r>
  <r>
    <s v="My Hanscome"/>
    <x v="0"/>
    <n v="33"/>
    <s v="Average"/>
    <d v="2021-02-16T00:00:00"/>
    <s v="Finance"/>
    <n v="59430"/>
    <x v="1"/>
    <n v="3.0136986301369864"/>
  </r>
  <r>
    <s v="Teressa Udden"/>
    <x v="1"/>
    <n v="33"/>
    <s v="Average"/>
    <d v="2020-08-24T00:00:00"/>
    <s v="Finance"/>
    <n v="65360"/>
    <x v="1"/>
    <n v="3.495890410958904"/>
  </r>
  <r>
    <s v="Crissie Cordel"/>
    <x v="1"/>
    <n v="32"/>
    <s v="Average"/>
    <d v="2022-02-19T00:00:00"/>
    <s v="Procurement"/>
    <n v="41570"/>
    <x v="1"/>
    <n v="2.0054794520547947"/>
  </r>
  <r>
    <s v="Elia Cockton"/>
    <x v="1"/>
    <n v="33"/>
    <s v="Average"/>
    <d v="2021-04-26T00:00:00"/>
    <s v="Website"/>
    <n v="75280"/>
    <x v="1"/>
    <n v="2.8246575342465752"/>
  </r>
  <r>
    <s v="Gigi Bohling"/>
    <x v="0"/>
    <n v="33"/>
    <s v="Average"/>
    <d v="2021-07-08T00:00:00"/>
    <s v="Sales"/>
    <n v="74550"/>
    <x v="1"/>
    <n v="2.6246575342465754"/>
  </r>
  <r>
    <s v="Ebonee Roxburgh"/>
    <x v="0"/>
    <n v="30"/>
    <s v="Average"/>
    <d v="2022-05-20T00:00:00"/>
    <s v="Procurement"/>
    <n v="67950"/>
    <x v="1"/>
    <n v="1.7589041095890412"/>
  </r>
  <r>
    <s v="Shayne Stegel"/>
    <x v="0"/>
    <n v="42"/>
    <s v="Poor"/>
    <d v="2022-06-19T00:00:00"/>
    <s v="Finance"/>
    <n v="70270"/>
    <x v="1"/>
    <n v="1.6767123287671233"/>
  </r>
  <r>
    <s v="Zach Polon"/>
    <x v="0"/>
    <n v="26"/>
    <s v="Average"/>
    <d v="2021-08-03T00:00:00"/>
    <s v="Procurement"/>
    <n v="53540"/>
    <x v="1"/>
    <n v="2.55342465753424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8B8D4F-B3C4-4D1A-98E8-F4A5ADA73E47}"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0"/>
        <item x="2"/>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1">
    <format dxfId="10">
      <pivotArea dataOnly="0"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EFE558-7589-43A3-9A2C-0186E24FBE85}" name="PivotTable1"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3:C16"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axis="axisRow" allDrilled="1" subtotalTop="0" showAll="0" dataSourceSort="1" defaultSubtotal="0">
      <items count="4">
        <item x="0"/>
        <item x="1" e="0"/>
        <item x="2" e="0"/>
        <item x="3" e="0"/>
      </items>
    </pivotField>
    <pivotField dataField="1" subtotalTop="0" showAll="0" defaultSubtotal="0"/>
  </pivotFields>
  <rowFields count="2">
    <field x="1"/>
    <field x="0"/>
  </rowFields>
  <rowItems count="13">
    <i>
      <x/>
    </i>
    <i r="1">
      <x/>
    </i>
    <i r="1">
      <x v="1"/>
    </i>
    <i r="1">
      <x v="2"/>
    </i>
    <i r="1">
      <x v="3"/>
    </i>
    <i r="1">
      <x v="4"/>
    </i>
    <i r="1">
      <x v="5"/>
    </i>
    <i r="1">
      <x v="6"/>
    </i>
    <i r="1">
      <x v="7"/>
    </i>
    <i>
      <x v="1"/>
    </i>
    <i>
      <x v="2"/>
    </i>
    <i>
      <x v="3"/>
    </i>
    <i t="grand">
      <x/>
    </i>
  </rowItems>
  <colItems count="1">
    <i/>
  </colItems>
  <dataFields count="1">
    <dataField name="Count of Name" fld="2" subtotal="count" baseField="0" baseItem="0"/>
  </dataFields>
  <chartFormats count="1">
    <chartFormat chart="1" format="0"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457519-7969-4531-957A-9492CB68E460}" name="PivotTable3" cacheId="15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E3:F9" firstHeaderRow="1" firstDataRow="1" firstDataCol="1" rowPageCount="1" colPageCount="1"/>
  <pivotFields count="3">
    <pivotField axis="axisPage" allDrilled="1" subtotalTop="0" showAll="0" dataSourceSort="1" defaultSubtotal="0" defaultAttributeDrillState="1"/>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2"/>
  </rowFields>
  <rowItems count="6">
    <i>
      <x v="4"/>
    </i>
    <i>
      <x v="2"/>
    </i>
    <i>
      <x/>
    </i>
    <i>
      <x v="3"/>
    </i>
    <i>
      <x v="1"/>
    </i>
    <i t="grand">
      <x/>
    </i>
  </rowItems>
  <colItems count="1">
    <i/>
  </colItems>
  <pageFields count="1">
    <pageField fld="0" hier="7" name="[staff].[Country].&amp;[NZ]" cap="NZ"/>
  </pageFields>
  <dataFields count="1">
    <dataField name="Count of Name" fld="1"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D2D4A3-7F46-4960-8AD5-8CB11E4477E3}" name="PivotTable2" cacheId="1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3:B9" firstHeaderRow="1" firstDataRow="1" firstDataCol="1" rowPageCount="1" colPageCount="1"/>
  <pivotFields count="3">
    <pivotField axis="axisPage" allDrilled="1" subtotalTop="0" showAll="0" dataSourceSort="1" defaultSubtotal="0" defaultAttributeDrillState="1"/>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2"/>
  </rowFields>
  <rowItems count="6">
    <i>
      <x v="2"/>
    </i>
    <i>
      <x v="4"/>
    </i>
    <i>
      <x/>
    </i>
    <i>
      <x v="3"/>
    </i>
    <i>
      <x v="1"/>
    </i>
    <i t="grand">
      <x/>
    </i>
  </rowItems>
  <colItems count="1">
    <i/>
  </colItems>
  <pageFields count="1">
    <pageField fld="0" hier="7" name="[staff].[Country].&amp;[IND]" cap="IND"/>
  </pageFields>
  <dataFields count="1">
    <dataField name="Count of Name" fld="1" subtotal="count" baseField="0" baseItem="0"/>
  </dataFields>
  <chartFormats count="1">
    <chartFormat chart="11" format="4"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1E57BC-4369-4BEB-8467-1EDEB829AB4F}" name="PivotTable4"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D7" firstHeaderRow="1" firstDataRow="2" firstDataCol="1"/>
  <pivotFields count="9">
    <pivotField dataField="1" showAll="0"/>
    <pivotField axis="axisCol" showAll="0">
      <items count="4">
        <item x="1"/>
        <item x="0"/>
        <item h="1" x="2"/>
        <item t="default"/>
      </items>
    </pivotField>
    <pivotField dataField="1" showAll="0"/>
    <pivotField showAll="0"/>
    <pivotField numFmtId="14" showAll="0"/>
    <pivotField showAll="0"/>
    <pivotField dataField="1" showAll="0"/>
    <pivotField showAll="0">
      <items count="3">
        <item x="0"/>
        <item h="1" x="1"/>
        <item t="default"/>
      </items>
    </pivotField>
    <pivotField dataField="1" numFmtId="2" showAll="0"/>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Tenure" fld="8" subtotal="average" baseField="0" baseItem="0" numFmtId="165"/>
    <dataField name="Average of Age" fld="2" subtotal="average" baseField="0" baseItem="0" numFmtId="165"/>
    <dataField name="Average of Salary" fld="6"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D050929-7746-4478-BB9B-0DDC1374EF1C}" autoFormatId="16" applyNumberFormats="0" applyBorderFormats="0" applyFontFormats="0" applyPatternFormats="0" applyAlignmentFormats="0" applyWidthHeightFormats="0">
  <queryTableRefresh nextId="14"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4CB108E-056A-47C0-9F58-1FCCB7673B04}" sourceName="Country">
  <pivotTables>
    <pivotTable tabId="4" name="PivotTable4"/>
  </pivotTables>
  <data>
    <tabular pivotCacheId="179224834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3BA6DA8-6AE4-41F0-9E17-C0A74486ACC5}" cache="Slicer_Country" caption="Countr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22B7E9-424C-4CF7-B633-9961228ED753}" name="nz_staff" displayName="nz_staff" ref="C5:I106" totalsRowCount="1">
  <autoFilter ref="C5:I105" xr:uid="{D522B7E9-424C-4CF7-B633-9961228ED753}"/>
  <tableColumns count="7">
    <tableColumn id="1" xr3:uid="{D84F00AD-2B8B-4073-BDC8-9AF2A81CEE29}" name="Name" totalsRowLabel="Total"/>
    <tableColumn id="2" xr3:uid="{F5FFBE08-39D3-4DF3-8E17-FB3897E8BA74}" name="Gender"/>
    <tableColumn id="3" xr3:uid="{DA6891BE-C253-4236-B429-F2FCC9493E05}" name="Department"/>
    <tableColumn id="4" xr3:uid="{826B9091-3495-46CA-A137-8325FBAF9061}" name="Age" totalsRowFunction="average"/>
    <tableColumn id="5" xr3:uid="{A9BDBC24-DAB3-4EBF-9C74-8AE314EBCD95}" name="Date Joined"/>
    <tableColumn id="6" xr3:uid="{9715F0C8-D7B6-4FDC-BF67-E4758CD187A8}" name="Salary" totalsRowFunction="average" dataDxfId="18" totalsRowDxfId="1"/>
    <tableColumn id="7" xr3:uid="{A60A18D3-AC0E-478A-88EF-52E70581DC77}"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BBA212-6914-47E0-B8A8-F2AF42AD2057}" name="staff" displayName="staff" ref="A1:K184" tableType="queryTable" totalsRowShown="0">
  <autoFilter ref="A1:K184" xr:uid="{C6BBA212-6914-47E0-B8A8-F2AF42AD2057}"/>
  <sortState xmlns:xlrd2="http://schemas.microsoft.com/office/spreadsheetml/2017/richdata2" ref="A2:J184">
    <sortCondition ref="G1:G184"/>
  </sortState>
  <tableColumns count="11">
    <tableColumn id="1" xr3:uid="{027F5201-08B0-402A-9C7D-3F96661AD8FC}" uniqueName="1" name="Name" queryTableFieldId="1" dataDxfId="17"/>
    <tableColumn id="2" xr3:uid="{1550DC22-7684-4115-9DA6-46D51A19A689}" uniqueName="2" name="Gender" queryTableFieldId="2" dataDxfId="16"/>
    <tableColumn id="3" xr3:uid="{B5B31C21-D9E9-4AF4-8028-1B6988A38794}" uniqueName="3" name="Age" queryTableFieldId="3"/>
    <tableColumn id="4" xr3:uid="{2B34D444-A492-4D72-9EA7-E559D59CB0B7}" uniqueName="4" name="Rating" queryTableFieldId="4"/>
    <tableColumn id="5" xr3:uid="{A5EF74CC-4AF1-4B89-8888-6C0FA33F252D}" uniqueName="5" name="Date Joined" queryTableFieldId="5" dataDxfId="15"/>
    <tableColumn id="6" xr3:uid="{7F35D220-370F-40E9-A7C3-70685794D6DD}" uniqueName="6" name="Department" queryTableFieldId="6" dataDxfId="14"/>
    <tableColumn id="7" xr3:uid="{E974540D-3CEE-4B6F-B55A-768D67F0DC39}" uniqueName="7" name="Salary" queryTableFieldId="7"/>
    <tableColumn id="8" xr3:uid="{EE7626DE-84D6-4E0D-930F-B818DB8D0A3C}" uniqueName="8" name="Country" queryTableFieldId="8"/>
    <tableColumn id="9" xr3:uid="{4C66B8E5-014F-419B-A32B-721A240233C6}" uniqueName="9" name="Tenure" queryTableFieldId="9" dataDxfId="13">
      <calculatedColumnFormula>(TODAY() -staff[[#This Row],[Date Joined]])/365</calculatedColumnFormula>
    </tableColumn>
    <tableColumn id="12" xr3:uid="{B126C39B-CE3A-4156-A6C7-2272E3E65452}" uniqueName="12" name="Bonus" queryTableFieldId="12" dataDxfId="12">
      <calculatedColumnFormula>ROUNDUP(IF(staff[[#This Row],[Tenure]]&gt;2,3%,2%)*staff[[#This Row],[Salary]],0)</calculatedColumnFormula>
    </tableColumn>
    <tableColumn id="13" xr3:uid="{B1E1FC83-ECEF-431D-A877-D7AE4444DF53}" uniqueName="13" name="Rating as number " queryTableFieldId="13" dataDxfId="11">
      <calculatedColumnFormula array="1">_xlfn.XLOOKUP(staff[[#This Row],[Rating]],Table5[[#All],[Column1]],Table5[[#All],[Column2]])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BAE0DD5-6FF6-4788-94C7-4B12253F3C4D}" name="Table9" displayName="Table9" ref="N2:O9" totalsRowShown="0">
  <autoFilter ref="N2:O9" xr:uid="{1BAE0DD5-6FF6-4788-94C7-4B12253F3C4D}"/>
  <tableColumns count="2">
    <tableColumn id="1" xr3:uid="{07951A45-BB93-4676-BC67-EC517BC73F83}" name="Column1"/>
    <tableColumn id="2" xr3:uid="{8732E26A-9D9E-4ABD-8888-85A4A0EB6381}" name="Column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4D7EA-F9DC-4734-A243-2ED71FB471E9}" name="Table5" displayName="Table5" ref="A2:B6" headerRowCount="0" totalsRowShown="0" tableBorderDxfId="9">
  <tableColumns count="2">
    <tableColumn id="1" xr3:uid="{5C1BF02E-7ECD-4071-A90C-2BB818FE8D2F}" name="Column1" headerRowDxfId="8" dataDxfId="7"/>
    <tableColumn id="2" xr3:uid="{F1E3ECDD-1E0C-41F7-A1C1-E56A23F6EB80}" name="Column2" headerRowDxfId="6" dataDxfId="5"/>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B97FAD-3A48-4A12-AD1E-4E97835F65D0}" name="india_staff" displayName="india_staff" ref="B2:H115" totalsRowCount="1">
  <autoFilter ref="B2:H114" xr:uid="{CAB97FAD-3A48-4A12-AD1E-4E97835F65D0}"/>
  <tableColumns count="7">
    <tableColumn id="1" xr3:uid="{CEF2F1CF-04B5-459E-8A4A-56251A90D7C2}" name="Name" totalsRowLabel="Total"/>
    <tableColumn id="2" xr3:uid="{D5F1EB9C-58E6-4893-B0D6-7B5620067D91}" name="Gender"/>
    <tableColumn id="3" xr3:uid="{BFC2F62E-9989-48ED-A343-DF1EBC27758B}" name="Age"/>
    <tableColumn id="4" xr3:uid="{22C96C5F-79C6-47BD-8D2A-EC7EC4EAD1AF}" name="Rating"/>
    <tableColumn id="5" xr3:uid="{47D2D39C-6D5C-41B1-9349-28B15FDFE8CC}" name="Date Joined" dataDxfId="4"/>
    <tableColumn id="6" xr3:uid="{8252B8D7-5DE3-4645-800D-3D4DCF56BB2A}" name="Department"/>
    <tableColumn id="7" xr3:uid="{D1E65123-5AF3-4D13-B362-23B8AFEEE0C5}" name="Salary" totalsRowFunction="sum" dataDxfId="3" totalsRowDxfId="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topLeftCell="A103" workbookViewId="0">
      <selection activeCell="L10" sqref="L10"/>
    </sheetView>
  </sheetViews>
  <sheetFormatPr defaultRowHeight="15" x14ac:dyDescent="0.25"/>
  <cols>
    <col min="1" max="1" width="1.7109375" customWidth="1"/>
    <col min="2" max="2" width="3.7109375" customWidth="1"/>
    <col min="3" max="3" width="36.42578125" bestFit="1" customWidth="1"/>
    <col min="4" max="4" width="10" bestFit="1" customWidth="1"/>
    <col min="5" max="5" width="14" bestFit="1" customWidth="1"/>
    <col min="6" max="6" width="6.7109375" bestFit="1" customWidth="1"/>
    <col min="7" max="7" width="13.7109375" bestFit="1" customWidth="1"/>
    <col min="8" max="8" width="11.85546875" style="6" bestFit="1" customWidth="1"/>
    <col min="9" max="9" width="14.28515625" bestFit="1" customWidth="1"/>
  </cols>
  <sheetData>
    <row r="1" spans="1:9" s="2" customFormat="1" ht="52.5" customHeight="1" x14ac:dyDescent="0.25">
      <c r="A1" s="1"/>
      <c r="C1" s="3" t="s">
        <v>110</v>
      </c>
      <c r="H1" s="5"/>
    </row>
    <row r="5" spans="1:9" x14ac:dyDescent="0.25">
      <c r="C5" t="s">
        <v>0</v>
      </c>
      <c r="D5" t="s">
        <v>1</v>
      </c>
      <c r="E5" t="s">
        <v>2</v>
      </c>
      <c r="F5" t="s">
        <v>3</v>
      </c>
      <c r="G5" s="4" t="s">
        <v>4</v>
      </c>
      <c r="H5" s="6" t="s">
        <v>5</v>
      </c>
      <c r="I5" t="s">
        <v>6</v>
      </c>
    </row>
    <row r="6" spans="1:9" x14ac:dyDescent="0.25">
      <c r="C6" t="s">
        <v>58</v>
      </c>
      <c r="D6" t="s">
        <v>15</v>
      </c>
      <c r="E6" t="s">
        <v>19</v>
      </c>
      <c r="F6">
        <v>22</v>
      </c>
      <c r="G6" s="4">
        <v>44446</v>
      </c>
      <c r="H6" s="6">
        <v>112780</v>
      </c>
      <c r="I6" t="s">
        <v>13</v>
      </c>
    </row>
    <row r="7" spans="1:9" x14ac:dyDescent="0.25">
      <c r="C7" t="s">
        <v>70</v>
      </c>
      <c r="D7" t="s">
        <v>15</v>
      </c>
      <c r="E7" t="s">
        <v>9</v>
      </c>
      <c r="F7">
        <v>46</v>
      </c>
      <c r="G7" s="4">
        <v>44758</v>
      </c>
      <c r="H7" s="6">
        <v>70610</v>
      </c>
      <c r="I7" t="s">
        <v>16</v>
      </c>
    </row>
    <row r="8" spans="1:9" x14ac:dyDescent="0.25">
      <c r="C8" t="s">
        <v>75</v>
      </c>
      <c r="D8" t="s">
        <v>8</v>
      </c>
      <c r="E8" t="s">
        <v>19</v>
      </c>
      <c r="F8">
        <v>28</v>
      </c>
      <c r="G8" s="4">
        <v>44357</v>
      </c>
      <c r="H8" s="6">
        <v>53240</v>
      </c>
      <c r="I8" t="s">
        <v>16</v>
      </c>
    </row>
    <row r="9" spans="1:9" x14ac:dyDescent="0.25">
      <c r="C9" t="s">
        <v>49</v>
      </c>
      <c r="E9" t="s">
        <v>21</v>
      </c>
      <c r="F9">
        <v>37</v>
      </c>
      <c r="G9" s="4">
        <v>44146</v>
      </c>
      <c r="H9" s="6">
        <v>115440</v>
      </c>
      <c r="I9" t="s">
        <v>24</v>
      </c>
    </row>
    <row r="10" spans="1:9" x14ac:dyDescent="0.25">
      <c r="C10" t="s">
        <v>65</v>
      </c>
      <c r="D10" t="s">
        <v>15</v>
      </c>
      <c r="E10" t="s">
        <v>19</v>
      </c>
      <c r="F10">
        <v>32</v>
      </c>
      <c r="G10" s="4">
        <v>44465</v>
      </c>
      <c r="H10" s="6">
        <v>53540</v>
      </c>
      <c r="I10" t="s">
        <v>16</v>
      </c>
    </row>
    <row r="11" spans="1:9" x14ac:dyDescent="0.25">
      <c r="C11" t="s">
        <v>81</v>
      </c>
      <c r="D11" t="s">
        <v>8</v>
      </c>
      <c r="E11" t="s">
        <v>9</v>
      </c>
      <c r="F11">
        <v>30</v>
      </c>
      <c r="G11" s="4">
        <v>44861</v>
      </c>
      <c r="H11" s="6">
        <v>112570</v>
      </c>
      <c r="I11" t="s">
        <v>16</v>
      </c>
    </row>
    <row r="12" spans="1:9" x14ac:dyDescent="0.25">
      <c r="D12" t="s">
        <v>15</v>
      </c>
      <c r="E12" t="s">
        <v>9</v>
      </c>
      <c r="F12">
        <v>33</v>
      </c>
      <c r="G12" s="4">
        <v>44701</v>
      </c>
      <c r="H12" s="6">
        <v>48530</v>
      </c>
      <c r="I12" t="s">
        <v>13</v>
      </c>
    </row>
    <row r="13" spans="1:9" x14ac:dyDescent="0.25">
      <c r="C13" t="s">
        <v>61</v>
      </c>
      <c r="D13" t="s">
        <v>8</v>
      </c>
      <c r="E13" t="s">
        <v>12</v>
      </c>
      <c r="F13">
        <v>24</v>
      </c>
      <c r="G13" s="4">
        <v>44148</v>
      </c>
      <c r="H13" s="6">
        <v>62780</v>
      </c>
      <c r="I13" t="s">
        <v>16</v>
      </c>
    </row>
    <row r="14" spans="1:9" x14ac:dyDescent="0.25">
      <c r="C14" t="s">
        <v>82</v>
      </c>
      <c r="D14" t="s">
        <v>15</v>
      </c>
      <c r="E14" t="s">
        <v>12</v>
      </c>
      <c r="F14">
        <v>33</v>
      </c>
      <c r="G14" s="4">
        <v>44509</v>
      </c>
      <c r="H14" s="6">
        <v>53870</v>
      </c>
      <c r="I14" t="s">
        <v>16</v>
      </c>
    </row>
    <row r="15" spans="1:9" x14ac:dyDescent="0.25">
      <c r="C15" t="s">
        <v>60</v>
      </c>
      <c r="D15" t="s">
        <v>8</v>
      </c>
      <c r="E15" t="s">
        <v>56</v>
      </c>
      <c r="F15">
        <v>27</v>
      </c>
      <c r="G15" s="4">
        <v>44122</v>
      </c>
      <c r="H15" s="6">
        <v>119110</v>
      </c>
      <c r="I15" t="s">
        <v>16</v>
      </c>
    </row>
    <row r="16" spans="1:9" x14ac:dyDescent="0.25">
      <c r="C16" t="s">
        <v>87</v>
      </c>
      <c r="D16" t="s">
        <v>15</v>
      </c>
      <c r="E16" t="s">
        <v>12</v>
      </c>
      <c r="F16">
        <v>29</v>
      </c>
      <c r="G16" s="4">
        <v>44180</v>
      </c>
      <c r="H16" s="6">
        <v>112110</v>
      </c>
      <c r="I16" t="s">
        <v>24</v>
      </c>
    </row>
    <row r="17" spans="3:9" x14ac:dyDescent="0.25">
      <c r="C17" t="s">
        <v>76</v>
      </c>
      <c r="D17" t="s">
        <v>15</v>
      </c>
      <c r="E17" t="s">
        <v>19</v>
      </c>
      <c r="F17">
        <v>25</v>
      </c>
      <c r="G17" s="4">
        <v>44383</v>
      </c>
      <c r="H17" s="6">
        <v>65700</v>
      </c>
      <c r="I17" t="s">
        <v>16</v>
      </c>
    </row>
    <row r="18" spans="3:9" x14ac:dyDescent="0.25">
      <c r="C18" t="s">
        <v>97</v>
      </c>
      <c r="D18" t="s">
        <v>15</v>
      </c>
      <c r="E18" t="s">
        <v>12</v>
      </c>
      <c r="F18">
        <v>37</v>
      </c>
      <c r="G18" s="4">
        <v>44701</v>
      </c>
      <c r="H18" s="6">
        <v>69070</v>
      </c>
      <c r="I18" t="s">
        <v>16</v>
      </c>
    </row>
    <row r="19" spans="3:9" x14ac:dyDescent="0.25">
      <c r="C19" t="s">
        <v>22</v>
      </c>
      <c r="D19" t="s">
        <v>15</v>
      </c>
      <c r="E19" t="s">
        <v>12</v>
      </c>
      <c r="F19">
        <v>20</v>
      </c>
      <c r="G19" s="4">
        <v>44459</v>
      </c>
      <c r="H19" s="6">
        <v>107700</v>
      </c>
      <c r="I19" t="s">
        <v>16</v>
      </c>
    </row>
    <row r="20" spans="3:9" x14ac:dyDescent="0.25">
      <c r="C20" t="s">
        <v>84</v>
      </c>
      <c r="D20" t="s">
        <v>8</v>
      </c>
      <c r="E20" t="s">
        <v>12</v>
      </c>
      <c r="F20">
        <v>32</v>
      </c>
      <c r="G20" s="4">
        <v>44354</v>
      </c>
      <c r="H20" s="6">
        <v>43840</v>
      </c>
      <c r="I20" t="s">
        <v>13</v>
      </c>
    </row>
    <row r="21" spans="3:9" x14ac:dyDescent="0.25">
      <c r="C21" t="s">
        <v>105</v>
      </c>
      <c r="D21" t="s">
        <v>15</v>
      </c>
      <c r="E21" t="s">
        <v>9</v>
      </c>
      <c r="F21">
        <v>40</v>
      </c>
      <c r="G21" s="4">
        <v>44263</v>
      </c>
      <c r="H21" s="6">
        <v>99750</v>
      </c>
      <c r="I21" t="s">
        <v>16</v>
      </c>
    </row>
    <row r="22" spans="3:9" x14ac:dyDescent="0.25">
      <c r="C22" t="s">
        <v>47</v>
      </c>
      <c r="D22" t="s">
        <v>15</v>
      </c>
      <c r="E22" t="s">
        <v>9</v>
      </c>
      <c r="F22">
        <v>21</v>
      </c>
      <c r="G22" s="4">
        <v>44104</v>
      </c>
      <c r="H22" s="6">
        <v>37920</v>
      </c>
      <c r="I22" t="s">
        <v>16</v>
      </c>
    </row>
    <row r="23" spans="3:9" x14ac:dyDescent="0.25">
      <c r="C23" t="s">
        <v>31</v>
      </c>
      <c r="D23" t="s">
        <v>15</v>
      </c>
      <c r="E23" t="s">
        <v>9</v>
      </c>
      <c r="F23">
        <v>21</v>
      </c>
      <c r="G23" s="4">
        <v>44762</v>
      </c>
      <c r="H23" s="6">
        <v>57090</v>
      </c>
      <c r="I23" t="s">
        <v>16</v>
      </c>
    </row>
    <row r="24" spans="3:9" x14ac:dyDescent="0.25">
      <c r="C24" t="s">
        <v>30</v>
      </c>
      <c r="D24" t="s">
        <v>8</v>
      </c>
      <c r="E24" t="s">
        <v>12</v>
      </c>
      <c r="F24">
        <v>31</v>
      </c>
      <c r="G24" s="4">
        <v>44145</v>
      </c>
      <c r="H24" s="6">
        <v>41980</v>
      </c>
      <c r="I24" t="s">
        <v>16</v>
      </c>
    </row>
    <row r="25" spans="3:9" x14ac:dyDescent="0.25">
      <c r="C25" t="s">
        <v>78</v>
      </c>
      <c r="D25" t="s">
        <v>15</v>
      </c>
      <c r="E25" t="s">
        <v>56</v>
      </c>
      <c r="F25">
        <v>21</v>
      </c>
      <c r="G25" s="4">
        <v>44242</v>
      </c>
      <c r="H25" s="6">
        <v>75880</v>
      </c>
      <c r="I25" t="s">
        <v>16</v>
      </c>
    </row>
    <row r="26" spans="3:9" x14ac:dyDescent="0.25">
      <c r="C26" t="s">
        <v>36</v>
      </c>
      <c r="D26" t="s">
        <v>8</v>
      </c>
      <c r="E26" t="s">
        <v>21</v>
      </c>
      <c r="F26">
        <v>34</v>
      </c>
      <c r="G26" s="4">
        <v>44653</v>
      </c>
      <c r="H26" s="6">
        <v>58940</v>
      </c>
      <c r="I26" t="s">
        <v>16</v>
      </c>
    </row>
    <row r="27" spans="3:9" x14ac:dyDescent="0.25">
      <c r="C27" t="s">
        <v>27</v>
      </c>
      <c r="D27" t="s">
        <v>8</v>
      </c>
      <c r="E27" t="s">
        <v>21</v>
      </c>
      <c r="F27">
        <v>30</v>
      </c>
      <c r="G27" s="4">
        <v>44389</v>
      </c>
      <c r="H27" s="6">
        <v>67910</v>
      </c>
      <c r="I27" t="s">
        <v>24</v>
      </c>
    </row>
    <row r="28" spans="3:9" x14ac:dyDescent="0.25">
      <c r="C28" t="s">
        <v>26</v>
      </c>
      <c r="D28" t="s">
        <v>8</v>
      </c>
      <c r="E28" t="s">
        <v>12</v>
      </c>
      <c r="F28">
        <v>31</v>
      </c>
      <c r="G28" s="4">
        <v>44663</v>
      </c>
      <c r="H28" s="6">
        <v>58100</v>
      </c>
      <c r="I28" t="s">
        <v>16</v>
      </c>
    </row>
    <row r="29" spans="3:9" x14ac:dyDescent="0.25">
      <c r="C29" t="s">
        <v>53</v>
      </c>
      <c r="D29" t="s">
        <v>15</v>
      </c>
      <c r="E29" t="s">
        <v>21</v>
      </c>
      <c r="F29">
        <v>27</v>
      </c>
      <c r="G29" s="4">
        <v>44567</v>
      </c>
      <c r="H29" s="6">
        <v>48980</v>
      </c>
      <c r="I29" t="s">
        <v>16</v>
      </c>
    </row>
    <row r="30" spans="3:9" x14ac:dyDescent="0.25">
      <c r="C30" t="s">
        <v>20</v>
      </c>
      <c r="E30" t="s">
        <v>21</v>
      </c>
      <c r="F30">
        <v>30</v>
      </c>
      <c r="G30" s="4">
        <v>44597</v>
      </c>
      <c r="H30" s="6">
        <v>64000</v>
      </c>
      <c r="I30" t="s">
        <v>16</v>
      </c>
    </row>
    <row r="31" spans="3:9" x14ac:dyDescent="0.25">
      <c r="C31" t="s">
        <v>7</v>
      </c>
      <c r="D31" t="s">
        <v>8</v>
      </c>
      <c r="E31" t="s">
        <v>9</v>
      </c>
      <c r="F31">
        <v>42</v>
      </c>
      <c r="G31" s="4">
        <v>44779</v>
      </c>
      <c r="H31" s="6">
        <v>75000</v>
      </c>
      <c r="I31" t="s">
        <v>10</v>
      </c>
    </row>
    <row r="32" spans="3:9" x14ac:dyDescent="0.25">
      <c r="C32" t="s">
        <v>74</v>
      </c>
      <c r="D32" t="s">
        <v>8</v>
      </c>
      <c r="E32" t="s">
        <v>12</v>
      </c>
      <c r="F32">
        <v>40</v>
      </c>
      <c r="G32" s="4">
        <v>44337</v>
      </c>
      <c r="H32" s="6">
        <v>87620</v>
      </c>
      <c r="I32" t="s">
        <v>16</v>
      </c>
    </row>
    <row r="33" spans="3:9" x14ac:dyDescent="0.25">
      <c r="C33" t="s">
        <v>44</v>
      </c>
      <c r="D33" t="s">
        <v>8</v>
      </c>
      <c r="E33" t="s">
        <v>12</v>
      </c>
      <c r="F33">
        <v>29</v>
      </c>
      <c r="G33" s="4">
        <v>44023</v>
      </c>
      <c r="H33" s="6">
        <v>34980</v>
      </c>
      <c r="I33" t="s">
        <v>16</v>
      </c>
    </row>
    <row r="34" spans="3:9" x14ac:dyDescent="0.25">
      <c r="C34" t="s">
        <v>35</v>
      </c>
      <c r="D34" t="s">
        <v>8</v>
      </c>
      <c r="E34" t="s">
        <v>21</v>
      </c>
      <c r="F34">
        <v>28</v>
      </c>
      <c r="G34" s="4">
        <v>44185</v>
      </c>
      <c r="H34" s="6">
        <v>75970</v>
      </c>
      <c r="I34" t="s">
        <v>16</v>
      </c>
    </row>
    <row r="35" spans="3:9" x14ac:dyDescent="0.25">
      <c r="C35" t="s">
        <v>38</v>
      </c>
      <c r="D35" t="s">
        <v>8</v>
      </c>
      <c r="E35" t="s">
        <v>21</v>
      </c>
      <c r="F35">
        <v>34</v>
      </c>
      <c r="G35" s="4">
        <v>44612</v>
      </c>
      <c r="H35" s="6">
        <v>60130</v>
      </c>
      <c r="I35" t="s">
        <v>16</v>
      </c>
    </row>
    <row r="36" spans="3:9" x14ac:dyDescent="0.25">
      <c r="C36" t="s">
        <v>41</v>
      </c>
      <c r="D36" t="s">
        <v>8</v>
      </c>
      <c r="E36" t="s">
        <v>12</v>
      </c>
      <c r="F36">
        <v>33</v>
      </c>
      <c r="G36" s="4">
        <v>44374</v>
      </c>
      <c r="H36" s="6">
        <v>75480</v>
      </c>
      <c r="I36" t="s">
        <v>42</v>
      </c>
    </row>
    <row r="37" spans="3:9" x14ac:dyDescent="0.25">
      <c r="C37" t="s">
        <v>40</v>
      </c>
      <c r="D37" t="s">
        <v>15</v>
      </c>
      <c r="E37" t="s">
        <v>9</v>
      </c>
      <c r="F37">
        <v>33</v>
      </c>
      <c r="G37" s="4">
        <v>44164</v>
      </c>
      <c r="H37" s="6">
        <v>115920</v>
      </c>
      <c r="I37" t="s">
        <v>16</v>
      </c>
    </row>
    <row r="38" spans="3:9" x14ac:dyDescent="0.25">
      <c r="C38" t="s">
        <v>48</v>
      </c>
      <c r="D38" t="s">
        <v>8</v>
      </c>
      <c r="E38" t="s">
        <v>19</v>
      </c>
      <c r="F38">
        <v>36</v>
      </c>
      <c r="G38" s="4">
        <v>44494</v>
      </c>
      <c r="H38" s="6">
        <v>78540</v>
      </c>
      <c r="I38" t="s">
        <v>16</v>
      </c>
    </row>
    <row r="39" spans="3:9" x14ac:dyDescent="0.25">
      <c r="C39" t="s">
        <v>34</v>
      </c>
      <c r="D39" t="s">
        <v>15</v>
      </c>
      <c r="E39" t="s">
        <v>9</v>
      </c>
      <c r="F39">
        <v>25</v>
      </c>
      <c r="G39" s="4">
        <v>44726</v>
      </c>
      <c r="H39" s="6">
        <v>109190</v>
      </c>
      <c r="I39" t="s">
        <v>13</v>
      </c>
    </row>
    <row r="40" spans="3:9" x14ac:dyDescent="0.25">
      <c r="C40" t="s">
        <v>73</v>
      </c>
      <c r="D40" t="s">
        <v>8</v>
      </c>
      <c r="E40" t="s">
        <v>19</v>
      </c>
      <c r="F40">
        <v>34</v>
      </c>
      <c r="G40" s="4">
        <v>44721</v>
      </c>
      <c r="H40" s="6">
        <v>49630</v>
      </c>
      <c r="I40" t="s">
        <v>24</v>
      </c>
    </row>
    <row r="41" spans="3:9" x14ac:dyDescent="0.25">
      <c r="C41" t="s">
        <v>107</v>
      </c>
      <c r="D41" t="s">
        <v>8</v>
      </c>
      <c r="E41" t="s">
        <v>9</v>
      </c>
      <c r="F41">
        <v>28</v>
      </c>
      <c r="G41" s="4">
        <v>44630</v>
      </c>
      <c r="H41" s="6">
        <v>99970</v>
      </c>
      <c r="I41" t="s">
        <v>16</v>
      </c>
    </row>
    <row r="42" spans="3:9" x14ac:dyDescent="0.25">
      <c r="C42" t="s">
        <v>71</v>
      </c>
      <c r="D42" t="s">
        <v>8</v>
      </c>
      <c r="E42" t="s">
        <v>12</v>
      </c>
      <c r="F42">
        <v>33</v>
      </c>
      <c r="G42" s="4">
        <v>44190</v>
      </c>
      <c r="H42" s="6">
        <v>96140</v>
      </c>
      <c r="I42" t="s">
        <v>16</v>
      </c>
    </row>
    <row r="43" spans="3:9" x14ac:dyDescent="0.25">
      <c r="C43" t="s">
        <v>50</v>
      </c>
      <c r="D43" t="s">
        <v>15</v>
      </c>
      <c r="E43" t="s">
        <v>9</v>
      </c>
      <c r="F43">
        <v>31</v>
      </c>
      <c r="G43" s="4">
        <v>44724</v>
      </c>
      <c r="H43" s="6">
        <v>103550</v>
      </c>
      <c r="I43" t="s">
        <v>16</v>
      </c>
    </row>
    <row r="44" spans="3:9" x14ac:dyDescent="0.25">
      <c r="C44" t="s">
        <v>14</v>
      </c>
      <c r="D44" t="s">
        <v>15</v>
      </c>
      <c r="E44" t="s">
        <v>12</v>
      </c>
      <c r="F44">
        <v>31</v>
      </c>
      <c r="G44" s="4">
        <v>44511</v>
      </c>
      <c r="H44" s="6">
        <v>48950</v>
      </c>
      <c r="I44" t="s">
        <v>16</v>
      </c>
    </row>
    <row r="45" spans="3:9" x14ac:dyDescent="0.25">
      <c r="C45" t="s">
        <v>63</v>
      </c>
      <c r="D45" t="s">
        <v>15</v>
      </c>
      <c r="E45" t="s">
        <v>21</v>
      </c>
      <c r="F45">
        <v>24</v>
      </c>
      <c r="G45" s="4">
        <v>44436</v>
      </c>
      <c r="H45" s="6">
        <v>52610</v>
      </c>
      <c r="I45" t="s">
        <v>24</v>
      </c>
    </row>
    <row r="46" spans="3:9" x14ac:dyDescent="0.25">
      <c r="C46" t="s">
        <v>72</v>
      </c>
      <c r="D46" t="s">
        <v>8</v>
      </c>
      <c r="E46" t="s">
        <v>9</v>
      </c>
      <c r="F46">
        <v>36</v>
      </c>
      <c r="G46" s="4">
        <v>44529</v>
      </c>
      <c r="H46" s="6">
        <v>78390</v>
      </c>
      <c r="I46" t="s">
        <v>16</v>
      </c>
    </row>
    <row r="47" spans="3:9" x14ac:dyDescent="0.25">
      <c r="C47" t="s">
        <v>88</v>
      </c>
      <c r="D47" t="s">
        <v>8</v>
      </c>
      <c r="E47" t="s">
        <v>21</v>
      </c>
      <c r="F47">
        <v>33</v>
      </c>
      <c r="G47" s="4">
        <v>44809</v>
      </c>
      <c r="H47" s="6">
        <v>86570</v>
      </c>
      <c r="I47" t="s">
        <v>16</v>
      </c>
    </row>
    <row r="48" spans="3:9" x14ac:dyDescent="0.25">
      <c r="C48" t="s">
        <v>92</v>
      </c>
      <c r="D48" t="s">
        <v>8</v>
      </c>
      <c r="E48" t="s">
        <v>12</v>
      </c>
      <c r="F48">
        <v>27</v>
      </c>
      <c r="G48" s="4">
        <v>44686</v>
      </c>
      <c r="H48" s="6">
        <v>83750</v>
      </c>
      <c r="I48" t="s">
        <v>16</v>
      </c>
    </row>
    <row r="49" spans="3:9" x14ac:dyDescent="0.25">
      <c r="C49" t="s">
        <v>102</v>
      </c>
      <c r="D49" t="s">
        <v>8</v>
      </c>
      <c r="E49" t="s">
        <v>21</v>
      </c>
      <c r="F49">
        <v>34</v>
      </c>
      <c r="G49" s="4">
        <v>44445</v>
      </c>
      <c r="H49" s="6">
        <v>92450</v>
      </c>
      <c r="I49" t="s">
        <v>16</v>
      </c>
    </row>
    <row r="50" spans="3:9" x14ac:dyDescent="0.25">
      <c r="C50" t="s">
        <v>64</v>
      </c>
      <c r="D50" t="s">
        <v>15</v>
      </c>
      <c r="E50" t="s">
        <v>12</v>
      </c>
      <c r="F50">
        <v>20</v>
      </c>
      <c r="G50" s="4">
        <v>44183</v>
      </c>
      <c r="H50" s="6">
        <v>112650</v>
      </c>
      <c r="I50" t="s">
        <v>16</v>
      </c>
    </row>
    <row r="51" spans="3:9" x14ac:dyDescent="0.25">
      <c r="C51" t="s">
        <v>104</v>
      </c>
      <c r="D51" t="s">
        <v>15</v>
      </c>
      <c r="E51" t="s">
        <v>9</v>
      </c>
      <c r="F51">
        <v>20</v>
      </c>
      <c r="G51" s="4">
        <v>44744</v>
      </c>
      <c r="H51" s="6">
        <v>79570</v>
      </c>
      <c r="I51" t="s">
        <v>16</v>
      </c>
    </row>
    <row r="52" spans="3:9" x14ac:dyDescent="0.25">
      <c r="C52" t="s">
        <v>91</v>
      </c>
      <c r="D52" t="s">
        <v>8</v>
      </c>
      <c r="E52" t="s">
        <v>19</v>
      </c>
      <c r="F52">
        <v>20</v>
      </c>
      <c r="G52" s="4">
        <v>44537</v>
      </c>
      <c r="H52" s="6">
        <v>68900</v>
      </c>
      <c r="I52" t="s">
        <v>24</v>
      </c>
    </row>
    <row r="53" spans="3:9" x14ac:dyDescent="0.25">
      <c r="C53" t="s">
        <v>39</v>
      </c>
      <c r="D53" t="s">
        <v>8</v>
      </c>
      <c r="E53" t="s">
        <v>12</v>
      </c>
      <c r="F53">
        <v>25</v>
      </c>
      <c r="G53" s="4">
        <v>44694</v>
      </c>
      <c r="H53" s="6">
        <v>80700</v>
      </c>
      <c r="I53" t="s">
        <v>13</v>
      </c>
    </row>
    <row r="54" spans="3:9" x14ac:dyDescent="0.25">
      <c r="C54" t="s">
        <v>100</v>
      </c>
      <c r="D54" t="s">
        <v>15</v>
      </c>
      <c r="E54" t="s">
        <v>9</v>
      </c>
      <c r="F54">
        <v>19</v>
      </c>
      <c r="G54" s="4">
        <v>44277</v>
      </c>
      <c r="H54" s="6">
        <v>58960</v>
      </c>
      <c r="I54" t="s">
        <v>16</v>
      </c>
    </row>
    <row r="55" spans="3:9" x14ac:dyDescent="0.25">
      <c r="C55" t="s">
        <v>106</v>
      </c>
      <c r="D55" t="s">
        <v>15</v>
      </c>
      <c r="E55" t="s">
        <v>12</v>
      </c>
      <c r="F55">
        <v>36</v>
      </c>
      <c r="G55" s="4">
        <v>44019</v>
      </c>
      <c r="H55" s="6">
        <v>118840</v>
      </c>
      <c r="I55" t="s">
        <v>16</v>
      </c>
    </row>
    <row r="56" spans="3:9" x14ac:dyDescent="0.25">
      <c r="C56" t="s">
        <v>29</v>
      </c>
      <c r="D56" t="s">
        <v>15</v>
      </c>
      <c r="E56" t="s">
        <v>21</v>
      </c>
      <c r="F56">
        <v>28</v>
      </c>
      <c r="G56" s="4">
        <v>44041</v>
      </c>
      <c r="H56" s="6">
        <v>48170</v>
      </c>
      <c r="I56" t="s">
        <v>13</v>
      </c>
    </row>
    <row r="57" spans="3:9" x14ac:dyDescent="0.25">
      <c r="C57" t="s">
        <v>108</v>
      </c>
      <c r="D57" t="s">
        <v>8</v>
      </c>
      <c r="E57" t="s">
        <v>56</v>
      </c>
      <c r="F57">
        <v>32</v>
      </c>
      <c r="G57" s="4">
        <v>44400</v>
      </c>
      <c r="H57" s="6">
        <v>45510</v>
      </c>
      <c r="I57" t="s">
        <v>16</v>
      </c>
    </row>
    <row r="58" spans="3:9" x14ac:dyDescent="0.25">
      <c r="C58" t="s">
        <v>64</v>
      </c>
      <c r="D58" t="s">
        <v>15</v>
      </c>
      <c r="E58" t="s">
        <v>9</v>
      </c>
      <c r="F58">
        <v>34</v>
      </c>
      <c r="G58" s="4">
        <v>44703</v>
      </c>
      <c r="H58" s="6">
        <v>112650</v>
      </c>
      <c r="I58" t="s">
        <v>16</v>
      </c>
    </row>
    <row r="59" spans="3:9" x14ac:dyDescent="0.25">
      <c r="C59" t="s">
        <v>83</v>
      </c>
      <c r="D59" t="s">
        <v>8</v>
      </c>
      <c r="E59" t="s">
        <v>9</v>
      </c>
      <c r="F59">
        <v>36</v>
      </c>
      <c r="G59" s="4">
        <v>44085</v>
      </c>
      <c r="H59" s="6">
        <v>114890</v>
      </c>
      <c r="I59" t="s">
        <v>16</v>
      </c>
    </row>
    <row r="60" spans="3:9" x14ac:dyDescent="0.25">
      <c r="C60" t="s">
        <v>67</v>
      </c>
      <c r="D60" t="s">
        <v>15</v>
      </c>
      <c r="E60" t="s">
        <v>12</v>
      </c>
      <c r="F60">
        <v>30</v>
      </c>
      <c r="G60" s="4">
        <v>44850</v>
      </c>
      <c r="H60" s="6">
        <v>69710</v>
      </c>
      <c r="I60" t="s">
        <v>16</v>
      </c>
    </row>
    <row r="61" spans="3:9" x14ac:dyDescent="0.25">
      <c r="C61" t="s">
        <v>94</v>
      </c>
      <c r="D61" t="s">
        <v>15</v>
      </c>
      <c r="E61" t="s">
        <v>21</v>
      </c>
      <c r="F61">
        <v>36</v>
      </c>
      <c r="G61" s="4">
        <v>44333</v>
      </c>
      <c r="H61" s="6">
        <v>71380</v>
      </c>
      <c r="I61" t="s">
        <v>16</v>
      </c>
    </row>
    <row r="62" spans="3:9" x14ac:dyDescent="0.25">
      <c r="C62" t="s">
        <v>33</v>
      </c>
      <c r="D62" t="s">
        <v>8</v>
      </c>
      <c r="E62" t="s">
        <v>19</v>
      </c>
      <c r="F62">
        <v>38</v>
      </c>
      <c r="G62" s="4">
        <v>44377</v>
      </c>
      <c r="H62" s="6">
        <v>109160</v>
      </c>
      <c r="I62" t="s">
        <v>10</v>
      </c>
    </row>
    <row r="63" spans="3:9" x14ac:dyDescent="0.25">
      <c r="C63" t="s">
        <v>98</v>
      </c>
      <c r="D63" t="s">
        <v>15</v>
      </c>
      <c r="E63" t="s">
        <v>9</v>
      </c>
      <c r="F63">
        <v>27</v>
      </c>
      <c r="G63" s="4">
        <v>44609</v>
      </c>
      <c r="H63" s="6">
        <v>113280</v>
      </c>
      <c r="I63" t="s">
        <v>42</v>
      </c>
    </row>
    <row r="64" spans="3:9" x14ac:dyDescent="0.25">
      <c r="C64" t="s">
        <v>25</v>
      </c>
      <c r="D64" t="s">
        <v>15</v>
      </c>
      <c r="E64" t="s">
        <v>12</v>
      </c>
      <c r="F64">
        <v>30</v>
      </c>
      <c r="G64" s="4">
        <v>44273</v>
      </c>
      <c r="H64" s="6">
        <v>69120</v>
      </c>
      <c r="I64" t="s">
        <v>16</v>
      </c>
    </row>
    <row r="65" spans="3:9" x14ac:dyDescent="0.25">
      <c r="C65" t="s">
        <v>55</v>
      </c>
      <c r="D65" t="s">
        <v>8</v>
      </c>
      <c r="E65" t="s">
        <v>56</v>
      </c>
      <c r="F65">
        <v>37</v>
      </c>
      <c r="G65" s="4">
        <v>44451</v>
      </c>
      <c r="H65" s="6">
        <v>118100</v>
      </c>
      <c r="I65" t="s">
        <v>16</v>
      </c>
    </row>
    <row r="66" spans="3:9" x14ac:dyDescent="0.25">
      <c r="C66" t="s">
        <v>62</v>
      </c>
      <c r="D66" t="s">
        <v>8</v>
      </c>
      <c r="E66" t="s">
        <v>9</v>
      </c>
      <c r="F66">
        <v>22</v>
      </c>
      <c r="G66" s="4">
        <v>44450</v>
      </c>
      <c r="H66" s="6">
        <v>76900</v>
      </c>
      <c r="I66" t="s">
        <v>13</v>
      </c>
    </row>
    <row r="67" spans="3:9" x14ac:dyDescent="0.25">
      <c r="C67" t="s">
        <v>17</v>
      </c>
      <c r="D67" t="s">
        <v>8</v>
      </c>
      <c r="E67" t="s">
        <v>12</v>
      </c>
      <c r="F67">
        <v>43</v>
      </c>
      <c r="G67" s="4">
        <v>45045</v>
      </c>
      <c r="H67" s="6">
        <v>114870</v>
      </c>
      <c r="I67" t="s">
        <v>16</v>
      </c>
    </row>
    <row r="68" spans="3:9" x14ac:dyDescent="0.25">
      <c r="C68" t="s">
        <v>52</v>
      </c>
      <c r="E68" t="s">
        <v>12</v>
      </c>
      <c r="F68">
        <v>32</v>
      </c>
      <c r="G68" s="4">
        <v>44774</v>
      </c>
      <c r="H68" s="6">
        <v>91310</v>
      </c>
      <c r="I68" t="s">
        <v>16</v>
      </c>
    </row>
    <row r="69" spans="3:9" x14ac:dyDescent="0.25">
      <c r="C69" t="s">
        <v>43</v>
      </c>
      <c r="D69" t="s">
        <v>8</v>
      </c>
      <c r="E69" t="s">
        <v>9</v>
      </c>
      <c r="F69">
        <v>28</v>
      </c>
      <c r="G69" s="4">
        <v>44486</v>
      </c>
      <c r="H69" s="6">
        <v>104770</v>
      </c>
      <c r="I69" t="s">
        <v>16</v>
      </c>
    </row>
    <row r="70" spans="3:9" x14ac:dyDescent="0.25">
      <c r="C70" t="s">
        <v>89</v>
      </c>
      <c r="D70" t="s">
        <v>15</v>
      </c>
      <c r="E70" t="s">
        <v>19</v>
      </c>
      <c r="F70">
        <v>27</v>
      </c>
      <c r="G70" s="4">
        <v>44134</v>
      </c>
      <c r="H70" s="6">
        <v>54970</v>
      </c>
      <c r="I70" t="s">
        <v>16</v>
      </c>
    </row>
    <row r="71" spans="3:9" x14ac:dyDescent="0.25">
      <c r="C71" t="s">
        <v>11</v>
      </c>
      <c r="E71" t="s">
        <v>12</v>
      </c>
      <c r="F71">
        <v>26</v>
      </c>
      <c r="G71" s="4">
        <v>44271</v>
      </c>
      <c r="H71" s="6">
        <v>90700</v>
      </c>
      <c r="I71" t="s">
        <v>13</v>
      </c>
    </row>
    <row r="72" spans="3:9" x14ac:dyDescent="0.25">
      <c r="C72" t="s">
        <v>109</v>
      </c>
      <c r="D72" t="s">
        <v>8</v>
      </c>
      <c r="E72" t="s">
        <v>19</v>
      </c>
      <c r="F72">
        <v>38</v>
      </c>
      <c r="G72" s="4">
        <v>44329</v>
      </c>
      <c r="H72" s="6">
        <v>56870</v>
      </c>
      <c r="I72" t="s">
        <v>13</v>
      </c>
    </row>
    <row r="73" spans="3:9" x14ac:dyDescent="0.25">
      <c r="C73" t="s">
        <v>77</v>
      </c>
      <c r="D73" t="s">
        <v>8</v>
      </c>
      <c r="E73" t="s">
        <v>19</v>
      </c>
      <c r="F73">
        <v>25</v>
      </c>
      <c r="G73" s="4">
        <v>44205</v>
      </c>
      <c r="H73" s="6">
        <v>92700</v>
      </c>
      <c r="I73" t="s">
        <v>16</v>
      </c>
    </row>
    <row r="74" spans="3:9" x14ac:dyDescent="0.25">
      <c r="C74" t="s">
        <v>32</v>
      </c>
      <c r="D74" t="s">
        <v>8</v>
      </c>
      <c r="E74" t="s">
        <v>21</v>
      </c>
      <c r="F74">
        <v>21</v>
      </c>
      <c r="G74" s="4">
        <v>44317</v>
      </c>
      <c r="H74" s="6">
        <v>65920</v>
      </c>
      <c r="I74" t="s">
        <v>16</v>
      </c>
    </row>
    <row r="75" spans="3:9" x14ac:dyDescent="0.25">
      <c r="C75" t="s">
        <v>59</v>
      </c>
      <c r="D75" t="s">
        <v>15</v>
      </c>
      <c r="E75" t="s">
        <v>9</v>
      </c>
      <c r="F75">
        <v>26</v>
      </c>
      <c r="G75" s="4">
        <v>44225</v>
      </c>
      <c r="H75" s="6">
        <v>47360</v>
      </c>
      <c r="I75" t="s">
        <v>16</v>
      </c>
    </row>
    <row r="76" spans="3:9" x14ac:dyDescent="0.25">
      <c r="C76" t="s">
        <v>37</v>
      </c>
      <c r="D76" t="s">
        <v>15</v>
      </c>
      <c r="E76" t="s">
        <v>9</v>
      </c>
      <c r="F76">
        <v>30</v>
      </c>
      <c r="G76" s="4">
        <v>44666</v>
      </c>
      <c r="H76" s="6">
        <v>60570</v>
      </c>
      <c r="I76" t="s">
        <v>16</v>
      </c>
    </row>
    <row r="77" spans="3:9" x14ac:dyDescent="0.25">
      <c r="C77" t="s">
        <v>96</v>
      </c>
      <c r="D77" t="s">
        <v>8</v>
      </c>
      <c r="E77" t="s">
        <v>9</v>
      </c>
      <c r="F77">
        <v>28</v>
      </c>
      <c r="G77" s="4">
        <v>44649</v>
      </c>
      <c r="H77" s="6">
        <v>104120</v>
      </c>
      <c r="I77" t="s">
        <v>16</v>
      </c>
    </row>
    <row r="78" spans="3:9" x14ac:dyDescent="0.25">
      <c r="C78" t="s">
        <v>23</v>
      </c>
      <c r="D78" t="s">
        <v>15</v>
      </c>
      <c r="E78" t="s">
        <v>12</v>
      </c>
      <c r="F78">
        <v>37</v>
      </c>
      <c r="G78" s="4">
        <v>44338</v>
      </c>
      <c r="H78" s="6">
        <v>88050</v>
      </c>
      <c r="I78" t="s">
        <v>24</v>
      </c>
    </row>
    <row r="79" spans="3:9" x14ac:dyDescent="0.25">
      <c r="C79" t="s">
        <v>103</v>
      </c>
      <c r="D79" t="s">
        <v>15</v>
      </c>
      <c r="E79" t="s">
        <v>12</v>
      </c>
      <c r="F79">
        <v>24</v>
      </c>
      <c r="G79" s="4">
        <v>44686</v>
      </c>
      <c r="H79" s="6">
        <v>100420</v>
      </c>
      <c r="I79" t="s">
        <v>16</v>
      </c>
    </row>
    <row r="80" spans="3:9" x14ac:dyDescent="0.25">
      <c r="C80" t="s">
        <v>54</v>
      </c>
      <c r="D80" t="s">
        <v>8</v>
      </c>
      <c r="E80" t="s">
        <v>9</v>
      </c>
      <c r="F80">
        <v>30</v>
      </c>
      <c r="G80" s="4">
        <v>44850</v>
      </c>
      <c r="H80" s="6">
        <v>114180</v>
      </c>
      <c r="I80" t="s">
        <v>16</v>
      </c>
    </row>
    <row r="81" spans="3:9" x14ac:dyDescent="0.25">
      <c r="C81" t="s">
        <v>86</v>
      </c>
      <c r="D81" t="s">
        <v>8</v>
      </c>
      <c r="E81" t="s">
        <v>12</v>
      </c>
      <c r="F81">
        <v>21</v>
      </c>
      <c r="G81" s="4">
        <v>44678</v>
      </c>
      <c r="H81" s="6">
        <v>33920</v>
      </c>
      <c r="I81" t="s">
        <v>16</v>
      </c>
    </row>
    <row r="82" spans="3:9" x14ac:dyDescent="0.25">
      <c r="C82" t="s">
        <v>69</v>
      </c>
      <c r="D82" t="s">
        <v>15</v>
      </c>
      <c r="E82" t="s">
        <v>9</v>
      </c>
      <c r="F82">
        <v>23</v>
      </c>
      <c r="G82" s="4">
        <v>44440</v>
      </c>
      <c r="H82" s="6">
        <v>106460</v>
      </c>
      <c r="I82" t="s">
        <v>16</v>
      </c>
    </row>
    <row r="83" spans="3:9" x14ac:dyDescent="0.25">
      <c r="C83" t="s">
        <v>57</v>
      </c>
      <c r="D83" t="s">
        <v>15</v>
      </c>
      <c r="E83" t="s">
        <v>9</v>
      </c>
      <c r="F83">
        <v>35</v>
      </c>
      <c r="G83" s="4">
        <v>44727</v>
      </c>
      <c r="H83" s="6">
        <v>40400</v>
      </c>
      <c r="I83" t="s">
        <v>16</v>
      </c>
    </row>
    <row r="84" spans="3:9" x14ac:dyDescent="0.25">
      <c r="C84" t="s">
        <v>68</v>
      </c>
      <c r="D84" t="s">
        <v>15</v>
      </c>
      <c r="E84" t="s">
        <v>21</v>
      </c>
      <c r="F84">
        <v>27</v>
      </c>
      <c r="G84" s="4">
        <v>44236</v>
      </c>
      <c r="H84" s="6">
        <v>91650</v>
      </c>
      <c r="I84" t="s">
        <v>13</v>
      </c>
    </row>
    <row r="85" spans="3:9" x14ac:dyDescent="0.25">
      <c r="C85" t="s">
        <v>99</v>
      </c>
      <c r="D85" t="s">
        <v>15</v>
      </c>
      <c r="E85" t="s">
        <v>19</v>
      </c>
      <c r="F85">
        <v>43</v>
      </c>
      <c r="G85" s="4">
        <v>44620</v>
      </c>
      <c r="H85" s="6">
        <v>36040</v>
      </c>
      <c r="I85" t="s">
        <v>16</v>
      </c>
    </row>
    <row r="86" spans="3:9" x14ac:dyDescent="0.25">
      <c r="C86" t="s">
        <v>101</v>
      </c>
      <c r="D86" t="s">
        <v>8</v>
      </c>
      <c r="E86" t="s">
        <v>12</v>
      </c>
      <c r="F86">
        <v>40</v>
      </c>
      <c r="G86" s="4">
        <v>44381</v>
      </c>
      <c r="H86" s="6">
        <v>104410</v>
      </c>
      <c r="I86" t="s">
        <v>16</v>
      </c>
    </row>
    <row r="87" spans="3:9" x14ac:dyDescent="0.25">
      <c r="C87" t="s">
        <v>85</v>
      </c>
      <c r="D87" t="s">
        <v>15</v>
      </c>
      <c r="E87" t="s">
        <v>21</v>
      </c>
      <c r="F87">
        <v>30</v>
      </c>
      <c r="G87" s="4">
        <v>44606</v>
      </c>
      <c r="H87" s="6">
        <v>96800</v>
      </c>
      <c r="I87" t="s">
        <v>16</v>
      </c>
    </row>
    <row r="88" spans="3:9" x14ac:dyDescent="0.25">
      <c r="C88" t="s">
        <v>28</v>
      </c>
      <c r="D88" t="s">
        <v>8</v>
      </c>
      <c r="E88" t="s">
        <v>21</v>
      </c>
      <c r="F88">
        <v>34</v>
      </c>
      <c r="G88" s="4">
        <v>44459</v>
      </c>
      <c r="H88" s="6">
        <v>85000</v>
      </c>
      <c r="I88" t="s">
        <v>16</v>
      </c>
    </row>
    <row r="89" spans="3:9" x14ac:dyDescent="0.25">
      <c r="C89" t="s">
        <v>80</v>
      </c>
      <c r="D89" t="s">
        <v>15</v>
      </c>
      <c r="E89" t="s">
        <v>19</v>
      </c>
      <c r="F89">
        <v>28</v>
      </c>
      <c r="G89" s="4">
        <v>44820</v>
      </c>
      <c r="H89" s="6">
        <v>43510</v>
      </c>
      <c r="I89" t="s">
        <v>42</v>
      </c>
    </row>
    <row r="90" spans="3:9" x14ac:dyDescent="0.25">
      <c r="C90" t="s">
        <v>79</v>
      </c>
      <c r="D90" t="s">
        <v>15</v>
      </c>
      <c r="E90" t="s">
        <v>21</v>
      </c>
      <c r="F90">
        <v>33</v>
      </c>
      <c r="G90" s="4">
        <v>44243</v>
      </c>
      <c r="H90" s="6">
        <v>59430</v>
      </c>
      <c r="I90" t="s">
        <v>16</v>
      </c>
    </row>
    <row r="91" spans="3:9" x14ac:dyDescent="0.25">
      <c r="C91" t="s">
        <v>93</v>
      </c>
      <c r="D91" t="s">
        <v>8</v>
      </c>
      <c r="E91" t="s">
        <v>21</v>
      </c>
      <c r="F91">
        <v>33</v>
      </c>
      <c r="G91" s="4">
        <v>44067</v>
      </c>
      <c r="H91" s="6">
        <v>65360</v>
      </c>
      <c r="I91" t="s">
        <v>16</v>
      </c>
    </row>
    <row r="92" spans="3:9" x14ac:dyDescent="0.25">
      <c r="C92" t="s">
        <v>66</v>
      </c>
      <c r="D92" t="s">
        <v>8</v>
      </c>
      <c r="E92" t="s">
        <v>9</v>
      </c>
      <c r="F92">
        <v>32</v>
      </c>
      <c r="G92" s="4">
        <v>44611</v>
      </c>
      <c r="H92" s="6">
        <v>41570</v>
      </c>
      <c r="I92" t="s">
        <v>16</v>
      </c>
    </row>
    <row r="93" spans="3:9" x14ac:dyDescent="0.25">
      <c r="C93" t="s">
        <v>95</v>
      </c>
      <c r="D93" t="s">
        <v>8</v>
      </c>
      <c r="E93" t="s">
        <v>12</v>
      </c>
      <c r="F93">
        <v>33</v>
      </c>
      <c r="G93" s="4">
        <v>44312</v>
      </c>
      <c r="H93" s="6">
        <v>75280</v>
      </c>
      <c r="I93" t="s">
        <v>16</v>
      </c>
    </row>
    <row r="94" spans="3:9" x14ac:dyDescent="0.25">
      <c r="C94" t="s">
        <v>18</v>
      </c>
      <c r="D94" t="s">
        <v>15</v>
      </c>
      <c r="E94" t="s">
        <v>19</v>
      </c>
      <c r="F94">
        <v>33</v>
      </c>
      <c r="G94" s="4">
        <v>44385</v>
      </c>
      <c r="H94" s="6">
        <v>74550</v>
      </c>
      <c r="I94" t="s">
        <v>16</v>
      </c>
    </row>
    <row r="95" spans="3:9" x14ac:dyDescent="0.25">
      <c r="C95" t="s">
        <v>45</v>
      </c>
      <c r="D95" t="s">
        <v>15</v>
      </c>
      <c r="E95" t="s">
        <v>9</v>
      </c>
      <c r="F95">
        <v>30</v>
      </c>
      <c r="G95" s="4">
        <v>44701</v>
      </c>
      <c r="H95" s="6">
        <v>67950</v>
      </c>
      <c r="I95" t="s">
        <v>16</v>
      </c>
    </row>
    <row r="96" spans="3:9" x14ac:dyDescent="0.25">
      <c r="C96" t="s">
        <v>90</v>
      </c>
      <c r="D96" t="s">
        <v>15</v>
      </c>
      <c r="E96" t="s">
        <v>21</v>
      </c>
      <c r="F96">
        <v>42</v>
      </c>
      <c r="G96" s="4">
        <v>44731</v>
      </c>
      <c r="H96" s="6">
        <v>70270</v>
      </c>
      <c r="I96" t="s">
        <v>24</v>
      </c>
    </row>
    <row r="97" spans="3:9" x14ac:dyDescent="0.25">
      <c r="C97" t="s">
        <v>46</v>
      </c>
      <c r="D97" t="s">
        <v>15</v>
      </c>
      <c r="E97" t="s">
        <v>9</v>
      </c>
      <c r="F97">
        <v>26</v>
      </c>
      <c r="G97" s="4">
        <v>44411</v>
      </c>
      <c r="H97" s="6">
        <v>53540</v>
      </c>
      <c r="I97" t="s">
        <v>16</v>
      </c>
    </row>
    <row r="98" spans="3:9" x14ac:dyDescent="0.25">
      <c r="C98" t="s">
        <v>58</v>
      </c>
      <c r="D98" t="s">
        <v>15</v>
      </c>
      <c r="E98" t="s">
        <v>19</v>
      </c>
      <c r="F98">
        <v>22</v>
      </c>
      <c r="G98" s="4">
        <v>44446</v>
      </c>
      <c r="H98" s="6">
        <v>112780</v>
      </c>
      <c r="I98" t="s">
        <v>13</v>
      </c>
    </row>
    <row r="99" spans="3:9" x14ac:dyDescent="0.25">
      <c r="C99" t="s">
        <v>70</v>
      </c>
      <c r="D99" t="s">
        <v>15</v>
      </c>
      <c r="E99" t="s">
        <v>9</v>
      </c>
      <c r="F99">
        <v>46</v>
      </c>
      <c r="G99" s="4">
        <v>44758</v>
      </c>
      <c r="H99" s="6">
        <v>70610</v>
      </c>
      <c r="I99" t="s">
        <v>16</v>
      </c>
    </row>
    <row r="100" spans="3:9" x14ac:dyDescent="0.25">
      <c r="C100" t="s">
        <v>75</v>
      </c>
      <c r="D100" t="s">
        <v>8</v>
      </c>
      <c r="E100" t="s">
        <v>19</v>
      </c>
      <c r="F100">
        <v>28</v>
      </c>
      <c r="G100" s="4">
        <v>44357</v>
      </c>
      <c r="H100" s="6">
        <v>53240</v>
      </c>
      <c r="I100" t="s">
        <v>16</v>
      </c>
    </row>
    <row r="101" spans="3:9" x14ac:dyDescent="0.25">
      <c r="C101" t="s">
        <v>49</v>
      </c>
      <c r="E101" t="s">
        <v>21</v>
      </c>
      <c r="F101">
        <v>37</v>
      </c>
      <c r="G101" s="4">
        <v>44146</v>
      </c>
      <c r="H101" s="6">
        <v>115440</v>
      </c>
      <c r="I101" t="s">
        <v>24</v>
      </c>
    </row>
    <row r="102" spans="3:9" x14ac:dyDescent="0.25">
      <c r="C102" t="s">
        <v>65</v>
      </c>
      <c r="D102" t="s">
        <v>15</v>
      </c>
      <c r="E102" t="s">
        <v>19</v>
      </c>
      <c r="F102">
        <v>32</v>
      </c>
      <c r="G102" s="4">
        <v>44465</v>
      </c>
      <c r="H102" s="6">
        <v>53540</v>
      </c>
      <c r="I102" t="s">
        <v>16</v>
      </c>
    </row>
    <row r="103" spans="3:9" x14ac:dyDescent="0.25">
      <c r="C103" t="s">
        <v>81</v>
      </c>
      <c r="D103" t="s">
        <v>8</v>
      </c>
      <c r="E103" t="s">
        <v>9</v>
      </c>
      <c r="F103">
        <v>30</v>
      </c>
      <c r="G103" s="4">
        <v>44861</v>
      </c>
      <c r="H103" s="6">
        <v>112570</v>
      </c>
      <c r="I103" t="s">
        <v>16</v>
      </c>
    </row>
    <row r="104" spans="3:9" x14ac:dyDescent="0.25">
      <c r="C104" t="s">
        <v>51</v>
      </c>
      <c r="D104" t="s">
        <v>15</v>
      </c>
      <c r="E104" t="s">
        <v>9</v>
      </c>
      <c r="F104">
        <v>33</v>
      </c>
      <c r="G104" s="4">
        <v>44701</v>
      </c>
      <c r="H104" s="6">
        <v>48530</v>
      </c>
      <c r="I104" t="s">
        <v>13</v>
      </c>
    </row>
    <row r="105" spans="3:9" x14ac:dyDescent="0.25">
      <c r="C105" t="s">
        <v>61</v>
      </c>
      <c r="D105" t="s">
        <v>8</v>
      </c>
      <c r="E105" t="s">
        <v>12</v>
      </c>
      <c r="F105">
        <v>24</v>
      </c>
      <c r="G105" s="4">
        <v>44148</v>
      </c>
      <c r="H105" s="6">
        <v>62780</v>
      </c>
      <c r="I105" t="s">
        <v>16</v>
      </c>
    </row>
    <row r="106" spans="3:9" x14ac:dyDescent="0.25">
      <c r="C106" t="s">
        <v>203</v>
      </c>
      <c r="F106">
        <f>SUBTOTAL(101,nz_staff[Age])</f>
        <v>30.52</v>
      </c>
      <c r="H106" s="6">
        <f>SUBTOTAL(101,nz_staff[Salary])</f>
        <v>77472.100000000006</v>
      </c>
      <c r="I106">
        <f>SUBTOTAL(103,nz_staff[Rating])</f>
        <v>100</v>
      </c>
    </row>
  </sheetData>
  <conditionalFormatting sqref="C1:C1048576">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FFED2-BD34-46FE-9C0B-A12CBC771034}">
  <sheetPr>
    <tabColor rgb="FFFFFF00"/>
  </sheetPr>
  <dimension ref="A1:P184"/>
  <sheetViews>
    <sheetView topLeftCell="C19" zoomScale="98" zoomScaleNormal="98" workbookViewId="0">
      <selection activeCell="O16" sqref="O16"/>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8.5703125" bestFit="1" customWidth="1"/>
    <col min="8" max="8" width="10.28515625" bestFit="1" customWidth="1"/>
    <col min="9" max="9" width="14" style="8" bestFit="1" customWidth="1"/>
    <col min="10" max="10" width="14" style="8" customWidth="1"/>
    <col min="11" max="11" width="19.140625" bestFit="1" customWidth="1"/>
    <col min="12" max="12" width="19.140625" customWidth="1"/>
    <col min="14" max="14" width="19.140625" bestFit="1" customWidth="1"/>
    <col min="15" max="15" width="11.5703125" bestFit="1" customWidth="1"/>
  </cols>
  <sheetData>
    <row r="1" spans="1:16" x14ac:dyDescent="0.25">
      <c r="A1" t="s">
        <v>0</v>
      </c>
      <c r="B1" t="s">
        <v>1</v>
      </c>
      <c r="C1" t="s">
        <v>3</v>
      </c>
      <c r="D1" t="s">
        <v>6</v>
      </c>
      <c r="E1" t="s">
        <v>4</v>
      </c>
      <c r="F1" t="s">
        <v>2</v>
      </c>
      <c r="G1" t="s">
        <v>5</v>
      </c>
      <c r="H1" t="s">
        <v>204</v>
      </c>
      <c r="I1" s="8" t="s">
        <v>213</v>
      </c>
      <c r="J1" s="8" t="s">
        <v>229</v>
      </c>
      <c r="K1" t="s">
        <v>230</v>
      </c>
    </row>
    <row r="2" spans="1:16" x14ac:dyDescent="0.25">
      <c r="A2" t="s">
        <v>179</v>
      </c>
      <c r="B2" t="s">
        <v>8</v>
      </c>
      <c r="C2">
        <v>21</v>
      </c>
      <c r="D2" t="s">
        <v>16</v>
      </c>
      <c r="E2" s="7">
        <v>44619</v>
      </c>
      <c r="F2" t="s">
        <v>12</v>
      </c>
      <c r="G2">
        <v>33920</v>
      </c>
      <c r="H2" t="s">
        <v>205</v>
      </c>
      <c r="I2" s="8">
        <f ca="1">(TODAY() -staff[[#This Row],[Date Joined]])/365</f>
        <v>1.9863013698630136</v>
      </c>
      <c r="J2" s="14">
        <f ca="1">ROUNDUP(IF(staff[[#This Row],[Tenure]]&gt;2,3%,2%)*staff[[#This Row],[Salary]],0)</f>
        <v>679</v>
      </c>
      <c r="K2" cm="1">
        <f t="array" ref="K2">_xlfn.XLOOKUP(staff[[#This Row],[Rating]],Table5[[#All],[Column1]],Table5[[#All],[Column2]])</f>
        <v>3</v>
      </c>
      <c r="N2" t="s">
        <v>243</v>
      </c>
      <c r="O2" t="s">
        <v>244</v>
      </c>
    </row>
    <row r="3" spans="1:16" x14ac:dyDescent="0.25">
      <c r="A3" t="s">
        <v>86</v>
      </c>
      <c r="B3" t="s">
        <v>8</v>
      </c>
      <c r="C3">
        <v>21</v>
      </c>
      <c r="D3" t="s">
        <v>16</v>
      </c>
      <c r="E3" s="7">
        <v>44678</v>
      </c>
      <c r="F3" t="s">
        <v>12</v>
      </c>
      <c r="G3">
        <v>33920</v>
      </c>
      <c r="H3" t="s">
        <v>207</v>
      </c>
      <c r="I3" s="8">
        <f ca="1">(TODAY() -staff[[#This Row],[Date Joined]])/365</f>
        <v>1.8246575342465754</v>
      </c>
      <c r="J3" s="14">
        <f ca="1">ROUNDUP(IF(staff[[#This Row],[Tenure]]&gt;2,3%,2%)*staff[[#This Row],[Salary]],0)</f>
        <v>679</v>
      </c>
      <c r="K3" cm="1">
        <f t="array" ref="K3">_xlfn.XLOOKUP(staff[[#This Row],[Rating]],Table5[[#All],[Column1]],Table5[[#All],[Column2]])</f>
        <v>3</v>
      </c>
      <c r="N3" t="s">
        <v>212</v>
      </c>
      <c r="O3">
        <f>COUNTA(staff[Name])</f>
        <v>183</v>
      </c>
      <c r="P3">
        <f>MEDIAN(G:G)</f>
        <v>75000</v>
      </c>
    </row>
    <row r="4" spans="1:16" x14ac:dyDescent="0.25">
      <c r="A4" t="s">
        <v>137</v>
      </c>
      <c r="B4" t="s">
        <v>8</v>
      </c>
      <c r="C4">
        <v>29</v>
      </c>
      <c r="D4" t="s">
        <v>16</v>
      </c>
      <c r="E4" s="7">
        <v>43962</v>
      </c>
      <c r="F4" t="s">
        <v>12</v>
      </c>
      <c r="G4">
        <v>34980</v>
      </c>
      <c r="H4" t="s">
        <v>205</v>
      </c>
      <c r="I4" s="8">
        <f ca="1">(TODAY() -staff[[#This Row],[Date Joined]])/365</f>
        <v>3.7863013698630139</v>
      </c>
      <c r="J4" s="14">
        <f ca="1">ROUNDUP(IF(staff[[#This Row],[Tenure]]&gt;2,3%,2%)*staff[[#This Row],[Salary]],0)</f>
        <v>1050</v>
      </c>
      <c r="K4" cm="1">
        <f t="array" ref="K4">_xlfn.XLOOKUP(staff[[#This Row],[Rating]],Table5[[#All],[Column1]],Table5[[#All],[Column2]])</f>
        <v>3</v>
      </c>
      <c r="N4" t="s">
        <v>208</v>
      </c>
      <c r="O4">
        <f>AVERAGE(staff[Salary])</f>
        <v>77173.715846994543</v>
      </c>
    </row>
    <row r="5" spans="1:16" x14ac:dyDescent="0.25">
      <c r="A5" t="s">
        <v>44</v>
      </c>
      <c r="B5" t="s">
        <v>8</v>
      </c>
      <c r="C5">
        <v>29</v>
      </c>
      <c r="D5" t="s">
        <v>16</v>
      </c>
      <c r="E5" s="7">
        <v>44023</v>
      </c>
      <c r="F5" t="s">
        <v>12</v>
      </c>
      <c r="G5">
        <v>34980</v>
      </c>
      <c r="H5" t="s">
        <v>207</v>
      </c>
      <c r="I5" s="8">
        <f ca="1">(TODAY() -staff[[#This Row],[Date Joined]])/365</f>
        <v>3.6191780821917807</v>
      </c>
      <c r="J5" s="14">
        <f ca="1">ROUNDUP(IF(staff[[#This Row],[Tenure]]&gt;2,3%,2%)*staff[[#This Row],[Salary]],0)</f>
        <v>1050</v>
      </c>
      <c r="K5" cm="1">
        <f t="array" ref="K5">_xlfn.XLOOKUP(staff[[#This Row],[Rating]],Table5[[#All],[Column1]],Table5[[#All],[Column2]])</f>
        <v>3</v>
      </c>
      <c r="N5" t="s">
        <v>209</v>
      </c>
      <c r="O5">
        <f ca="1">AVERAGE(staff[Tenure])</f>
        <v>2.49580058387604</v>
      </c>
      <c r="P5">
        <f>MEDIAN(C:C)</f>
        <v>30</v>
      </c>
    </row>
    <row r="6" spans="1:16" x14ac:dyDescent="0.25">
      <c r="A6" t="s">
        <v>192</v>
      </c>
      <c r="B6" t="s">
        <v>15</v>
      </c>
      <c r="C6">
        <v>43</v>
      </c>
      <c r="D6" t="s">
        <v>16</v>
      </c>
      <c r="E6" s="7">
        <v>44558</v>
      </c>
      <c r="F6" t="s">
        <v>19</v>
      </c>
      <c r="G6">
        <v>36040</v>
      </c>
      <c r="H6" t="s">
        <v>205</v>
      </c>
      <c r="I6" s="8">
        <f ca="1">(TODAY() -staff[[#This Row],[Date Joined]])/365</f>
        <v>2.1534246575342464</v>
      </c>
      <c r="J6" s="14">
        <f ca="1">ROUNDUP(IF(staff[[#This Row],[Tenure]]&gt;2,3%,2%)*staff[[#This Row],[Salary]],0)</f>
        <v>1082</v>
      </c>
      <c r="K6" cm="1">
        <f t="array" ref="K6">_xlfn.XLOOKUP(staff[[#This Row],[Rating]],Table5[[#All],[Column1]],Table5[[#All],[Column2]])</f>
        <v>3</v>
      </c>
      <c r="N6" t="s">
        <v>210</v>
      </c>
      <c r="O6">
        <f>AVERAGE(C:C)</f>
        <v>30.42622950819672</v>
      </c>
    </row>
    <row r="7" spans="1:16" x14ac:dyDescent="0.25">
      <c r="A7" t="s">
        <v>99</v>
      </c>
      <c r="B7" t="s">
        <v>15</v>
      </c>
      <c r="C7">
        <v>43</v>
      </c>
      <c r="D7" t="s">
        <v>16</v>
      </c>
      <c r="E7" s="7">
        <v>44620</v>
      </c>
      <c r="F7" t="s">
        <v>19</v>
      </c>
      <c r="G7">
        <v>36040</v>
      </c>
      <c r="H7" t="s">
        <v>207</v>
      </c>
      <c r="I7" s="8">
        <f ca="1">(TODAY() -staff[[#This Row],[Date Joined]])/365</f>
        <v>1.9835616438356165</v>
      </c>
      <c r="J7" s="14">
        <f ca="1">ROUNDUP(IF(staff[[#This Row],[Tenure]]&gt;2,3%,2%)*staff[[#This Row],[Salary]],0)</f>
        <v>721</v>
      </c>
      <c r="K7" cm="1">
        <f t="array" ref="K7">_xlfn.XLOOKUP(staff[[#This Row],[Rating]],Table5[[#All],[Column1]],Table5[[#All],[Column2]])</f>
        <v>3</v>
      </c>
      <c r="N7" t="s">
        <v>211</v>
      </c>
    </row>
    <row r="8" spans="1:16" x14ac:dyDescent="0.25">
      <c r="A8" t="s">
        <v>140</v>
      </c>
      <c r="B8" t="s">
        <v>15</v>
      </c>
      <c r="C8">
        <v>21</v>
      </c>
      <c r="D8" t="s">
        <v>16</v>
      </c>
      <c r="E8" s="7">
        <v>44042</v>
      </c>
      <c r="F8" t="s">
        <v>9</v>
      </c>
      <c r="G8">
        <v>37920</v>
      </c>
      <c r="H8" t="s">
        <v>205</v>
      </c>
      <c r="I8" s="8">
        <f ca="1">(TODAY() -staff[[#This Row],[Date Joined]])/365</f>
        <v>3.5671232876712327</v>
      </c>
      <c r="J8" s="14">
        <f ca="1">ROUNDUP(IF(staff[[#This Row],[Tenure]]&gt;2,3%,2%)*staff[[#This Row],[Salary]],0)</f>
        <v>1138</v>
      </c>
      <c r="K8" cm="1">
        <f t="array" ref="K8">_xlfn.XLOOKUP(staff[[#This Row],[Rating]],Table5[[#All],[Column1]],Table5[[#All],[Column2]])</f>
        <v>3</v>
      </c>
      <c r="N8" t="s">
        <v>214</v>
      </c>
      <c r="O8">
        <f>COUNTIFS(staff[Gender], "Female")</f>
        <v>86</v>
      </c>
    </row>
    <row r="9" spans="1:16" x14ac:dyDescent="0.25">
      <c r="A9" t="s">
        <v>47</v>
      </c>
      <c r="B9" t="s">
        <v>15</v>
      </c>
      <c r="C9">
        <v>21</v>
      </c>
      <c r="D9" t="s">
        <v>16</v>
      </c>
      <c r="E9" s="7">
        <v>44104</v>
      </c>
      <c r="F9" t="s">
        <v>9</v>
      </c>
      <c r="G9">
        <v>37920</v>
      </c>
      <c r="H9" t="s">
        <v>207</v>
      </c>
      <c r="I9" s="8">
        <f ca="1">(TODAY() -staff[[#This Row],[Date Joined]])/365</f>
        <v>3.3972602739726026</v>
      </c>
      <c r="J9" s="14">
        <f ca="1">ROUNDUP(IF(staff[[#This Row],[Tenure]]&gt;2,3%,2%)*staff[[#This Row],[Salary]],0)</f>
        <v>1138</v>
      </c>
      <c r="K9" cm="1">
        <f t="array" ref="K9">_xlfn.XLOOKUP(staff[[#This Row],[Rating]],Table5[[#All],[Column1]],Table5[[#All],[Column2]])</f>
        <v>3</v>
      </c>
      <c r="N9" t="s">
        <v>215</v>
      </c>
      <c r="O9" s="9">
        <f>O8/O3</f>
        <v>0.46994535519125685</v>
      </c>
    </row>
    <row r="10" spans="1:16" x14ac:dyDescent="0.25">
      <c r="A10" t="s">
        <v>149</v>
      </c>
      <c r="B10" t="s">
        <v>15</v>
      </c>
      <c r="C10">
        <v>35</v>
      </c>
      <c r="D10" t="s">
        <v>16</v>
      </c>
      <c r="E10" s="7">
        <v>44666</v>
      </c>
      <c r="F10" t="s">
        <v>9</v>
      </c>
      <c r="G10">
        <v>40400</v>
      </c>
      <c r="H10" t="s">
        <v>205</v>
      </c>
      <c r="I10" s="8">
        <f ca="1">(TODAY() -staff[[#This Row],[Date Joined]])/365</f>
        <v>1.8575342465753424</v>
      </c>
      <c r="J10" s="14">
        <f ca="1">ROUNDUP(IF(staff[[#This Row],[Tenure]]&gt;2,3%,2%)*staff[[#This Row],[Salary]],0)</f>
        <v>808</v>
      </c>
      <c r="K10" cm="1">
        <f t="array" ref="K10">_xlfn.XLOOKUP(staff[[#This Row],[Rating]],Table5[[#All],[Column1]],Table5[[#All],[Column2]])</f>
        <v>3</v>
      </c>
      <c r="N10" t="s">
        <v>216</v>
      </c>
      <c r="O10" s="10">
        <f>COUNTIFS(staff[Salary],"&gt;90000")</f>
        <v>63</v>
      </c>
    </row>
    <row r="11" spans="1:16" x14ac:dyDescent="0.25">
      <c r="A11" t="s">
        <v>57</v>
      </c>
      <c r="B11" t="s">
        <v>15</v>
      </c>
      <c r="C11">
        <v>35</v>
      </c>
      <c r="D11" t="s">
        <v>16</v>
      </c>
      <c r="E11" s="7">
        <v>44727</v>
      </c>
      <c r="F11" t="s">
        <v>9</v>
      </c>
      <c r="G11">
        <v>40400</v>
      </c>
      <c r="H11" t="s">
        <v>207</v>
      </c>
      <c r="I11" s="8">
        <f ca="1">(TODAY() -staff[[#This Row],[Date Joined]])/365</f>
        <v>1.6904109589041096</v>
      </c>
      <c r="J11" s="14">
        <f ca="1">ROUNDUP(IF(staff[[#This Row],[Tenure]]&gt;2,3%,2%)*staff[[#This Row],[Salary]],0)</f>
        <v>808</v>
      </c>
      <c r="K11" cm="1">
        <f t="array" ref="K11">_xlfn.XLOOKUP(staff[[#This Row],[Rating]],Table5[[#All],[Column1]],Table5[[#All],[Column2]])</f>
        <v>3</v>
      </c>
      <c r="N11" t="s">
        <v>217</v>
      </c>
      <c r="O11" s="9">
        <f>O10/O3</f>
        <v>0.34426229508196721</v>
      </c>
    </row>
    <row r="12" spans="1:16" x14ac:dyDescent="0.25">
      <c r="A12" t="s">
        <v>158</v>
      </c>
      <c r="B12" t="s">
        <v>8</v>
      </c>
      <c r="C12">
        <v>32</v>
      </c>
      <c r="D12" t="s">
        <v>16</v>
      </c>
      <c r="E12" s="7">
        <v>44549</v>
      </c>
      <c r="F12" t="s">
        <v>9</v>
      </c>
      <c r="G12">
        <v>41570</v>
      </c>
      <c r="H12" t="s">
        <v>205</v>
      </c>
      <c r="I12" s="8">
        <f ca="1">(TODAY() -staff[[#This Row],[Date Joined]])/365</f>
        <v>2.1780821917808217</v>
      </c>
      <c r="J12" s="14">
        <f ca="1">ROUNDUP(IF(staff[[#This Row],[Tenure]]&gt;2,3%,2%)*staff[[#This Row],[Salary]],0)</f>
        <v>1248</v>
      </c>
      <c r="K12" cm="1">
        <f t="array" ref="K12">_xlfn.XLOOKUP(staff[[#This Row],[Rating]],Table5[[#All],[Column1]],Table5[[#All],[Column2]])</f>
        <v>3</v>
      </c>
    </row>
    <row r="13" spans="1:16" x14ac:dyDescent="0.25">
      <c r="A13" t="s">
        <v>66</v>
      </c>
      <c r="B13" t="s">
        <v>8</v>
      </c>
      <c r="C13">
        <v>32</v>
      </c>
      <c r="D13" t="s">
        <v>16</v>
      </c>
      <c r="E13" s="7">
        <v>44611</v>
      </c>
      <c r="F13" t="s">
        <v>9</v>
      </c>
      <c r="G13">
        <v>41570</v>
      </c>
      <c r="H13" t="s">
        <v>207</v>
      </c>
      <c r="I13" s="8">
        <f ca="1">(TODAY() -staff[[#This Row],[Date Joined]])/365</f>
        <v>2.0082191780821916</v>
      </c>
      <c r="J13" s="14">
        <f ca="1">ROUNDUP(IF(staff[[#This Row],[Tenure]]&gt;2,3%,2%)*staff[[#This Row],[Salary]],0)</f>
        <v>1248</v>
      </c>
      <c r="K13" cm="1">
        <f t="array" ref="K13">_xlfn.XLOOKUP(staff[[#This Row],[Rating]],Table5[[#All],[Column1]],Table5[[#All],[Column2]])</f>
        <v>3</v>
      </c>
    </row>
    <row r="14" spans="1:16" x14ac:dyDescent="0.25">
      <c r="A14" t="s">
        <v>124</v>
      </c>
      <c r="B14" t="s">
        <v>8</v>
      </c>
      <c r="C14">
        <v>31</v>
      </c>
      <c r="D14" t="s">
        <v>16</v>
      </c>
      <c r="E14" s="7">
        <v>44084</v>
      </c>
      <c r="F14" t="s">
        <v>12</v>
      </c>
      <c r="G14">
        <v>41980</v>
      </c>
      <c r="H14" t="s">
        <v>205</v>
      </c>
      <c r="I14" s="8">
        <f ca="1">(TODAY() -staff[[#This Row],[Date Joined]])/365</f>
        <v>3.452054794520548</v>
      </c>
      <c r="J14" s="14">
        <f ca="1">ROUNDUP(IF(staff[[#This Row],[Tenure]]&gt;2,3%,2%)*staff[[#This Row],[Salary]],0)</f>
        <v>1260</v>
      </c>
      <c r="K14" cm="1">
        <f t="array" ref="K14">_xlfn.XLOOKUP(staff[[#This Row],[Rating]],Table5[[#All],[Column1]],Table5[[#All],[Column2]])</f>
        <v>3</v>
      </c>
      <c r="M14" s="11" t="s">
        <v>1</v>
      </c>
      <c r="N14" s="11" t="str" cm="1">
        <f t="array" aca="1" ref="N14:N21" ca="1">TRANSPOSE(_xlfn.XLOOKUP(A13,staff[Name],staff[[Gender]:[Tenure]]))</f>
        <v>Female</v>
      </c>
      <c r="O14" t="s">
        <v>219</v>
      </c>
    </row>
    <row r="15" spans="1:16" x14ac:dyDescent="0.25">
      <c r="A15" t="s">
        <v>30</v>
      </c>
      <c r="B15" t="s">
        <v>8</v>
      </c>
      <c r="C15">
        <v>31</v>
      </c>
      <c r="D15" t="s">
        <v>16</v>
      </c>
      <c r="E15" s="7">
        <v>44145</v>
      </c>
      <c r="F15" t="s">
        <v>12</v>
      </c>
      <c r="G15">
        <v>41980</v>
      </c>
      <c r="H15" t="s">
        <v>207</v>
      </c>
      <c r="I15" s="8">
        <f ca="1">(TODAY() -staff[[#This Row],[Date Joined]])/365</f>
        <v>3.2849315068493152</v>
      </c>
      <c r="J15" s="14">
        <f ca="1">ROUNDUP(IF(staff[[#This Row],[Tenure]]&gt;2,3%,2%)*staff[[#This Row],[Salary]],0)</f>
        <v>1260</v>
      </c>
      <c r="K15" cm="1">
        <f t="array" ref="K15">_xlfn.XLOOKUP(staff[[#This Row],[Rating]],Table5[[#All],[Column1]],Table5[[#All],[Column2]])</f>
        <v>3</v>
      </c>
      <c r="M15" s="11" t="s">
        <v>3</v>
      </c>
      <c r="N15" s="11">
        <f ca="1"/>
        <v>32</v>
      </c>
      <c r="O15" t="s">
        <v>220</v>
      </c>
    </row>
    <row r="16" spans="1:16" x14ac:dyDescent="0.25">
      <c r="A16" t="s">
        <v>172</v>
      </c>
      <c r="B16" t="s">
        <v>15</v>
      </c>
      <c r="C16">
        <v>28</v>
      </c>
      <c r="D16" t="s">
        <v>42</v>
      </c>
      <c r="E16" s="7">
        <v>44758</v>
      </c>
      <c r="F16" t="s">
        <v>19</v>
      </c>
      <c r="G16">
        <v>43510</v>
      </c>
      <c r="H16" t="s">
        <v>205</v>
      </c>
      <c r="I16" s="8">
        <f ca="1">(TODAY() -staff[[#This Row],[Date Joined]])/365</f>
        <v>1.6054794520547946</v>
      </c>
      <c r="J16" s="14">
        <f ca="1">ROUNDUP(IF(staff[[#This Row],[Tenure]]&gt;2,3%,2%)*staff[[#This Row],[Salary]],0)</f>
        <v>871</v>
      </c>
      <c r="K16" cm="1">
        <f t="array" ref="K16">_xlfn.XLOOKUP(staff[[#This Row],[Rating]],Table5[[#All],[Column1]],Table5[[#All],[Column2]])</f>
        <v>1</v>
      </c>
      <c r="M16" s="11" t="s">
        <v>6</v>
      </c>
      <c r="N16" s="11" t="str">
        <f ca="1"/>
        <v>Average</v>
      </c>
    </row>
    <row r="17" spans="1:14" x14ac:dyDescent="0.25">
      <c r="A17" t="s">
        <v>80</v>
      </c>
      <c r="B17" t="s">
        <v>15</v>
      </c>
      <c r="C17">
        <v>28</v>
      </c>
      <c r="D17" t="s">
        <v>42</v>
      </c>
      <c r="E17" s="7">
        <v>44820</v>
      </c>
      <c r="F17" t="s">
        <v>19</v>
      </c>
      <c r="G17">
        <v>43510</v>
      </c>
      <c r="H17" t="s">
        <v>207</v>
      </c>
      <c r="I17" s="8">
        <f ca="1">(TODAY() -staff[[#This Row],[Date Joined]])/365</f>
        <v>1.4356164383561645</v>
      </c>
      <c r="J17" s="14">
        <f ca="1">ROUNDUP(IF(staff[[#This Row],[Tenure]]&gt;2,3%,2%)*staff[[#This Row],[Salary]],0)</f>
        <v>871</v>
      </c>
      <c r="K17" cm="1">
        <f t="array" ref="K17">_xlfn.XLOOKUP(staff[[#This Row],[Rating]],Table5[[#All],[Column1]],Table5[[#All],[Column2]])</f>
        <v>1</v>
      </c>
      <c r="M17" s="11" t="s">
        <v>218</v>
      </c>
      <c r="N17" s="12">
        <f ca="1"/>
        <v>44611</v>
      </c>
    </row>
    <row r="18" spans="1:14" x14ac:dyDescent="0.25">
      <c r="A18" t="s">
        <v>176</v>
      </c>
      <c r="B18" t="s">
        <v>8</v>
      </c>
      <c r="C18">
        <v>32</v>
      </c>
      <c r="D18" t="s">
        <v>13</v>
      </c>
      <c r="E18" s="7">
        <v>44293</v>
      </c>
      <c r="F18" t="s">
        <v>12</v>
      </c>
      <c r="G18">
        <v>43840</v>
      </c>
      <c r="H18" t="s">
        <v>205</v>
      </c>
      <c r="I18" s="8">
        <f ca="1">(TODAY() -staff[[#This Row],[Date Joined]])/365</f>
        <v>2.8794520547945206</v>
      </c>
      <c r="J18" s="14">
        <f ca="1">ROUNDUP(IF(staff[[#This Row],[Tenure]]&gt;2,3%,2%)*staff[[#This Row],[Salary]],0)</f>
        <v>1316</v>
      </c>
      <c r="K18" cm="1">
        <f t="array" ref="K18">_xlfn.XLOOKUP(staff[[#This Row],[Rating]],Table5[[#All],[Column1]],Table5[[#All],[Column2]])</f>
        <v>4</v>
      </c>
      <c r="M18" s="11" t="s">
        <v>2</v>
      </c>
      <c r="N18" s="11" t="str">
        <f ca="1"/>
        <v>Procurement</v>
      </c>
    </row>
    <row r="19" spans="1:14" x14ac:dyDescent="0.25">
      <c r="A19" t="s">
        <v>84</v>
      </c>
      <c r="B19" t="s">
        <v>8</v>
      </c>
      <c r="C19">
        <v>32</v>
      </c>
      <c r="D19" t="s">
        <v>13</v>
      </c>
      <c r="E19" s="7">
        <v>44354</v>
      </c>
      <c r="F19" t="s">
        <v>12</v>
      </c>
      <c r="G19">
        <v>43840</v>
      </c>
      <c r="H19" t="s">
        <v>207</v>
      </c>
      <c r="I19" s="8">
        <f ca="1">(TODAY() -staff[[#This Row],[Date Joined]])/365</f>
        <v>2.7123287671232879</v>
      </c>
      <c r="J19" s="14">
        <f ca="1">ROUNDUP(IF(staff[[#This Row],[Tenure]]&gt;2,3%,2%)*staff[[#This Row],[Salary]],0)</f>
        <v>1316</v>
      </c>
      <c r="K19" cm="1">
        <f t="array" ref="K19">_xlfn.XLOOKUP(staff[[#This Row],[Rating]],Table5[[#All],[Column1]],Table5[[#All],[Column2]])</f>
        <v>4</v>
      </c>
      <c r="M19" s="11" t="s">
        <v>5</v>
      </c>
      <c r="N19" s="11">
        <f ca="1"/>
        <v>41570</v>
      </c>
    </row>
    <row r="20" spans="1:14" x14ac:dyDescent="0.25">
      <c r="A20" t="s">
        <v>201</v>
      </c>
      <c r="B20" t="s">
        <v>8</v>
      </c>
      <c r="C20">
        <v>32</v>
      </c>
      <c r="D20" t="s">
        <v>16</v>
      </c>
      <c r="E20" s="7">
        <v>44339</v>
      </c>
      <c r="F20" t="s">
        <v>56</v>
      </c>
      <c r="G20">
        <v>45510</v>
      </c>
      <c r="H20" t="s">
        <v>205</v>
      </c>
      <c r="I20" s="8">
        <f ca="1">(TODAY() -staff[[#This Row],[Date Joined]])/365</f>
        <v>2.7534246575342465</v>
      </c>
      <c r="J20" s="14">
        <f ca="1">ROUNDUP(IF(staff[[#This Row],[Tenure]]&gt;2,3%,2%)*staff[[#This Row],[Salary]],0)</f>
        <v>1366</v>
      </c>
      <c r="K20" cm="1">
        <f t="array" ref="K20">_xlfn.XLOOKUP(staff[[#This Row],[Rating]],Table5[[#All],[Column1]],Table5[[#All],[Column2]])</f>
        <v>3</v>
      </c>
      <c r="M20" s="11" t="s">
        <v>204</v>
      </c>
      <c r="N20" s="11" t="str">
        <f ca="1"/>
        <v>NZ</v>
      </c>
    </row>
    <row r="21" spans="1:14" x14ac:dyDescent="0.25">
      <c r="A21" t="s">
        <v>108</v>
      </c>
      <c r="B21" t="s">
        <v>8</v>
      </c>
      <c r="C21">
        <v>32</v>
      </c>
      <c r="D21" t="s">
        <v>16</v>
      </c>
      <c r="E21" s="7">
        <v>44400</v>
      </c>
      <c r="F21" t="s">
        <v>56</v>
      </c>
      <c r="G21">
        <v>45510</v>
      </c>
      <c r="H21" t="s">
        <v>207</v>
      </c>
      <c r="I21" s="8">
        <f ca="1">(TODAY() -staff[[#This Row],[Date Joined]])/365</f>
        <v>2.5863013698630137</v>
      </c>
      <c r="J21" s="14">
        <f ca="1">ROUNDUP(IF(staff[[#This Row],[Tenure]]&gt;2,3%,2%)*staff[[#This Row],[Salary]],0)</f>
        <v>1366</v>
      </c>
      <c r="K21" cm="1">
        <f t="array" ref="K21">_xlfn.XLOOKUP(staff[[#This Row],[Rating]],Table5[[#All],[Column1]],Table5[[#All],[Column2]])</f>
        <v>3</v>
      </c>
      <c r="M21" s="11" t="s">
        <v>213</v>
      </c>
      <c r="N21" s="11">
        <f ca="1"/>
        <v>2.0082191780821916</v>
      </c>
    </row>
    <row r="22" spans="1:14" x14ac:dyDescent="0.25">
      <c r="A22" t="s">
        <v>151</v>
      </c>
      <c r="B22" t="s">
        <v>15</v>
      </c>
      <c r="C22">
        <v>26</v>
      </c>
      <c r="D22" t="s">
        <v>16</v>
      </c>
      <c r="E22" s="7">
        <v>44164</v>
      </c>
      <c r="F22" t="s">
        <v>9</v>
      </c>
      <c r="G22">
        <v>47360</v>
      </c>
      <c r="H22" t="s">
        <v>205</v>
      </c>
      <c r="I22" s="8">
        <f ca="1">(TODAY() -staff[[#This Row],[Date Joined]])/365</f>
        <v>3.2328767123287672</v>
      </c>
      <c r="J22" s="14">
        <f ca="1">ROUNDUP(IF(staff[[#This Row],[Tenure]]&gt;2,3%,2%)*staff[[#This Row],[Salary]],0)</f>
        <v>1421</v>
      </c>
      <c r="K22" cm="1">
        <f t="array" ref="K22">_xlfn.XLOOKUP(staff[[#This Row],[Rating]],Table5[[#All],[Column1]],Table5[[#All],[Column2]])</f>
        <v>3</v>
      </c>
    </row>
    <row r="23" spans="1:14" x14ac:dyDescent="0.25">
      <c r="A23" t="s">
        <v>59</v>
      </c>
      <c r="B23" t="s">
        <v>15</v>
      </c>
      <c r="C23">
        <v>26</v>
      </c>
      <c r="D23" t="s">
        <v>16</v>
      </c>
      <c r="E23" s="7">
        <v>44225</v>
      </c>
      <c r="F23" t="s">
        <v>9</v>
      </c>
      <c r="G23">
        <v>47360</v>
      </c>
      <c r="H23" t="s">
        <v>207</v>
      </c>
      <c r="I23" s="8">
        <f ca="1">(TODAY() -staff[[#This Row],[Date Joined]])/365</f>
        <v>3.0657534246575344</v>
      </c>
      <c r="J23" s="14">
        <f ca="1">ROUNDUP(IF(staff[[#This Row],[Tenure]]&gt;2,3%,2%)*staff[[#This Row],[Salary]],0)</f>
        <v>1421</v>
      </c>
      <c r="K23" cm="1">
        <f t="array" ref="K23">_xlfn.XLOOKUP(staff[[#This Row],[Rating]],Table5[[#All],[Column1]],Table5[[#All],[Column2]])</f>
        <v>3</v>
      </c>
    </row>
    <row r="24" spans="1:14" x14ac:dyDescent="0.25">
      <c r="A24" t="s">
        <v>123</v>
      </c>
      <c r="B24" t="s">
        <v>15</v>
      </c>
      <c r="C24">
        <v>28</v>
      </c>
      <c r="D24" t="s">
        <v>13</v>
      </c>
      <c r="E24" s="7">
        <v>43980</v>
      </c>
      <c r="F24" t="s">
        <v>21</v>
      </c>
      <c r="G24">
        <v>48170</v>
      </c>
      <c r="H24" t="s">
        <v>205</v>
      </c>
      <c r="I24" s="8">
        <f ca="1">(TODAY() -staff[[#This Row],[Date Joined]])/365</f>
        <v>3.7369863013698632</v>
      </c>
      <c r="J24" s="14">
        <f ca="1">ROUNDUP(IF(staff[[#This Row],[Tenure]]&gt;2,3%,2%)*staff[[#This Row],[Salary]],0)</f>
        <v>1446</v>
      </c>
      <c r="K24" cm="1">
        <f t="array" ref="K24">_xlfn.XLOOKUP(staff[[#This Row],[Rating]],Table5[[#All],[Column1]],Table5[[#All],[Column2]])</f>
        <v>4</v>
      </c>
    </row>
    <row r="25" spans="1:14" x14ac:dyDescent="0.25">
      <c r="A25" t="s">
        <v>29</v>
      </c>
      <c r="B25" t="s">
        <v>15</v>
      </c>
      <c r="C25">
        <v>28</v>
      </c>
      <c r="D25" t="s">
        <v>13</v>
      </c>
      <c r="E25" s="7">
        <v>44041</v>
      </c>
      <c r="F25" t="s">
        <v>21</v>
      </c>
      <c r="G25">
        <v>48170</v>
      </c>
      <c r="H25" t="s">
        <v>207</v>
      </c>
      <c r="I25" s="8">
        <f ca="1">(TODAY() -staff[[#This Row],[Date Joined]])/365</f>
        <v>3.56986301369863</v>
      </c>
      <c r="J25" s="14">
        <f ca="1">ROUNDUP(IF(staff[[#This Row],[Tenure]]&gt;2,3%,2%)*staff[[#This Row],[Salary]],0)</f>
        <v>1446</v>
      </c>
      <c r="K25" cm="1">
        <f t="array" ref="K25">_xlfn.XLOOKUP(staff[[#This Row],[Rating]],Table5[[#All],[Column1]],Table5[[#All],[Column2]])</f>
        <v>4</v>
      </c>
    </row>
    <row r="26" spans="1:14" x14ac:dyDescent="0.25">
      <c r="A26" t="s">
        <v>144</v>
      </c>
      <c r="B26" t="s">
        <v>15</v>
      </c>
      <c r="C26">
        <v>33</v>
      </c>
      <c r="D26" t="s">
        <v>13</v>
      </c>
      <c r="E26" s="7">
        <v>44640</v>
      </c>
      <c r="F26" t="s">
        <v>9</v>
      </c>
      <c r="G26">
        <v>48530</v>
      </c>
      <c r="H26" t="s">
        <v>205</v>
      </c>
      <c r="I26" s="8">
        <f ca="1">(TODAY() -staff[[#This Row],[Date Joined]])/365</f>
        <v>1.9287671232876713</v>
      </c>
      <c r="J26" s="14">
        <f ca="1">ROUNDUP(IF(staff[[#This Row],[Tenure]]&gt;2,3%,2%)*staff[[#This Row],[Salary]],0)</f>
        <v>971</v>
      </c>
      <c r="K26" cm="1">
        <f t="array" ref="K26">_xlfn.XLOOKUP(staff[[#This Row],[Rating]],Table5[[#All],[Column1]],Table5[[#All],[Column2]])</f>
        <v>4</v>
      </c>
    </row>
    <row r="27" spans="1:14" x14ac:dyDescent="0.25">
      <c r="A27" t="s">
        <v>51</v>
      </c>
      <c r="B27" t="s">
        <v>15</v>
      </c>
      <c r="C27">
        <v>33</v>
      </c>
      <c r="D27" t="s">
        <v>13</v>
      </c>
      <c r="E27" s="7">
        <v>44701</v>
      </c>
      <c r="F27" t="s">
        <v>9</v>
      </c>
      <c r="G27">
        <v>48530</v>
      </c>
      <c r="H27" t="s">
        <v>207</v>
      </c>
      <c r="I27" s="8">
        <f ca="1">(TODAY() -staff[[#This Row],[Date Joined]])/365</f>
        <v>1.7616438356164383</v>
      </c>
      <c r="J27" s="14">
        <f ca="1">ROUNDUP(IF(staff[[#This Row],[Tenure]]&gt;2,3%,2%)*staff[[#This Row],[Salary]],0)</f>
        <v>971</v>
      </c>
      <c r="K27" cm="1">
        <f t="array" ref="K27">_xlfn.XLOOKUP(staff[[#This Row],[Rating]],Table5[[#All],[Column1]],Table5[[#All],[Column2]])</f>
        <v>4</v>
      </c>
    </row>
    <row r="28" spans="1:14" x14ac:dyDescent="0.25">
      <c r="A28" t="s">
        <v>113</v>
      </c>
      <c r="B28" t="s">
        <v>15</v>
      </c>
      <c r="C28">
        <v>31</v>
      </c>
      <c r="D28" t="s">
        <v>16</v>
      </c>
      <c r="E28" s="7">
        <v>44450</v>
      </c>
      <c r="F28" t="s">
        <v>12</v>
      </c>
      <c r="G28">
        <v>48950</v>
      </c>
      <c r="H28" t="s">
        <v>205</v>
      </c>
      <c r="I28" s="8">
        <f ca="1">(TODAY() -staff[[#This Row],[Date Joined]])/365</f>
        <v>2.4493150684931506</v>
      </c>
      <c r="J28" s="14">
        <f ca="1">ROUNDUP(IF(staff[[#This Row],[Tenure]]&gt;2,3%,2%)*staff[[#This Row],[Salary]],0)</f>
        <v>1469</v>
      </c>
      <c r="K28" cm="1">
        <f t="array" ref="K28">_xlfn.XLOOKUP(staff[[#This Row],[Rating]],Table5[[#All],[Column1]],Table5[[#All],[Column2]])</f>
        <v>3</v>
      </c>
    </row>
    <row r="29" spans="1:14" x14ac:dyDescent="0.25">
      <c r="A29" t="s">
        <v>14</v>
      </c>
      <c r="B29" t="s">
        <v>15</v>
      </c>
      <c r="C29">
        <v>31</v>
      </c>
      <c r="D29" t="s">
        <v>16</v>
      </c>
      <c r="E29" s="7">
        <v>44511</v>
      </c>
      <c r="F29" t="s">
        <v>12</v>
      </c>
      <c r="G29">
        <v>48950</v>
      </c>
      <c r="H29" t="s">
        <v>207</v>
      </c>
      <c r="I29" s="8">
        <f ca="1">(TODAY() -staff[[#This Row],[Date Joined]])/365</f>
        <v>2.2821917808219179</v>
      </c>
      <c r="J29" s="14">
        <f ca="1">ROUNDUP(IF(staff[[#This Row],[Tenure]]&gt;2,3%,2%)*staff[[#This Row],[Salary]],0)</f>
        <v>1469</v>
      </c>
      <c r="K29" cm="1">
        <f t="array" ref="K29">_xlfn.XLOOKUP(staff[[#This Row],[Rating]],Table5[[#All],[Column1]],Table5[[#All],[Column2]])</f>
        <v>3</v>
      </c>
    </row>
    <row r="30" spans="1:14" x14ac:dyDescent="0.25">
      <c r="A30" t="s">
        <v>146</v>
      </c>
      <c r="B30" t="s">
        <v>15</v>
      </c>
      <c r="C30">
        <v>27</v>
      </c>
      <c r="D30" t="s">
        <v>16</v>
      </c>
      <c r="E30" s="7">
        <v>44506</v>
      </c>
      <c r="F30" t="s">
        <v>21</v>
      </c>
      <c r="G30">
        <v>48980</v>
      </c>
      <c r="H30" t="s">
        <v>205</v>
      </c>
      <c r="I30" s="8">
        <f ca="1">(TODAY() -staff[[#This Row],[Date Joined]])/365</f>
        <v>2.2958904109589042</v>
      </c>
      <c r="J30" s="14">
        <f ca="1">ROUNDUP(IF(staff[[#This Row],[Tenure]]&gt;2,3%,2%)*staff[[#This Row],[Salary]],0)</f>
        <v>1470</v>
      </c>
      <c r="K30" cm="1">
        <f t="array" ref="K30">_xlfn.XLOOKUP(staff[[#This Row],[Rating]],Table5[[#All],[Column1]],Table5[[#All],[Column2]])</f>
        <v>3</v>
      </c>
    </row>
    <row r="31" spans="1:14" x14ac:dyDescent="0.25">
      <c r="A31" t="s">
        <v>53</v>
      </c>
      <c r="B31" t="s">
        <v>15</v>
      </c>
      <c r="C31">
        <v>27</v>
      </c>
      <c r="D31" t="s">
        <v>16</v>
      </c>
      <c r="E31" s="7">
        <v>44567</v>
      </c>
      <c r="F31" t="s">
        <v>21</v>
      </c>
      <c r="G31">
        <v>48980</v>
      </c>
      <c r="H31" t="s">
        <v>207</v>
      </c>
      <c r="I31" s="8">
        <f ca="1">(TODAY() -staff[[#This Row],[Date Joined]])/365</f>
        <v>2.128767123287671</v>
      </c>
      <c r="J31" s="14">
        <f ca="1">ROUNDUP(IF(staff[[#This Row],[Tenure]]&gt;2,3%,2%)*staff[[#This Row],[Salary]],0)</f>
        <v>1470</v>
      </c>
      <c r="K31" cm="1">
        <f t="array" ref="K31">_xlfn.XLOOKUP(staff[[#This Row],[Rating]],Table5[[#All],[Column1]],Table5[[#All],[Column2]])</f>
        <v>3</v>
      </c>
    </row>
    <row r="32" spans="1:14" x14ac:dyDescent="0.25">
      <c r="A32" t="s">
        <v>165</v>
      </c>
      <c r="B32" t="s">
        <v>8</v>
      </c>
      <c r="C32">
        <v>34</v>
      </c>
      <c r="D32" t="s">
        <v>24</v>
      </c>
      <c r="E32" s="7">
        <v>44660</v>
      </c>
      <c r="F32" t="s">
        <v>19</v>
      </c>
      <c r="G32">
        <v>49630</v>
      </c>
      <c r="H32" t="s">
        <v>205</v>
      </c>
      <c r="I32" s="8">
        <f ca="1">(TODAY() -staff[[#This Row],[Date Joined]])/365</f>
        <v>1.8739726027397261</v>
      </c>
      <c r="J32" s="14">
        <f ca="1">ROUNDUP(IF(staff[[#This Row],[Tenure]]&gt;2,3%,2%)*staff[[#This Row],[Salary]],0)</f>
        <v>993</v>
      </c>
      <c r="K32" cm="1">
        <f t="array" ref="K32">_xlfn.XLOOKUP(staff[[#This Row],[Rating]],Table5[[#All],[Column1]],Table5[[#All],[Column2]])</f>
        <v>2</v>
      </c>
    </row>
    <row r="33" spans="1:11" x14ac:dyDescent="0.25">
      <c r="A33" t="s">
        <v>73</v>
      </c>
      <c r="B33" t="s">
        <v>8</v>
      </c>
      <c r="C33">
        <v>34</v>
      </c>
      <c r="D33" t="s">
        <v>24</v>
      </c>
      <c r="E33" s="7">
        <v>44721</v>
      </c>
      <c r="F33" t="s">
        <v>19</v>
      </c>
      <c r="G33">
        <v>49630</v>
      </c>
      <c r="H33" t="s">
        <v>207</v>
      </c>
      <c r="I33" s="8">
        <f ca="1">(TODAY() -staff[[#This Row],[Date Joined]])/365</f>
        <v>1.7068493150684931</v>
      </c>
      <c r="J33" s="14">
        <f ca="1">ROUNDUP(IF(staff[[#This Row],[Tenure]]&gt;2,3%,2%)*staff[[#This Row],[Salary]],0)</f>
        <v>993</v>
      </c>
      <c r="K33" cm="1">
        <f t="array" ref="K33">_xlfn.XLOOKUP(staff[[#This Row],[Rating]],Table5[[#All],[Column1]],Table5[[#All],[Column2]])</f>
        <v>2</v>
      </c>
    </row>
    <row r="34" spans="1:11" x14ac:dyDescent="0.25">
      <c r="A34" t="s">
        <v>155</v>
      </c>
      <c r="B34" t="s">
        <v>15</v>
      </c>
      <c r="C34">
        <v>24</v>
      </c>
      <c r="D34" t="s">
        <v>24</v>
      </c>
      <c r="E34" s="7">
        <v>44375</v>
      </c>
      <c r="F34" t="s">
        <v>21</v>
      </c>
      <c r="G34">
        <v>52610</v>
      </c>
      <c r="H34" t="s">
        <v>205</v>
      </c>
      <c r="I34" s="8">
        <f ca="1">(TODAY() -staff[[#This Row],[Date Joined]])/365</f>
        <v>2.6547945205479451</v>
      </c>
      <c r="J34" s="14">
        <f ca="1">ROUNDUP(IF(staff[[#This Row],[Tenure]]&gt;2,3%,2%)*staff[[#This Row],[Salary]],0)</f>
        <v>1579</v>
      </c>
      <c r="K34" cm="1">
        <f t="array" ref="K34">_xlfn.XLOOKUP(staff[[#This Row],[Rating]],Table5[[#All],[Column1]],Table5[[#All],[Column2]])</f>
        <v>2</v>
      </c>
    </row>
    <row r="35" spans="1:11" x14ac:dyDescent="0.25">
      <c r="A35" t="s">
        <v>63</v>
      </c>
      <c r="B35" t="s">
        <v>15</v>
      </c>
      <c r="C35">
        <v>24</v>
      </c>
      <c r="D35" t="s">
        <v>24</v>
      </c>
      <c r="E35" s="7">
        <v>44436</v>
      </c>
      <c r="F35" t="s">
        <v>21</v>
      </c>
      <c r="G35">
        <v>52610</v>
      </c>
      <c r="H35" t="s">
        <v>207</v>
      </c>
      <c r="I35" s="8">
        <f ca="1">(TODAY() -staff[[#This Row],[Date Joined]])/365</f>
        <v>2.4876712328767123</v>
      </c>
      <c r="J35" s="14">
        <f ca="1">ROUNDUP(IF(staff[[#This Row],[Tenure]]&gt;2,3%,2%)*staff[[#This Row],[Salary]],0)</f>
        <v>1579</v>
      </c>
      <c r="K35" cm="1">
        <f t="array" ref="K35">_xlfn.XLOOKUP(staff[[#This Row],[Rating]],Table5[[#All],[Column1]],Table5[[#All],[Column2]])</f>
        <v>2</v>
      </c>
    </row>
    <row r="36" spans="1:11" x14ac:dyDescent="0.25">
      <c r="A36" t="s">
        <v>167</v>
      </c>
      <c r="B36" t="s">
        <v>8</v>
      </c>
      <c r="C36">
        <v>28</v>
      </c>
      <c r="D36" t="s">
        <v>16</v>
      </c>
      <c r="E36" s="7">
        <v>44296</v>
      </c>
      <c r="F36" t="s">
        <v>19</v>
      </c>
      <c r="G36">
        <v>53240</v>
      </c>
      <c r="H36" t="s">
        <v>205</v>
      </c>
      <c r="I36" s="8">
        <f ca="1">(TODAY() -staff[[#This Row],[Date Joined]])/365</f>
        <v>2.871232876712329</v>
      </c>
      <c r="J36" s="14">
        <f ca="1">ROUNDUP(IF(staff[[#This Row],[Tenure]]&gt;2,3%,2%)*staff[[#This Row],[Salary]],0)</f>
        <v>1598</v>
      </c>
      <c r="K36" cm="1">
        <f t="array" ref="K36">_xlfn.XLOOKUP(staff[[#This Row],[Rating]],Table5[[#All],[Column1]],Table5[[#All],[Column2]])</f>
        <v>3</v>
      </c>
    </row>
    <row r="37" spans="1:11" x14ac:dyDescent="0.25">
      <c r="A37" t="s">
        <v>75</v>
      </c>
      <c r="B37" t="s">
        <v>8</v>
      </c>
      <c r="C37">
        <v>28</v>
      </c>
      <c r="D37" t="s">
        <v>16</v>
      </c>
      <c r="E37" s="7">
        <v>44357</v>
      </c>
      <c r="F37" t="s">
        <v>19</v>
      </c>
      <c r="G37">
        <v>53240</v>
      </c>
      <c r="H37" t="s">
        <v>207</v>
      </c>
      <c r="I37" s="8">
        <f ca="1">(TODAY() -staff[[#This Row],[Date Joined]])/365</f>
        <v>2.7041095890410958</v>
      </c>
      <c r="J37" s="14">
        <f ca="1">ROUNDUP(IF(staff[[#This Row],[Tenure]]&gt;2,3%,2%)*staff[[#This Row],[Salary]],0)</f>
        <v>1598</v>
      </c>
      <c r="K37" cm="1">
        <f t="array" ref="K37">_xlfn.XLOOKUP(staff[[#This Row],[Rating]],Table5[[#All],[Column1]],Table5[[#All],[Column2]])</f>
        <v>3</v>
      </c>
    </row>
    <row r="38" spans="1:11" x14ac:dyDescent="0.25">
      <c r="A38" t="s">
        <v>157</v>
      </c>
      <c r="B38" t="s">
        <v>15</v>
      </c>
      <c r="C38">
        <v>32</v>
      </c>
      <c r="D38" t="s">
        <v>16</v>
      </c>
      <c r="E38" s="7">
        <v>44403</v>
      </c>
      <c r="F38" t="s">
        <v>19</v>
      </c>
      <c r="G38">
        <v>53540</v>
      </c>
      <c r="H38" t="s">
        <v>205</v>
      </c>
      <c r="I38" s="8">
        <f ca="1">(TODAY() -staff[[#This Row],[Date Joined]])/365</f>
        <v>2.5780821917808221</v>
      </c>
      <c r="J38" s="14">
        <f ca="1">ROUNDUP(IF(staff[[#This Row],[Tenure]]&gt;2,3%,2%)*staff[[#This Row],[Salary]],0)</f>
        <v>1607</v>
      </c>
      <c r="K38" cm="1">
        <f t="array" ref="K38">_xlfn.XLOOKUP(staff[[#This Row],[Rating]],Table5[[#All],[Column1]],Table5[[#All],[Column2]])</f>
        <v>3</v>
      </c>
    </row>
    <row r="39" spans="1:11" x14ac:dyDescent="0.25">
      <c r="A39" t="s">
        <v>139</v>
      </c>
      <c r="B39" t="s">
        <v>15</v>
      </c>
      <c r="C39">
        <v>26</v>
      </c>
      <c r="D39" t="s">
        <v>16</v>
      </c>
      <c r="E39" s="7">
        <v>44350</v>
      </c>
      <c r="F39" t="s">
        <v>9</v>
      </c>
      <c r="G39">
        <v>53540</v>
      </c>
      <c r="H39" t="s">
        <v>205</v>
      </c>
      <c r="I39" s="8">
        <f ca="1">(TODAY() -staff[[#This Row],[Date Joined]])/365</f>
        <v>2.7232876712328768</v>
      </c>
      <c r="J39" s="14">
        <f ca="1">ROUNDUP(IF(staff[[#This Row],[Tenure]]&gt;2,3%,2%)*staff[[#This Row],[Salary]],0)</f>
        <v>1607</v>
      </c>
      <c r="K39" cm="1">
        <f t="array" ref="K39">_xlfn.XLOOKUP(staff[[#This Row],[Rating]],Table5[[#All],[Column1]],Table5[[#All],[Column2]])</f>
        <v>3</v>
      </c>
    </row>
    <row r="40" spans="1:11" x14ac:dyDescent="0.25">
      <c r="A40" t="s">
        <v>65</v>
      </c>
      <c r="B40" t="s">
        <v>15</v>
      </c>
      <c r="C40">
        <v>32</v>
      </c>
      <c r="D40" t="s">
        <v>16</v>
      </c>
      <c r="E40" s="7">
        <v>44465</v>
      </c>
      <c r="F40" t="s">
        <v>19</v>
      </c>
      <c r="G40">
        <v>53540</v>
      </c>
      <c r="H40" t="s">
        <v>207</v>
      </c>
      <c r="I40" s="8">
        <f ca="1">(TODAY() -staff[[#This Row],[Date Joined]])/365</f>
        <v>2.408219178082192</v>
      </c>
      <c r="J40" s="14">
        <f ca="1">ROUNDUP(IF(staff[[#This Row],[Tenure]]&gt;2,3%,2%)*staff[[#This Row],[Salary]],0)</f>
        <v>1607</v>
      </c>
      <c r="K40" cm="1">
        <f t="array" ref="K40">_xlfn.XLOOKUP(staff[[#This Row],[Rating]],Table5[[#All],[Column1]],Table5[[#All],[Column2]])</f>
        <v>3</v>
      </c>
    </row>
    <row r="41" spans="1:11" x14ac:dyDescent="0.25">
      <c r="A41" t="s">
        <v>46</v>
      </c>
      <c r="B41" t="s">
        <v>15</v>
      </c>
      <c r="C41">
        <v>26</v>
      </c>
      <c r="D41" t="s">
        <v>16</v>
      </c>
      <c r="E41" s="7">
        <v>44411</v>
      </c>
      <c r="F41" t="s">
        <v>9</v>
      </c>
      <c r="G41">
        <v>53540</v>
      </c>
      <c r="H41" t="s">
        <v>207</v>
      </c>
      <c r="I41" s="8">
        <f ca="1">(TODAY() -staff[[#This Row],[Date Joined]])/365</f>
        <v>2.5561643835616437</v>
      </c>
      <c r="J41" s="14">
        <f ca="1">ROUNDUP(IF(staff[[#This Row],[Tenure]]&gt;2,3%,2%)*staff[[#This Row],[Salary]],0)</f>
        <v>1607</v>
      </c>
      <c r="K41" cm="1">
        <f t="array" ref="K41">_xlfn.XLOOKUP(staff[[#This Row],[Rating]],Table5[[#All],[Column1]],Table5[[#All],[Column2]])</f>
        <v>3</v>
      </c>
    </row>
    <row r="42" spans="1:11" x14ac:dyDescent="0.25">
      <c r="A42" t="s">
        <v>174</v>
      </c>
      <c r="B42" t="s">
        <v>15</v>
      </c>
      <c r="C42">
        <v>33</v>
      </c>
      <c r="D42" t="s">
        <v>16</v>
      </c>
      <c r="E42" s="7">
        <v>44448</v>
      </c>
      <c r="F42" t="s">
        <v>12</v>
      </c>
      <c r="G42">
        <v>53870</v>
      </c>
      <c r="H42" t="s">
        <v>205</v>
      </c>
      <c r="I42" s="8">
        <f ca="1">(TODAY() -staff[[#This Row],[Date Joined]])/365</f>
        <v>2.4547945205479453</v>
      </c>
      <c r="J42" s="14">
        <f ca="1">ROUNDUP(IF(staff[[#This Row],[Tenure]]&gt;2,3%,2%)*staff[[#This Row],[Salary]],0)</f>
        <v>1617</v>
      </c>
      <c r="K42" cm="1">
        <f t="array" ref="K42">_xlfn.XLOOKUP(staff[[#This Row],[Rating]],Table5[[#All],[Column1]],Table5[[#All],[Column2]])</f>
        <v>3</v>
      </c>
    </row>
    <row r="43" spans="1:11" x14ac:dyDescent="0.25">
      <c r="A43" t="s">
        <v>82</v>
      </c>
      <c r="B43" t="s">
        <v>15</v>
      </c>
      <c r="C43">
        <v>33</v>
      </c>
      <c r="D43" t="s">
        <v>16</v>
      </c>
      <c r="E43" s="7">
        <v>44509</v>
      </c>
      <c r="F43" t="s">
        <v>12</v>
      </c>
      <c r="G43">
        <v>53870</v>
      </c>
      <c r="H43" t="s">
        <v>207</v>
      </c>
      <c r="I43" s="8">
        <f ca="1">(TODAY() -staff[[#This Row],[Date Joined]])/365</f>
        <v>2.2876712328767121</v>
      </c>
      <c r="J43" s="14">
        <f ca="1">ROUNDUP(IF(staff[[#This Row],[Tenure]]&gt;2,3%,2%)*staff[[#This Row],[Salary]],0)</f>
        <v>1617</v>
      </c>
      <c r="K43" cm="1">
        <f t="array" ref="K43">_xlfn.XLOOKUP(staff[[#This Row],[Rating]],Table5[[#All],[Column1]],Table5[[#All],[Column2]])</f>
        <v>3</v>
      </c>
    </row>
    <row r="44" spans="1:11" x14ac:dyDescent="0.25">
      <c r="A44" t="s">
        <v>182</v>
      </c>
      <c r="B44" t="s">
        <v>15</v>
      </c>
      <c r="C44">
        <v>27</v>
      </c>
      <c r="D44" t="s">
        <v>16</v>
      </c>
      <c r="E44" s="7">
        <v>44073</v>
      </c>
      <c r="F44" t="s">
        <v>19</v>
      </c>
      <c r="G44">
        <v>54970</v>
      </c>
      <c r="H44" t="s">
        <v>205</v>
      </c>
      <c r="I44" s="8">
        <f ca="1">(TODAY() -staff[[#This Row],[Date Joined]])/365</f>
        <v>3.4821917808219176</v>
      </c>
      <c r="J44" s="14">
        <f ca="1">ROUNDUP(IF(staff[[#This Row],[Tenure]]&gt;2,3%,2%)*staff[[#This Row],[Salary]],0)</f>
        <v>1650</v>
      </c>
      <c r="K44" cm="1">
        <f t="array" ref="K44">_xlfn.XLOOKUP(staff[[#This Row],[Rating]],Table5[[#All],[Column1]],Table5[[#All],[Column2]])</f>
        <v>3</v>
      </c>
    </row>
    <row r="45" spans="1:11" x14ac:dyDescent="0.25">
      <c r="A45" t="s">
        <v>89</v>
      </c>
      <c r="B45" t="s">
        <v>15</v>
      </c>
      <c r="C45">
        <v>27</v>
      </c>
      <c r="D45" t="s">
        <v>16</v>
      </c>
      <c r="E45" s="7">
        <v>44134</v>
      </c>
      <c r="F45" t="s">
        <v>19</v>
      </c>
      <c r="G45">
        <v>54970</v>
      </c>
      <c r="H45" t="s">
        <v>207</v>
      </c>
      <c r="I45" s="8">
        <f ca="1">(TODAY() -staff[[#This Row],[Date Joined]])/365</f>
        <v>3.3150684931506849</v>
      </c>
      <c r="J45" s="14">
        <f ca="1">ROUNDUP(IF(staff[[#This Row],[Tenure]]&gt;2,3%,2%)*staff[[#This Row],[Salary]],0)</f>
        <v>1650</v>
      </c>
      <c r="K45" cm="1">
        <f t="array" ref="K45">_xlfn.XLOOKUP(staff[[#This Row],[Rating]],Table5[[#All],[Column1]],Table5[[#All],[Column2]])</f>
        <v>3</v>
      </c>
    </row>
    <row r="46" spans="1:11" x14ac:dyDescent="0.25">
      <c r="A46" t="s">
        <v>202</v>
      </c>
      <c r="B46" t="s">
        <v>8</v>
      </c>
      <c r="C46">
        <v>38</v>
      </c>
      <c r="D46" t="s">
        <v>13</v>
      </c>
      <c r="E46" s="7">
        <v>44268</v>
      </c>
      <c r="F46" t="s">
        <v>19</v>
      </c>
      <c r="G46">
        <v>56870</v>
      </c>
      <c r="H46" t="s">
        <v>205</v>
      </c>
      <c r="I46" s="8">
        <f ca="1">(TODAY() -staff[[#This Row],[Date Joined]])/365</f>
        <v>2.9479452054794519</v>
      </c>
      <c r="J46" s="14">
        <f ca="1">ROUNDUP(IF(staff[[#This Row],[Tenure]]&gt;2,3%,2%)*staff[[#This Row],[Salary]],0)</f>
        <v>1707</v>
      </c>
      <c r="K46" cm="1">
        <f t="array" ref="K46">_xlfn.XLOOKUP(staff[[#This Row],[Rating]],Table5[[#All],[Column1]],Table5[[#All],[Column2]])</f>
        <v>4</v>
      </c>
    </row>
    <row r="47" spans="1:11" x14ac:dyDescent="0.25">
      <c r="A47" t="s">
        <v>109</v>
      </c>
      <c r="B47" t="s">
        <v>8</v>
      </c>
      <c r="C47">
        <v>38</v>
      </c>
      <c r="D47" t="s">
        <v>13</v>
      </c>
      <c r="E47" s="7">
        <v>44329</v>
      </c>
      <c r="F47" t="s">
        <v>19</v>
      </c>
      <c r="G47">
        <v>56870</v>
      </c>
      <c r="H47" t="s">
        <v>207</v>
      </c>
      <c r="I47" s="8">
        <f ca="1">(TODAY() -staff[[#This Row],[Date Joined]])/365</f>
        <v>2.7808219178082192</v>
      </c>
      <c r="J47" s="14">
        <f ca="1">ROUNDUP(IF(staff[[#This Row],[Tenure]]&gt;2,3%,2%)*staff[[#This Row],[Salary]],0)</f>
        <v>1707</v>
      </c>
      <c r="K47" cm="1">
        <f t="array" ref="K47">_xlfn.XLOOKUP(staff[[#This Row],[Rating]],Table5[[#All],[Column1]],Table5[[#All],[Column2]])</f>
        <v>4</v>
      </c>
    </row>
    <row r="48" spans="1:11" x14ac:dyDescent="0.25">
      <c r="A48" t="s">
        <v>125</v>
      </c>
      <c r="B48" t="s">
        <v>15</v>
      </c>
      <c r="C48">
        <v>21</v>
      </c>
      <c r="D48" t="s">
        <v>16</v>
      </c>
      <c r="E48" s="7">
        <v>44701</v>
      </c>
      <c r="F48" t="s">
        <v>9</v>
      </c>
      <c r="G48">
        <v>57090</v>
      </c>
      <c r="H48" t="s">
        <v>205</v>
      </c>
      <c r="I48" s="8">
        <f ca="1">(TODAY() -staff[[#This Row],[Date Joined]])/365</f>
        <v>1.7616438356164383</v>
      </c>
      <c r="J48" s="14">
        <f ca="1">ROUNDUP(IF(staff[[#This Row],[Tenure]]&gt;2,3%,2%)*staff[[#This Row],[Salary]],0)</f>
        <v>1142</v>
      </c>
      <c r="K48" cm="1">
        <f t="array" ref="K48">_xlfn.XLOOKUP(staff[[#This Row],[Rating]],Table5[[#All],[Column1]],Table5[[#All],[Column2]])</f>
        <v>3</v>
      </c>
    </row>
    <row r="49" spans="1:11" x14ac:dyDescent="0.25">
      <c r="A49" t="s">
        <v>31</v>
      </c>
      <c r="B49" t="s">
        <v>15</v>
      </c>
      <c r="C49">
        <v>21</v>
      </c>
      <c r="D49" t="s">
        <v>16</v>
      </c>
      <c r="E49" s="7">
        <v>44762</v>
      </c>
      <c r="F49" t="s">
        <v>9</v>
      </c>
      <c r="G49">
        <v>57090</v>
      </c>
      <c r="H49" t="s">
        <v>207</v>
      </c>
      <c r="I49" s="8">
        <f ca="1">(TODAY() -staff[[#This Row],[Date Joined]])/365</f>
        <v>1.5945205479452054</v>
      </c>
      <c r="J49" s="14">
        <f ca="1">ROUNDUP(IF(staff[[#This Row],[Tenure]]&gt;2,3%,2%)*staff[[#This Row],[Salary]],0)</f>
        <v>1142</v>
      </c>
      <c r="K49" cm="1">
        <f t="array" ref="K49">_xlfn.XLOOKUP(staff[[#This Row],[Rating]],Table5[[#All],[Column1]],Table5[[#All],[Column2]])</f>
        <v>3</v>
      </c>
    </row>
    <row r="50" spans="1:11" x14ac:dyDescent="0.25">
      <c r="A50" t="s">
        <v>120</v>
      </c>
      <c r="B50" t="s">
        <v>8</v>
      </c>
      <c r="C50">
        <v>31</v>
      </c>
      <c r="D50" t="s">
        <v>16</v>
      </c>
      <c r="E50" s="7">
        <v>44604</v>
      </c>
      <c r="F50" t="s">
        <v>12</v>
      </c>
      <c r="G50">
        <v>58100</v>
      </c>
      <c r="H50" t="s">
        <v>205</v>
      </c>
      <c r="I50" s="8">
        <f ca="1">(TODAY() -staff[[#This Row],[Date Joined]])/365</f>
        <v>2.0273972602739727</v>
      </c>
      <c r="J50" s="14">
        <f ca="1">ROUNDUP(IF(staff[[#This Row],[Tenure]]&gt;2,3%,2%)*staff[[#This Row],[Salary]],0)</f>
        <v>1743</v>
      </c>
      <c r="K50" cm="1">
        <f t="array" ref="K50">_xlfn.XLOOKUP(staff[[#This Row],[Rating]],Table5[[#All],[Column1]],Table5[[#All],[Column2]])</f>
        <v>3</v>
      </c>
    </row>
    <row r="51" spans="1:11" x14ac:dyDescent="0.25">
      <c r="A51" t="s">
        <v>26</v>
      </c>
      <c r="B51" t="s">
        <v>8</v>
      </c>
      <c r="C51">
        <v>31</v>
      </c>
      <c r="D51" t="s">
        <v>16</v>
      </c>
      <c r="E51" s="7">
        <v>44663</v>
      </c>
      <c r="F51" t="s">
        <v>12</v>
      </c>
      <c r="G51">
        <v>58100</v>
      </c>
      <c r="H51" t="s">
        <v>207</v>
      </c>
      <c r="I51" s="8">
        <f ca="1">(TODAY() -staff[[#This Row],[Date Joined]])/365</f>
        <v>1.8657534246575342</v>
      </c>
      <c r="J51" s="14">
        <f ca="1">ROUNDUP(IF(staff[[#This Row],[Tenure]]&gt;2,3%,2%)*staff[[#This Row],[Salary]],0)</f>
        <v>1162</v>
      </c>
      <c r="K51" cm="1">
        <f t="array" ref="K51">_xlfn.XLOOKUP(staff[[#This Row],[Rating]],Table5[[#All],[Column1]],Table5[[#All],[Column2]])</f>
        <v>3</v>
      </c>
    </row>
    <row r="52" spans="1:11" x14ac:dyDescent="0.25">
      <c r="A52" t="s">
        <v>130</v>
      </c>
      <c r="B52" t="s">
        <v>8</v>
      </c>
      <c r="C52">
        <v>34</v>
      </c>
      <c r="D52" t="s">
        <v>16</v>
      </c>
      <c r="E52" s="7">
        <v>44594</v>
      </c>
      <c r="F52" t="s">
        <v>21</v>
      </c>
      <c r="G52">
        <v>58940</v>
      </c>
      <c r="H52" t="s">
        <v>205</v>
      </c>
      <c r="I52" s="8">
        <f ca="1">(TODAY() -staff[[#This Row],[Date Joined]])/365</f>
        <v>2.0547945205479454</v>
      </c>
      <c r="J52" s="14">
        <f ca="1">ROUNDUP(IF(staff[[#This Row],[Tenure]]&gt;2,3%,2%)*staff[[#This Row],[Salary]],0)</f>
        <v>1769</v>
      </c>
      <c r="K52" cm="1">
        <f t="array" ref="K52">_xlfn.XLOOKUP(staff[[#This Row],[Rating]],Table5[[#All],[Column1]],Table5[[#All],[Column2]])</f>
        <v>3</v>
      </c>
    </row>
    <row r="53" spans="1:11" x14ac:dyDescent="0.25">
      <c r="A53" t="s">
        <v>36</v>
      </c>
      <c r="B53" t="s">
        <v>8</v>
      </c>
      <c r="C53">
        <v>34</v>
      </c>
      <c r="D53" t="s">
        <v>16</v>
      </c>
      <c r="E53" s="7">
        <v>44653</v>
      </c>
      <c r="F53" t="s">
        <v>21</v>
      </c>
      <c r="G53">
        <v>58940</v>
      </c>
      <c r="H53" t="s">
        <v>207</v>
      </c>
      <c r="I53" s="8">
        <f ca="1">(TODAY() -staff[[#This Row],[Date Joined]])/365</f>
        <v>1.893150684931507</v>
      </c>
      <c r="J53" s="14">
        <f ca="1">ROUNDUP(IF(staff[[#This Row],[Tenure]]&gt;2,3%,2%)*staff[[#This Row],[Salary]],0)</f>
        <v>1179</v>
      </c>
      <c r="K53" cm="1">
        <f t="array" ref="K53">_xlfn.XLOOKUP(staff[[#This Row],[Rating]],Table5[[#All],[Column1]],Table5[[#All],[Column2]])</f>
        <v>3</v>
      </c>
    </row>
    <row r="54" spans="1:11" x14ac:dyDescent="0.25">
      <c r="A54" t="s">
        <v>193</v>
      </c>
      <c r="B54" t="s">
        <v>15</v>
      </c>
      <c r="C54">
        <v>19</v>
      </c>
      <c r="D54" t="s">
        <v>16</v>
      </c>
      <c r="E54" s="7">
        <v>44218</v>
      </c>
      <c r="F54" t="s">
        <v>9</v>
      </c>
      <c r="G54">
        <v>58960</v>
      </c>
      <c r="H54" t="s">
        <v>205</v>
      </c>
      <c r="I54" s="8">
        <f ca="1">(TODAY() -staff[[#This Row],[Date Joined]])/365</f>
        <v>3.0849315068493151</v>
      </c>
      <c r="J54" s="14">
        <f ca="1">ROUNDUP(IF(staff[[#This Row],[Tenure]]&gt;2,3%,2%)*staff[[#This Row],[Salary]],0)</f>
        <v>1769</v>
      </c>
      <c r="K54" cm="1">
        <f t="array" ref="K54">_xlfn.XLOOKUP(staff[[#This Row],[Rating]],Table5[[#All],[Column1]],Table5[[#All],[Column2]])</f>
        <v>3</v>
      </c>
    </row>
    <row r="55" spans="1:11" x14ac:dyDescent="0.25">
      <c r="A55" t="s">
        <v>100</v>
      </c>
      <c r="B55" t="s">
        <v>15</v>
      </c>
      <c r="C55">
        <v>19</v>
      </c>
      <c r="D55" t="s">
        <v>16</v>
      </c>
      <c r="E55" s="7">
        <v>44277</v>
      </c>
      <c r="F55" t="s">
        <v>9</v>
      </c>
      <c r="G55">
        <v>58960</v>
      </c>
      <c r="H55" t="s">
        <v>207</v>
      </c>
      <c r="I55" s="8">
        <f ca="1">(TODAY() -staff[[#This Row],[Date Joined]])/365</f>
        <v>2.9232876712328766</v>
      </c>
      <c r="J55" s="14">
        <f ca="1">ROUNDUP(IF(staff[[#This Row],[Tenure]]&gt;2,3%,2%)*staff[[#This Row],[Salary]],0)</f>
        <v>1769</v>
      </c>
      <c r="K55" cm="1">
        <f t="array" ref="K55">_xlfn.XLOOKUP(staff[[#This Row],[Rating]],Table5[[#All],[Column1]],Table5[[#All],[Column2]])</f>
        <v>3</v>
      </c>
    </row>
    <row r="56" spans="1:11" x14ac:dyDescent="0.25">
      <c r="A56" t="s">
        <v>171</v>
      </c>
      <c r="B56" t="s">
        <v>15</v>
      </c>
      <c r="C56">
        <v>33</v>
      </c>
      <c r="D56" t="s">
        <v>16</v>
      </c>
      <c r="E56" s="7">
        <v>44181</v>
      </c>
      <c r="F56" t="s">
        <v>21</v>
      </c>
      <c r="G56">
        <v>59430</v>
      </c>
      <c r="H56" t="s">
        <v>205</v>
      </c>
      <c r="I56" s="8">
        <f ca="1">(TODAY() -staff[[#This Row],[Date Joined]])/365</f>
        <v>3.1863013698630138</v>
      </c>
      <c r="J56" s="14">
        <f ca="1">ROUNDUP(IF(staff[[#This Row],[Tenure]]&gt;2,3%,2%)*staff[[#This Row],[Salary]],0)</f>
        <v>1783</v>
      </c>
      <c r="K56" cm="1">
        <f t="array" ref="K56">_xlfn.XLOOKUP(staff[[#This Row],[Rating]],Table5[[#All],[Column1]],Table5[[#All],[Column2]])</f>
        <v>3</v>
      </c>
    </row>
    <row r="57" spans="1:11" x14ac:dyDescent="0.25">
      <c r="A57" t="s">
        <v>79</v>
      </c>
      <c r="B57" t="s">
        <v>15</v>
      </c>
      <c r="C57">
        <v>33</v>
      </c>
      <c r="D57" t="s">
        <v>16</v>
      </c>
      <c r="E57" s="7">
        <v>44243</v>
      </c>
      <c r="F57" t="s">
        <v>21</v>
      </c>
      <c r="G57">
        <v>59430</v>
      </c>
      <c r="H57" t="s">
        <v>207</v>
      </c>
      <c r="I57" s="8">
        <f ca="1">(TODAY() -staff[[#This Row],[Date Joined]])/365</f>
        <v>3.0164383561643837</v>
      </c>
      <c r="J57" s="14">
        <f ca="1">ROUNDUP(IF(staff[[#This Row],[Tenure]]&gt;2,3%,2%)*staff[[#This Row],[Salary]],0)</f>
        <v>1783</v>
      </c>
      <c r="K57" cm="1">
        <f t="array" ref="K57">_xlfn.XLOOKUP(staff[[#This Row],[Rating]],Table5[[#All],[Column1]],Table5[[#All],[Column2]])</f>
        <v>3</v>
      </c>
    </row>
    <row r="58" spans="1:11" x14ac:dyDescent="0.25">
      <c r="A58" t="s">
        <v>132</v>
      </c>
      <c r="B58" t="s">
        <v>8</v>
      </c>
      <c r="C58">
        <v>34</v>
      </c>
      <c r="D58" t="s">
        <v>16</v>
      </c>
      <c r="E58" s="7">
        <v>44550</v>
      </c>
      <c r="F58" t="s">
        <v>21</v>
      </c>
      <c r="G58">
        <v>60130</v>
      </c>
      <c r="H58" t="s">
        <v>205</v>
      </c>
      <c r="I58" s="8">
        <f ca="1">(TODAY() -staff[[#This Row],[Date Joined]])/365</f>
        <v>2.1753424657534248</v>
      </c>
      <c r="J58" s="14">
        <f ca="1">ROUNDUP(IF(staff[[#This Row],[Tenure]]&gt;2,3%,2%)*staff[[#This Row],[Salary]],0)</f>
        <v>1804</v>
      </c>
      <c r="K58" cm="1">
        <f t="array" ref="K58">_xlfn.XLOOKUP(staff[[#This Row],[Rating]],Table5[[#All],[Column1]],Table5[[#All],[Column2]])</f>
        <v>3</v>
      </c>
    </row>
    <row r="59" spans="1:11" x14ac:dyDescent="0.25">
      <c r="A59" t="s">
        <v>38</v>
      </c>
      <c r="B59" t="s">
        <v>8</v>
      </c>
      <c r="C59">
        <v>34</v>
      </c>
      <c r="D59" t="s">
        <v>16</v>
      </c>
      <c r="E59" s="7">
        <v>44612</v>
      </c>
      <c r="F59" t="s">
        <v>21</v>
      </c>
      <c r="G59">
        <v>60130</v>
      </c>
      <c r="H59" t="s">
        <v>207</v>
      </c>
      <c r="I59" s="8">
        <f ca="1">(TODAY() -staff[[#This Row],[Date Joined]])/365</f>
        <v>2.0054794520547947</v>
      </c>
      <c r="J59" s="14">
        <f ca="1">ROUNDUP(IF(staff[[#This Row],[Tenure]]&gt;2,3%,2%)*staff[[#This Row],[Salary]],0)</f>
        <v>1804</v>
      </c>
      <c r="K59" cm="1">
        <f t="array" ref="K59">_xlfn.XLOOKUP(staff[[#This Row],[Rating]],Table5[[#All],[Column1]],Table5[[#All],[Column2]])</f>
        <v>3</v>
      </c>
    </row>
    <row r="60" spans="1:11" x14ac:dyDescent="0.25">
      <c r="A60" t="s">
        <v>131</v>
      </c>
      <c r="B60" t="s">
        <v>15</v>
      </c>
      <c r="C60">
        <v>30</v>
      </c>
      <c r="D60" t="s">
        <v>16</v>
      </c>
      <c r="E60" s="7">
        <v>44607</v>
      </c>
      <c r="F60" t="s">
        <v>9</v>
      </c>
      <c r="G60">
        <v>60570</v>
      </c>
      <c r="H60" t="s">
        <v>205</v>
      </c>
      <c r="I60" s="8">
        <f ca="1">(TODAY() -staff[[#This Row],[Date Joined]])/365</f>
        <v>2.0191780821917806</v>
      </c>
      <c r="J60" s="14">
        <f ca="1">ROUNDUP(IF(staff[[#This Row],[Tenure]]&gt;2,3%,2%)*staff[[#This Row],[Salary]],0)</f>
        <v>1818</v>
      </c>
      <c r="K60" cm="1">
        <f t="array" ref="K60">_xlfn.XLOOKUP(staff[[#This Row],[Rating]],Table5[[#All],[Column1]],Table5[[#All],[Column2]])</f>
        <v>3</v>
      </c>
    </row>
    <row r="61" spans="1:11" x14ac:dyDescent="0.25">
      <c r="A61" t="s">
        <v>37</v>
      </c>
      <c r="B61" t="s">
        <v>15</v>
      </c>
      <c r="C61">
        <v>30</v>
      </c>
      <c r="D61" t="s">
        <v>16</v>
      </c>
      <c r="E61" s="7">
        <v>44666</v>
      </c>
      <c r="F61" t="s">
        <v>9</v>
      </c>
      <c r="G61">
        <v>60570</v>
      </c>
      <c r="H61" t="s">
        <v>207</v>
      </c>
      <c r="I61" s="8">
        <f ca="1">(TODAY() -staff[[#This Row],[Date Joined]])/365</f>
        <v>1.8575342465753424</v>
      </c>
      <c r="J61" s="14">
        <f ca="1">ROUNDUP(IF(staff[[#This Row],[Tenure]]&gt;2,3%,2%)*staff[[#This Row],[Salary]],0)</f>
        <v>1212</v>
      </c>
      <c r="K61" cm="1">
        <f t="array" ref="K61">_xlfn.XLOOKUP(staff[[#This Row],[Rating]],Table5[[#All],[Column1]],Table5[[#All],[Column2]])</f>
        <v>3</v>
      </c>
    </row>
    <row r="62" spans="1:11" x14ac:dyDescent="0.25">
      <c r="A62" t="s">
        <v>153</v>
      </c>
      <c r="B62" t="s">
        <v>8</v>
      </c>
      <c r="C62">
        <v>24</v>
      </c>
      <c r="D62" t="s">
        <v>16</v>
      </c>
      <c r="E62" s="7">
        <v>44087</v>
      </c>
      <c r="F62" t="s">
        <v>12</v>
      </c>
      <c r="G62">
        <v>62780</v>
      </c>
      <c r="H62" t="s">
        <v>205</v>
      </c>
      <c r="I62" s="8">
        <f ca="1">(TODAY() -staff[[#This Row],[Date Joined]])/365</f>
        <v>3.4438356164383563</v>
      </c>
      <c r="J62" s="14">
        <f ca="1">ROUNDUP(IF(staff[[#This Row],[Tenure]]&gt;2,3%,2%)*staff[[#This Row],[Salary]],0)</f>
        <v>1884</v>
      </c>
      <c r="K62" cm="1">
        <f t="array" ref="K62">_xlfn.XLOOKUP(staff[[#This Row],[Rating]],Table5[[#All],[Column1]],Table5[[#All],[Column2]])</f>
        <v>3</v>
      </c>
    </row>
    <row r="63" spans="1:11" x14ac:dyDescent="0.25">
      <c r="A63" t="s">
        <v>61</v>
      </c>
      <c r="B63" t="s">
        <v>8</v>
      </c>
      <c r="C63">
        <v>24</v>
      </c>
      <c r="D63" t="s">
        <v>16</v>
      </c>
      <c r="E63" s="7">
        <v>44148</v>
      </c>
      <c r="F63" t="s">
        <v>12</v>
      </c>
      <c r="G63">
        <v>62780</v>
      </c>
      <c r="H63" t="s">
        <v>207</v>
      </c>
      <c r="I63" s="8">
        <f ca="1">(TODAY() -staff[[#This Row],[Date Joined]])/365</f>
        <v>3.2767123287671232</v>
      </c>
      <c r="J63" s="14">
        <f ca="1">ROUNDUP(IF(staff[[#This Row],[Tenure]]&gt;2,3%,2%)*staff[[#This Row],[Salary]],0)</f>
        <v>1884</v>
      </c>
      <c r="K63" cm="1">
        <f t="array" ref="K63">_xlfn.XLOOKUP(staff[[#This Row],[Rating]],Table5[[#All],[Column1]],Table5[[#All],[Column2]])</f>
        <v>3</v>
      </c>
    </row>
    <row r="64" spans="1:11" x14ac:dyDescent="0.25">
      <c r="A64" t="s">
        <v>116</v>
      </c>
      <c r="B64" t="s">
        <v>206</v>
      </c>
      <c r="C64">
        <v>30</v>
      </c>
      <c r="D64" t="s">
        <v>16</v>
      </c>
      <c r="E64" s="7">
        <v>44535</v>
      </c>
      <c r="F64" t="s">
        <v>21</v>
      </c>
      <c r="G64">
        <v>64000</v>
      </c>
      <c r="H64" t="s">
        <v>205</v>
      </c>
      <c r="I64" s="8">
        <f ca="1">(TODAY() -staff[[#This Row],[Date Joined]])/365</f>
        <v>2.2164383561643834</v>
      </c>
      <c r="J64" s="14">
        <f ca="1">ROUNDUP(IF(staff[[#This Row],[Tenure]]&gt;2,3%,2%)*staff[[#This Row],[Salary]],0)</f>
        <v>1920</v>
      </c>
      <c r="K64" cm="1">
        <f t="array" ref="K64">_xlfn.XLOOKUP(staff[[#This Row],[Rating]],Table5[[#All],[Column1]],Table5[[#All],[Column2]])</f>
        <v>3</v>
      </c>
    </row>
    <row r="65" spans="1:11" x14ac:dyDescent="0.25">
      <c r="A65" t="s">
        <v>20</v>
      </c>
      <c r="B65" t="s">
        <v>206</v>
      </c>
      <c r="C65">
        <v>30</v>
      </c>
      <c r="D65" t="s">
        <v>16</v>
      </c>
      <c r="E65" s="7">
        <v>44597</v>
      </c>
      <c r="F65" t="s">
        <v>21</v>
      </c>
      <c r="G65">
        <v>64000</v>
      </c>
      <c r="H65" t="s">
        <v>207</v>
      </c>
      <c r="I65" s="8">
        <f ca="1">(TODAY() -staff[[#This Row],[Date Joined]])/365</f>
        <v>2.0465753424657533</v>
      </c>
      <c r="J65" s="14">
        <f ca="1">ROUNDUP(IF(staff[[#This Row],[Tenure]]&gt;2,3%,2%)*staff[[#This Row],[Salary]],0)</f>
        <v>1920</v>
      </c>
      <c r="K65" cm="1">
        <f t="array" ref="K65">_xlfn.XLOOKUP(staff[[#This Row],[Rating]],Table5[[#All],[Column1]],Table5[[#All],[Column2]])</f>
        <v>3</v>
      </c>
    </row>
    <row r="66" spans="1:11" x14ac:dyDescent="0.25">
      <c r="A66" t="s">
        <v>186</v>
      </c>
      <c r="B66" t="s">
        <v>8</v>
      </c>
      <c r="C66">
        <v>33</v>
      </c>
      <c r="D66" t="s">
        <v>16</v>
      </c>
      <c r="E66" s="7">
        <v>44006</v>
      </c>
      <c r="F66" t="s">
        <v>21</v>
      </c>
      <c r="G66">
        <v>65360</v>
      </c>
      <c r="H66" t="s">
        <v>205</v>
      </c>
      <c r="I66" s="8">
        <f ca="1">(TODAY() -staff[[#This Row],[Date Joined]])/365</f>
        <v>3.6657534246575341</v>
      </c>
      <c r="J66" s="14">
        <f ca="1">ROUNDUP(IF(staff[[#This Row],[Tenure]]&gt;2,3%,2%)*staff[[#This Row],[Salary]],0)</f>
        <v>1961</v>
      </c>
      <c r="K66" cm="1">
        <f t="array" ref="K66">_xlfn.XLOOKUP(staff[[#This Row],[Rating]],Table5[[#All],[Column1]],Table5[[#All],[Column2]])</f>
        <v>3</v>
      </c>
    </row>
    <row r="67" spans="1:11" x14ac:dyDescent="0.25">
      <c r="A67" t="s">
        <v>93</v>
      </c>
      <c r="B67" t="s">
        <v>8</v>
      </c>
      <c r="C67">
        <v>33</v>
      </c>
      <c r="D67" t="s">
        <v>16</v>
      </c>
      <c r="E67" s="7">
        <v>44067</v>
      </c>
      <c r="F67" t="s">
        <v>21</v>
      </c>
      <c r="G67">
        <v>65360</v>
      </c>
      <c r="H67" t="s">
        <v>207</v>
      </c>
      <c r="I67" s="8">
        <f ca="1">(TODAY() -staff[[#This Row],[Date Joined]])/365</f>
        <v>3.4986301369863013</v>
      </c>
      <c r="J67" s="14">
        <f ca="1">ROUNDUP(IF(staff[[#This Row],[Tenure]]&gt;2,3%,2%)*staff[[#This Row],[Salary]],0)</f>
        <v>1961</v>
      </c>
      <c r="K67" cm="1">
        <f t="array" ref="K67">_xlfn.XLOOKUP(staff[[#This Row],[Rating]],Table5[[#All],[Column1]],Table5[[#All],[Column2]])</f>
        <v>3</v>
      </c>
    </row>
    <row r="68" spans="1:11" x14ac:dyDescent="0.25">
      <c r="A68" t="s">
        <v>168</v>
      </c>
      <c r="B68" t="s">
        <v>15</v>
      </c>
      <c r="C68">
        <v>25</v>
      </c>
      <c r="D68" t="s">
        <v>16</v>
      </c>
      <c r="E68" s="7">
        <v>44322</v>
      </c>
      <c r="F68" t="s">
        <v>19</v>
      </c>
      <c r="G68">
        <v>65700</v>
      </c>
      <c r="H68" t="s">
        <v>205</v>
      </c>
      <c r="I68" s="8">
        <f ca="1">(TODAY() -staff[[#This Row],[Date Joined]])/365</f>
        <v>2.8</v>
      </c>
      <c r="J68" s="14">
        <f ca="1">ROUNDUP(IF(staff[[#This Row],[Tenure]]&gt;2,3%,2%)*staff[[#This Row],[Salary]],0)</f>
        <v>1971</v>
      </c>
      <c r="K68" cm="1">
        <f t="array" ref="K68">_xlfn.XLOOKUP(staff[[#This Row],[Rating]],Table5[[#All],[Column1]],Table5[[#All],[Column2]])</f>
        <v>3</v>
      </c>
    </row>
    <row r="69" spans="1:11" x14ac:dyDescent="0.25">
      <c r="A69" t="s">
        <v>76</v>
      </c>
      <c r="B69" t="s">
        <v>15</v>
      </c>
      <c r="C69">
        <v>25</v>
      </c>
      <c r="D69" t="s">
        <v>16</v>
      </c>
      <c r="E69" s="7">
        <v>44383</v>
      </c>
      <c r="F69" t="s">
        <v>19</v>
      </c>
      <c r="G69">
        <v>65700</v>
      </c>
      <c r="H69" t="s">
        <v>207</v>
      </c>
      <c r="I69" s="8">
        <f ca="1">(TODAY() -staff[[#This Row],[Date Joined]])/365</f>
        <v>2.6328767123287671</v>
      </c>
      <c r="J69" s="14">
        <f ca="1">ROUNDUP(IF(staff[[#This Row],[Tenure]]&gt;2,3%,2%)*staff[[#This Row],[Salary]],0)</f>
        <v>1971</v>
      </c>
      <c r="K69" cm="1">
        <f t="array" ref="K69">_xlfn.XLOOKUP(staff[[#This Row],[Rating]],Table5[[#All],[Column1]],Table5[[#All],[Column2]])</f>
        <v>3</v>
      </c>
    </row>
    <row r="70" spans="1:11" x14ac:dyDescent="0.25">
      <c r="A70" t="s">
        <v>126</v>
      </c>
      <c r="B70" t="s">
        <v>8</v>
      </c>
      <c r="C70">
        <v>21</v>
      </c>
      <c r="D70" t="s">
        <v>16</v>
      </c>
      <c r="E70" s="7">
        <v>44256</v>
      </c>
      <c r="F70" t="s">
        <v>21</v>
      </c>
      <c r="G70">
        <v>65920</v>
      </c>
      <c r="H70" t="s">
        <v>205</v>
      </c>
      <c r="I70" s="8">
        <f ca="1">(TODAY() -staff[[#This Row],[Date Joined]])/365</f>
        <v>2.9808219178082194</v>
      </c>
      <c r="J70" s="14">
        <f ca="1">ROUNDUP(IF(staff[[#This Row],[Tenure]]&gt;2,3%,2%)*staff[[#This Row],[Salary]],0)</f>
        <v>1978</v>
      </c>
      <c r="K70" cm="1">
        <f t="array" ref="K70">_xlfn.XLOOKUP(staff[[#This Row],[Rating]],Table5[[#All],[Column1]],Table5[[#All],[Column2]])</f>
        <v>3</v>
      </c>
    </row>
    <row r="71" spans="1:11" x14ac:dyDescent="0.25">
      <c r="A71" t="s">
        <v>32</v>
      </c>
      <c r="B71" t="s">
        <v>8</v>
      </c>
      <c r="C71">
        <v>21</v>
      </c>
      <c r="D71" t="s">
        <v>16</v>
      </c>
      <c r="E71" s="7">
        <v>44317</v>
      </c>
      <c r="F71" t="s">
        <v>21</v>
      </c>
      <c r="G71">
        <v>65920</v>
      </c>
      <c r="H71" t="s">
        <v>207</v>
      </c>
      <c r="I71" s="8">
        <f ca="1">(TODAY() -staff[[#This Row],[Date Joined]])/365</f>
        <v>2.8136986301369862</v>
      </c>
      <c r="J71" s="14">
        <f ca="1">ROUNDUP(IF(staff[[#This Row],[Tenure]]&gt;2,3%,2%)*staff[[#This Row],[Salary]],0)</f>
        <v>1978</v>
      </c>
      <c r="K71" cm="1">
        <f t="array" ref="K71">_xlfn.XLOOKUP(staff[[#This Row],[Rating]],Table5[[#All],[Column1]],Table5[[#All],[Column2]])</f>
        <v>3</v>
      </c>
    </row>
    <row r="72" spans="1:11" x14ac:dyDescent="0.25">
      <c r="A72" t="s">
        <v>121</v>
      </c>
      <c r="B72" t="s">
        <v>8</v>
      </c>
      <c r="C72">
        <v>30</v>
      </c>
      <c r="D72" t="s">
        <v>24</v>
      </c>
      <c r="E72" s="7">
        <v>44328</v>
      </c>
      <c r="F72" t="s">
        <v>21</v>
      </c>
      <c r="G72">
        <v>67910</v>
      </c>
      <c r="H72" t="s">
        <v>205</v>
      </c>
      <c r="I72" s="8">
        <f ca="1">(TODAY() -staff[[#This Row],[Date Joined]])/365</f>
        <v>2.7835616438356166</v>
      </c>
      <c r="J72" s="14">
        <f ca="1">ROUNDUP(IF(staff[[#This Row],[Tenure]]&gt;2,3%,2%)*staff[[#This Row],[Salary]],0)</f>
        <v>2038</v>
      </c>
      <c r="K72" cm="1">
        <f t="array" ref="K72">_xlfn.XLOOKUP(staff[[#This Row],[Rating]],Table5[[#All],[Column1]],Table5[[#All],[Column2]])</f>
        <v>2</v>
      </c>
    </row>
    <row r="73" spans="1:11" x14ac:dyDescent="0.25">
      <c r="A73" t="s">
        <v>27</v>
      </c>
      <c r="B73" t="s">
        <v>8</v>
      </c>
      <c r="C73">
        <v>30</v>
      </c>
      <c r="D73" t="s">
        <v>24</v>
      </c>
      <c r="E73" s="7">
        <v>44389</v>
      </c>
      <c r="F73" t="s">
        <v>21</v>
      </c>
      <c r="G73">
        <v>67910</v>
      </c>
      <c r="H73" t="s">
        <v>207</v>
      </c>
      <c r="I73" s="8">
        <f ca="1">(TODAY() -staff[[#This Row],[Date Joined]])/365</f>
        <v>2.6164383561643834</v>
      </c>
      <c r="J73" s="14">
        <f ca="1">ROUNDUP(IF(staff[[#This Row],[Tenure]]&gt;2,3%,2%)*staff[[#This Row],[Salary]],0)</f>
        <v>2038</v>
      </c>
      <c r="K73" cm="1">
        <f t="array" ref="K73">_xlfn.XLOOKUP(staff[[#This Row],[Rating]],Table5[[#All],[Column1]],Table5[[#All],[Column2]])</f>
        <v>2</v>
      </c>
    </row>
    <row r="74" spans="1:11" x14ac:dyDescent="0.25">
      <c r="A74" t="s">
        <v>138</v>
      </c>
      <c r="B74" t="s">
        <v>15</v>
      </c>
      <c r="C74">
        <v>30</v>
      </c>
      <c r="D74" t="s">
        <v>16</v>
      </c>
      <c r="E74" s="7">
        <v>44640</v>
      </c>
      <c r="F74" t="s">
        <v>9</v>
      </c>
      <c r="G74">
        <v>67950</v>
      </c>
      <c r="H74" t="s">
        <v>205</v>
      </c>
      <c r="I74" s="8">
        <f ca="1">(TODAY() -staff[[#This Row],[Date Joined]])/365</f>
        <v>1.9287671232876713</v>
      </c>
      <c r="J74" s="14">
        <f ca="1">ROUNDUP(IF(staff[[#This Row],[Tenure]]&gt;2,3%,2%)*staff[[#This Row],[Salary]],0)</f>
        <v>1359</v>
      </c>
      <c r="K74" cm="1">
        <f t="array" ref="K74">_xlfn.XLOOKUP(staff[[#This Row],[Rating]],Table5[[#All],[Column1]],Table5[[#All],[Column2]])</f>
        <v>3</v>
      </c>
    </row>
    <row r="75" spans="1:11" x14ac:dyDescent="0.25">
      <c r="A75" t="s">
        <v>45</v>
      </c>
      <c r="B75" t="s">
        <v>15</v>
      </c>
      <c r="C75">
        <v>30</v>
      </c>
      <c r="D75" t="s">
        <v>16</v>
      </c>
      <c r="E75" s="7">
        <v>44701</v>
      </c>
      <c r="F75" t="s">
        <v>9</v>
      </c>
      <c r="G75">
        <v>67950</v>
      </c>
      <c r="H75" t="s">
        <v>207</v>
      </c>
      <c r="I75" s="8">
        <f ca="1">(TODAY() -staff[[#This Row],[Date Joined]])/365</f>
        <v>1.7616438356164383</v>
      </c>
      <c r="J75" s="14">
        <f ca="1">ROUNDUP(IF(staff[[#This Row],[Tenure]]&gt;2,3%,2%)*staff[[#This Row],[Salary]],0)</f>
        <v>1359</v>
      </c>
      <c r="K75" cm="1">
        <f t="array" ref="K75">_xlfn.XLOOKUP(staff[[#This Row],[Rating]],Table5[[#All],[Column1]],Table5[[#All],[Column2]])</f>
        <v>3</v>
      </c>
    </row>
    <row r="76" spans="1:11" x14ac:dyDescent="0.25">
      <c r="A76" t="s">
        <v>184</v>
      </c>
      <c r="B76" t="s">
        <v>8</v>
      </c>
      <c r="C76">
        <v>20</v>
      </c>
      <c r="D76" t="s">
        <v>24</v>
      </c>
      <c r="E76" s="7">
        <v>44476</v>
      </c>
      <c r="F76" t="s">
        <v>19</v>
      </c>
      <c r="G76">
        <v>68900</v>
      </c>
      <c r="H76" t="s">
        <v>205</v>
      </c>
      <c r="I76" s="8">
        <f ca="1">(TODAY() -staff[[#This Row],[Date Joined]])/365</f>
        <v>2.3780821917808219</v>
      </c>
      <c r="J76" s="14">
        <f ca="1">ROUNDUP(IF(staff[[#This Row],[Tenure]]&gt;2,3%,2%)*staff[[#This Row],[Salary]],0)</f>
        <v>2067</v>
      </c>
      <c r="K76" cm="1">
        <f t="array" ref="K76">_xlfn.XLOOKUP(staff[[#This Row],[Rating]],Table5[[#All],[Column1]],Table5[[#All],[Column2]])</f>
        <v>2</v>
      </c>
    </row>
    <row r="77" spans="1:11" x14ac:dyDescent="0.25">
      <c r="A77" t="s">
        <v>91</v>
      </c>
      <c r="B77" t="s">
        <v>8</v>
      </c>
      <c r="C77">
        <v>20</v>
      </c>
      <c r="D77" t="s">
        <v>24</v>
      </c>
      <c r="E77" s="7">
        <v>44537</v>
      </c>
      <c r="F77" t="s">
        <v>19</v>
      </c>
      <c r="G77">
        <v>68900</v>
      </c>
      <c r="H77" t="s">
        <v>207</v>
      </c>
      <c r="I77" s="8">
        <f ca="1">(TODAY() -staff[[#This Row],[Date Joined]])/365</f>
        <v>2.2109589041095892</v>
      </c>
      <c r="J77" s="14">
        <f ca="1">ROUNDUP(IF(staff[[#This Row],[Tenure]]&gt;2,3%,2%)*staff[[#This Row],[Salary]],0)</f>
        <v>2067</v>
      </c>
      <c r="K77" cm="1">
        <f t="array" ref="K77">_xlfn.XLOOKUP(staff[[#This Row],[Rating]],Table5[[#All],[Column1]],Table5[[#All],[Column2]])</f>
        <v>2</v>
      </c>
    </row>
    <row r="78" spans="1:11" x14ac:dyDescent="0.25">
      <c r="A78" t="s">
        <v>190</v>
      </c>
      <c r="B78" t="s">
        <v>15</v>
      </c>
      <c r="C78">
        <v>37</v>
      </c>
      <c r="D78" t="s">
        <v>16</v>
      </c>
      <c r="E78" s="7">
        <v>44640</v>
      </c>
      <c r="F78" t="s">
        <v>12</v>
      </c>
      <c r="G78">
        <v>69070</v>
      </c>
      <c r="H78" t="s">
        <v>205</v>
      </c>
      <c r="I78" s="8">
        <f ca="1">(TODAY() -staff[[#This Row],[Date Joined]])/365</f>
        <v>1.9287671232876713</v>
      </c>
      <c r="J78" s="14">
        <f ca="1">ROUNDUP(IF(staff[[#This Row],[Tenure]]&gt;2,3%,2%)*staff[[#This Row],[Salary]],0)</f>
        <v>1382</v>
      </c>
      <c r="K78" cm="1">
        <f t="array" ref="K78">_xlfn.XLOOKUP(staff[[#This Row],[Rating]],Table5[[#All],[Column1]],Table5[[#All],[Column2]])</f>
        <v>3</v>
      </c>
    </row>
    <row r="79" spans="1:11" x14ac:dyDescent="0.25">
      <c r="A79" t="s">
        <v>97</v>
      </c>
      <c r="B79" t="s">
        <v>15</v>
      </c>
      <c r="C79">
        <v>37</v>
      </c>
      <c r="D79" t="s">
        <v>16</v>
      </c>
      <c r="E79" s="7">
        <v>44701</v>
      </c>
      <c r="F79" t="s">
        <v>12</v>
      </c>
      <c r="G79">
        <v>69070</v>
      </c>
      <c r="H79" t="s">
        <v>207</v>
      </c>
      <c r="I79" s="8">
        <f ca="1">(TODAY() -staff[[#This Row],[Date Joined]])/365</f>
        <v>1.7616438356164383</v>
      </c>
      <c r="J79" s="14">
        <f ca="1">ROUNDUP(IF(staff[[#This Row],[Tenure]]&gt;2,3%,2%)*staff[[#This Row],[Salary]],0)</f>
        <v>1382</v>
      </c>
      <c r="K79" cm="1">
        <f t="array" ref="K79">_xlfn.XLOOKUP(staff[[#This Row],[Rating]],Table5[[#All],[Column1]],Table5[[#All],[Column2]])</f>
        <v>3</v>
      </c>
    </row>
    <row r="80" spans="1:11" x14ac:dyDescent="0.25">
      <c r="A80" t="s">
        <v>119</v>
      </c>
      <c r="B80" t="s">
        <v>15</v>
      </c>
      <c r="C80">
        <v>30</v>
      </c>
      <c r="D80" t="s">
        <v>16</v>
      </c>
      <c r="E80" s="7">
        <v>44214</v>
      </c>
      <c r="F80" t="s">
        <v>12</v>
      </c>
      <c r="G80">
        <v>69120</v>
      </c>
      <c r="H80" t="s">
        <v>205</v>
      </c>
      <c r="I80" s="8">
        <f ca="1">(TODAY() -staff[[#This Row],[Date Joined]])/365</f>
        <v>3.095890410958904</v>
      </c>
      <c r="J80" s="14">
        <f ca="1">ROUNDUP(IF(staff[[#This Row],[Tenure]]&gt;2,3%,2%)*staff[[#This Row],[Salary]],0)</f>
        <v>2074</v>
      </c>
      <c r="K80" cm="1">
        <f t="array" ref="K80">_xlfn.XLOOKUP(staff[[#This Row],[Rating]],Table5[[#All],[Column1]],Table5[[#All],[Column2]])</f>
        <v>3</v>
      </c>
    </row>
    <row r="81" spans="1:11" x14ac:dyDescent="0.25">
      <c r="A81" t="s">
        <v>25</v>
      </c>
      <c r="B81" t="s">
        <v>15</v>
      </c>
      <c r="C81">
        <v>30</v>
      </c>
      <c r="D81" t="s">
        <v>16</v>
      </c>
      <c r="E81" s="7">
        <v>44273</v>
      </c>
      <c r="F81" t="s">
        <v>12</v>
      </c>
      <c r="G81">
        <v>69120</v>
      </c>
      <c r="H81" t="s">
        <v>207</v>
      </c>
      <c r="I81" s="8">
        <f ca="1">(TODAY() -staff[[#This Row],[Date Joined]])/365</f>
        <v>2.9342465753424656</v>
      </c>
      <c r="J81" s="14">
        <f ca="1">ROUNDUP(IF(staff[[#This Row],[Tenure]]&gt;2,3%,2%)*staff[[#This Row],[Salary]],0)</f>
        <v>2074</v>
      </c>
      <c r="K81" cm="1">
        <f t="array" ref="K81">_xlfn.XLOOKUP(staff[[#This Row],[Rating]],Table5[[#All],[Column1]],Table5[[#All],[Column2]])</f>
        <v>3</v>
      </c>
    </row>
    <row r="82" spans="1:11" x14ac:dyDescent="0.25">
      <c r="A82" t="s">
        <v>159</v>
      </c>
      <c r="B82" t="s">
        <v>15</v>
      </c>
      <c r="C82">
        <v>30</v>
      </c>
      <c r="D82" t="s">
        <v>16</v>
      </c>
      <c r="E82" s="7">
        <v>44789</v>
      </c>
      <c r="F82" t="s">
        <v>12</v>
      </c>
      <c r="G82">
        <v>69710</v>
      </c>
      <c r="H82" t="s">
        <v>205</v>
      </c>
      <c r="I82" s="8">
        <f ca="1">(TODAY() -staff[[#This Row],[Date Joined]])/365</f>
        <v>1.5205479452054795</v>
      </c>
      <c r="J82" s="14">
        <f ca="1">ROUNDUP(IF(staff[[#This Row],[Tenure]]&gt;2,3%,2%)*staff[[#This Row],[Salary]],0)</f>
        <v>1395</v>
      </c>
      <c r="K82" cm="1">
        <f t="array" ref="K82">_xlfn.XLOOKUP(staff[[#This Row],[Rating]],Table5[[#All],[Column1]],Table5[[#All],[Column2]])</f>
        <v>3</v>
      </c>
    </row>
    <row r="83" spans="1:11" x14ac:dyDescent="0.25">
      <c r="A83" t="s">
        <v>67</v>
      </c>
      <c r="B83" t="s">
        <v>15</v>
      </c>
      <c r="C83">
        <v>30</v>
      </c>
      <c r="D83" t="s">
        <v>16</v>
      </c>
      <c r="E83" s="7">
        <v>44850</v>
      </c>
      <c r="F83" t="s">
        <v>12</v>
      </c>
      <c r="G83">
        <v>69710</v>
      </c>
      <c r="H83" t="s">
        <v>207</v>
      </c>
      <c r="I83" s="8">
        <f ca="1">(TODAY() -staff[[#This Row],[Date Joined]])/365</f>
        <v>1.3534246575342466</v>
      </c>
      <c r="J83" s="14">
        <f ca="1">ROUNDUP(IF(staff[[#This Row],[Tenure]]&gt;2,3%,2%)*staff[[#This Row],[Salary]],0)</f>
        <v>1395</v>
      </c>
      <c r="K83" cm="1">
        <f t="array" ref="K83">_xlfn.XLOOKUP(staff[[#This Row],[Rating]],Table5[[#All],[Column1]],Table5[[#All],[Column2]])</f>
        <v>3</v>
      </c>
    </row>
    <row r="84" spans="1:11" x14ac:dyDescent="0.25">
      <c r="A84" t="s">
        <v>183</v>
      </c>
      <c r="B84" t="s">
        <v>15</v>
      </c>
      <c r="C84">
        <v>42</v>
      </c>
      <c r="D84" t="s">
        <v>24</v>
      </c>
      <c r="E84" s="7">
        <v>44670</v>
      </c>
      <c r="F84" t="s">
        <v>21</v>
      </c>
      <c r="G84">
        <v>70270</v>
      </c>
      <c r="H84" t="s">
        <v>205</v>
      </c>
      <c r="I84" s="8">
        <f ca="1">(TODAY() -staff[[#This Row],[Date Joined]])/365</f>
        <v>1.8465753424657534</v>
      </c>
      <c r="J84" s="14">
        <f ca="1">ROUNDUP(IF(staff[[#This Row],[Tenure]]&gt;2,3%,2%)*staff[[#This Row],[Salary]],0)</f>
        <v>1406</v>
      </c>
      <c r="K84" cm="1">
        <f t="array" ref="K84">_xlfn.XLOOKUP(staff[[#This Row],[Rating]],Table5[[#All],[Column1]],Table5[[#All],[Column2]])</f>
        <v>2</v>
      </c>
    </row>
    <row r="85" spans="1:11" x14ac:dyDescent="0.25">
      <c r="A85" t="s">
        <v>90</v>
      </c>
      <c r="B85" t="s">
        <v>15</v>
      </c>
      <c r="C85">
        <v>42</v>
      </c>
      <c r="D85" t="s">
        <v>24</v>
      </c>
      <c r="E85" s="7">
        <v>44731</v>
      </c>
      <c r="F85" t="s">
        <v>21</v>
      </c>
      <c r="G85">
        <v>70270</v>
      </c>
      <c r="H85" t="s">
        <v>207</v>
      </c>
      <c r="I85" s="8">
        <f ca="1">(TODAY() -staff[[#This Row],[Date Joined]])/365</f>
        <v>1.6794520547945206</v>
      </c>
      <c r="J85" s="14">
        <f ca="1">ROUNDUP(IF(staff[[#This Row],[Tenure]]&gt;2,3%,2%)*staff[[#This Row],[Salary]],0)</f>
        <v>1406</v>
      </c>
      <c r="K85" cm="1">
        <f t="array" ref="K85">_xlfn.XLOOKUP(staff[[#This Row],[Rating]],Table5[[#All],[Column1]],Table5[[#All],[Column2]])</f>
        <v>2</v>
      </c>
    </row>
    <row r="86" spans="1:11" x14ac:dyDescent="0.25">
      <c r="A86" t="s">
        <v>162</v>
      </c>
      <c r="B86" t="s">
        <v>15</v>
      </c>
      <c r="C86">
        <v>46</v>
      </c>
      <c r="D86" t="s">
        <v>16</v>
      </c>
      <c r="E86" s="7">
        <v>44697</v>
      </c>
      <c r="F86" t="s">
        <v>9</v>
      </c>
      <c r="G86">
        <v>70610</v>
      </c>
      <c r="H86" t="s">
        <v>205</v>
      </c>
      <c r="I86" s="8">
        <f ca="1">(TODAY() -staff[[#This Row],[Date Joined]])/365</f>
        <v>1.7726027397260273</v>
      </c>
      <c r="J86" s="14">
        <f ca="1">ROUNDUP(IF(staff[[#This Row],[Tenure]]&gt;2,3%,2%)*staff[[#This Row],[Salary]],0)</f>
        <v>1413</v>
      </c>
      <c r="K86" cm="1">
        <f t="array" ref="K86">_xlfn.XLOOKUP(staff[[#This Row],[Rating]],Table5[[#All],[Column1]],Table5[[#All],[Column2]])</f>
        <v>3</v>
      </c>
    </row>
    <row r="87" spans="1:11" x14ac:dyDescent="0.25">
      <c r="A87" t="s">
        <v>70</v>
      </c>
      <c r="B87" t="s">
        <v>15</v>
      </c>
      <c r="C87">
        <v>46</v>
      </c>
      <c r="D87" t="s">
        <v>16</v>
      </c>
      <c r="E87" s="7">
        <v>44758</v>
      </c>
      <c r="F87" t="s">
        <v>9</v>
      </c>
      <c r="G87">
        <v>70610</v>
      </c>
      <c r="H87" t="s">
        <v>207</v>
      </c>
      <c r="I87" s="8">
        <f ca="1">(TODAY() -staff[[#This Row],[Date Joined]])/365</f>
        <v>1.6054794520547946</v>
      </c>
      <c r="J87" s="14">
        <f ca="1">ROUNDUP(IF(staff[[#This Row],[Tenure]]&gt;2,3%,2%)*staff[[#This Row],[Salary]],0)</f>
        <v>1413</v>
      </c>
      <c r="K87" cm="1">
        <f t="array" ref="K87">_xlfn.XLOOKUP(staff[[#This Row],[Rating]],Table5[[#All],[Column1]],Table5[[#All],[Column2]])</f>
        <v>3</v>
      </c>
    </row>
    <row r="88" spans="1:11" x14ac:dyDescent="0.25">
      <c r="A88" t="s">
        <v>187</v>
      </c>
      <c r="B88" t="s">
        <v>15</v>
      </c>
      <c r="C88">
        <v>36</v>
      </c>
      <c r="D88" t="s">
        <v>16</v>
      </c>
      <c r="E88" s="7">
        <v>44272</v>
      </c>
      <c r="F88" t="s">
        <v>21</v>
      </c>
      <c r="G88">
        <v>71380</v>
      </c>
      <c r="H88" t="s">
        <v>205</v>
      </c>
      <c r="I88" s="8">
        <f ca="1">(TODAY() -staff[[#This Row],[Date Joined]])/365</f>
        <v>2.9369863013698629</v>
      </c>
      <c r="J88" s="14">
        <f ca="1">ROUNDUP(IF(staff[[#This Row],[Tenure]]&gt;2,3%,2%)*staff[[#This Row],[Salary]],0)</f>
        <v>2142</v>
      </c>
      <c r="K88" cm="1">
        <f t="array" ref="K88">_xlfn.XLOOKUP(staff[[#This Row],[Rating]],Table5[[#All],[Column1]],Table5[[#All],[Column2]])</f>
        <v>3</v>
      </c>
    </row>
    <row r="89" spans="1:11" x14ac:dyDescent="0.25">
      <c r="A89" t="s">
        <v>94</v>
      </c>
      <c r="B89" t="s">
        <v>15</v>
      </c>
      <c r="C89">
        <v>36</v>
      </c>
      <c r="D89" t="s">
        <v>16</v>
      </c>
      <c r="E89" s="7">
        <v>44333</v>
      </c>
      <c r="F89" t="s">
        <v>21</v>
      </c>
      <c r="G89">
        <v>71380</v>
      </c>
      <c r="H89" t="s">
        <v>207</v>
      </c>
      <c r="I89" s="8">
        <f ca="1">(TODAY() -staff[[#This Row],[Date Joined]])/365</f>
        <v>2.7698630136986302</v>
      </c>
      <c r="J89" s="14">
        <f ca="1">ROUNDUP(IF(staff[[#This Row],[Tenure]]&gt;2,3%,2%)*staff[[#This Row],[Salary]],0)</f>
        <v>2142</v>
      </c>
      <c r="K89" cm="1">
        <f t="array" ref="K89">_xlfn.XLOOKUP(staff[[#This Row],[Rating]],Table5[[#All],[Column1]],Table5[[#All],[Column2]])</f>
        <v>3</v>
      </c>
    </row>
    <row r="90" spans="1:11" x14ac:dyDescent="0.25">
      <c r="A90" t="s">
        <v>115</v>
      </c>
      <c r="B90" t="s">
        <v>15</v>
      </c>
      <c r="C90">
        <v>33</v>
      </c>
      <c r="D90" t="s">
        <v>16</v>
      </c>
      <c r="E90" s="7">
        <v>44324</v>
      </c>
      <c r="F90" t="s">
        <v>19</v>
      </c>
      <c r="G90">
        <v>74550</v>
      </c>
      <c r="H90" t="s">
        <v>205</v>
      </c>
      <c r="I90" s="8">
        <f ca="1">(TODAY() -staff[[#This Row],[Date Joined]])/365</f>
        <v>2.7945205479452055</v>
      </c>
      <c r="J90" s="14">
        <f ca="1">ROUNDUP(IF(staff[[#This Row],[Tenure]]&gt;2,3%,2%)*staff[[#This Row],[Salary]],0)</f>
        <v>2237</v>
      </c>
      <c r="K90" cm="1">
        <f t="array" ref="K90">_xlfn.XLOOKUP(staff[[#This Row],[Rating]],Table5[[#All],[Column1]],Table5[[#All],[Column2]])</f>
        <v>3</v>
      </c>
    </row>
    <row r="91" spans="1:11" x14ac:dyDescent="0.25">
      <c r="A91" t="s">
        <v>18</v>
      </c>
      <c r="B91" t="s">
        <v>15</v>
      </c>
      <c r="C91">
        <v>33</v>
      </c>
      <c r="D91" t="s">
        <v>16</v>
      </c>
      <c r="E91" s="7">
        <v>44385</v>
      </c>
      <c r="F91" t="s">
        <v>19</v>
      </c>
      <c r="G91">
        <v>74550</v>
      </c>
      <c r="H91" t="s">
        <v>207</v>
      </c>
      <c r="I91" s="8">
        <f ca="1">(TODAY() -staff[[#This Row],[Date Joined]])/365</f>
        <v>2.6273972602739728</v>
      </c>
      <c r="J91" s="14">
        <f ca="1">ROUNDUP(IF(staff[[#This Row],[Tenure]]&gt;2,3%,2%)*staff[[#This Row],[Salary]],0)</f>
        <v>2237</v>
      </c>
      <c r="K91" cm="1">
        <f t="array" ref="K91">_xlfn.XLOOKUP(staff[[#This Row],[Rating]],Table5[[#All],[Column1]],Table5[[#All],[Column2]])</f>
        <v>3</v>
      </c>
    </row>
    <row r="92" spans="1:11" x14ac:dyDescent="0.25">
      <c r="A92" t="s">
        <v>111</v>
      </c>
      <c r="B92" t="s">
        <v>8</v>
      </c>
      <c r="C92">
        <v>42</v>
      </c>
      <c r="D92" t="s">
        <v>10</v>
      </c>
      <c r="E92" s="7">
        <v>44718</v>
      </c>
      <c r="F92" t="s">
        <v>9</v>
      </c>
      <c r="G92">
        <v>75000</v>
      </c>
      <c r="H92" t="s">
        <v>205</v>
      </c>
      <c r="I92" s="8">
        <f ca="1">(TODAY() -staff[[#This Row],[Date Joined]])/365</f>
        <v>1.715068493150685</v>
      </c>
      <c r="J92" s="14">
        <f ca="1">ROUNDUP(IF(staff[[#This Row],[Tenure]]&gt;2,3%,2%)*staff[[#This Row],[Salary]],0)</f>
        <v>1500</v>
      </c>
      <c r="K92" cm="1">
        <f t="array" ref="K92">_xlfn.XLOOKUP(staff[[#This Row],[Rating]],Table5[[#All],[Column1]],Table5[[#All],[Column2]])</f>
        <v>5</v>
      </c>
    </row>
    <row r="93" spans="1:11" x14ac:dyDescent="0.25">
      <c r="A93" t="s">
        <v>7</v>
      </c>
      <c r="B93" t="s">
        <v>8</v>
      </c>
      <c r="C93">
        <v>42</v>
      </c>
      <c r="D93" t="s">
        <v>10</v>
      </c>
      <c r="E93" s="7">
        <v>44779</v>
      </c>
      <c r="F93" t="s">
        <v>9</v>
      </c>
      <c r="G93">
        <v>75000</v>
      </c>
      <c r="H93" t="s">
        <v>207</v>
      </c>
      <c r="I93" s="8">
        <f ca="1">(TODAY() -staff[[#This Row],[Date Joined]])/365</f>
        <v>1.547945205479452</v>
      </c>
      <c r="J93" s="14">
        <f ca="1">ROUNDUP(IF(staff[[#This Row],[Tenure]]&gt;2,3%,2%)*staff[[#This Row],[Salary]],0)</f>
        <v>1500</v>
      </c>
      <c r="K93" cm="1">
        <f t="array" ref="K93">_xlfn.XLOOKUP(staff[[#This Row],[Rating]],Table5[[#All],[Column1]],Table5[[#All],[Column2]])</f>
        <v>5</v>
      </c>
    </row>
    <row r="94" spans="1:11" x14ac:dyDescent="0.25">
      <c r="A94" t="s">
        <v>188</v>
      </c>
      <c r="B94" t="s">
        <v>8</v>
      </c>
      <c r="C94">
        <v>33</v>
      </c>
      <c r="D94" t="s">
        <v>16</v>
      </c>
      <c r="E94" s="7">
        <v>44253</v>
      </c>
      <c r="F94" t="s">
        <v>12</v>
      </c>
      <c r="G94">
        <v>75280</v>
      </c>
      <c r="H94" t="s">
        <v>205</v>
      </c>
      <c r="I94" s="8">
        <f ca="1">(TODAY() -staff[[#This Row],[Date Joined]])/365</f>
        <v>2.989041095890411</v>
      </c>
      <c r="J94" s="14">
        <f ca="1">ROUNDUP(IF(staff[[#This Row],[Tenure]]&gt;2,3%,2%)*staff[[#This Row],[Salary]],0)</f>
        <v>2259</v>
      </c>
      <c r="K94" cm="1">
        <f t="array" ref="K94">_xlfn.XLOOKUP(staff[[#This Row],[Rating]],Table5[[#All],[Column1]],Table5[[#All],[Column2]])</f>
        <v>3</v>
      </c>
    </row>
    <row r="95" spans="1:11" x14ac:dyDescent="0.25">
      <c r="A95" t="s">
        <v>95</v>
      </c>
      <c r="B95" t="s">
        <v>8</v>
      </c>
      <c r="C95">
        <v>33</v>
      </c>
      <c r="D95" t="s">
        <v>16</v>
      </c>
      <c r="E95" s="7">
        <v>44312</v>
      </c>
      <c r="F95" t="s">
        <v>12</v>
      </c>
      <c r="G95">
        <v>75280</v>
      </c>
      <c r="H95" t="s">
        <v>207</v>
      </c>
      <c r="I95" s="8">
        <f ca="1">(TODAY() -staff[[#This Row],[Date Joined]])/365</f>
        <v>2.8273972602739725</v>
      </c>
      <c r="J95" s="14">
        <f ca="1">ROUNDUP(IF(staff[[#This Row],[Tenure]]&gt;2,3%,2%)*staff[[#This Row],[Salary]],0)</f>
        <v>2259</v>
      </c>
      <c r="K95" cm="1">
        <f t="array" ref="K95">_xlfn.XLOOKUP(staff[[#This Row],[Rating]],Table5[[#All],[Column1]],Table5[[#All],[Column2]])</f>
        <v>3</v>
      </c>
    </row>
    <row r="96" spans="1:11" x14ac:dyDescent="0.25">
      <c r="A96" t="s">
        <v>135</v>
      </c>
      <c r="B96" t="s">
        <v>8</v>
      </c>
      <c r="C96">
        <v>33</v>
      </c>
      <c r="D96" t="s">
        <v>42</v>
      </c>
      <c r="E96" s="7">
        <v>44313</v>
      </c>
      <c r="F96" t="s">
        <v>12</v>
      </c>
      <c r="G96">
        <v>75480</v>
      </c>
      <c r="H96" t="s">
        <v>205</v>
      </c>
      <c r="I96" s="8">
        <f ca="1">(TODAY() -staff[[#This Row],[Date Joined]])/365</f>
        <v>2.8246575342465752</v>
      </c>
      <c r="J96" s="14">
        <f ca="1">ROUNDUP(IF(staff[[#This Row],[Tenure]]&gt;2,3%,2%)*staff[[#This Row],[Salary]],0)</f>
        <v>2265</v>
      </c>
      <c r="K96" cm="1">
        <f t="array" ref="K96">_xlfn.XLOOKUP(staff[[#This Row],[Rating]],Table5[[#All],[Column1]],Table5[[#All],[Column2]])</f>
        <v>1</v>
      </c>
    </row>
    <row r="97" spans="1:11" x14ac:dyDescent="0.25">
      <c r="A97" t="s">
        <v>41</v>
      </c>
      <c r="B97" t="s">
        <v>8</v>
      </c>
      <c r="C97">
        <v>33</v>
      </c>
      <c r="D97" t="s">
        <v>42</v>
      </c>
      <c r="E97" s="7">
        <v>44374</v>
      </c>
      <c r="F97" t="s">
        <v>12</v>
      </c>
      <c r="G97">
        <v>75480</v>
      </c>
      <c r="H97" t="s">
        <v>207</v>
      </c>
      <c r="I97" s="8">
        <f ca="1">(TODAY() -staff[[#This Row],[Date Joined]])/365</f>
        <v>2.6575342465753424</v>
      </c>
      <c r="J97" s="14">
        <f ca="1">ROUNDUP(IF(staff[[#This Row],[Tenure]]&gt;2,3%,2%)*staff[[#This Row],[Salary]],0)</f>
        <v>2265</v>
      </c>
      <c r="K97" cm="1">
        <f t="array" ref="K97">_xlfn.XLOOKUP(staff[[#This Row],[Rating]],Table5[[#All],[Column1]],Table5[[#All],[Column2]])</f>
        <v>1</v>
      </c>
    </row>
    <row r="98" spans="1:11" x14ac:dyDescent="0.25">
      <c r="A98" t="s">
        <v>170</v>
      </c>
      <c r="B98" t="s">
        <v>15</v>
      </c>
      <c r="C98">
        <v>21</v>
      </c>
      <c r="D98" t="s">
        <v>16</v>
      </c>
      <c r="E98" s="7">
        <v>44180</v>
      </c>
      <c r="F98" t="s">
        <v>56</v>
      </c>
      <c r="G98">
        <v>75880</v>
      </c>
      <c r="H98" t="s">
        <v>205</v>
      </c>
      <c r="I98" s="8">
        <f ca="1">(TODAY() -staff[[#This Row],[Date Joined]])/365</f>
        <v>3.1890410958904107</v>
      </c>
      <c r="J98" s="14">
        <f ca="1">ROUNDUP(IF(staff[[#This Row],[Tenure]]&gt;2,3%,2%)*staff[[#This Row],[Salary]],0)</f>
        <v>2277</v>
      </c>
      <c r="K98" cm="1">
        <f t="array" ref="K98">_xlfn.XLOOKUP(staff[[#This Row],[Rating]],Table5[[#All],[Column1]],Table5[[#All],[Column2]])</f>
        <v>3</v>
      </c>
    </row>
    <row r="99" spans="1:11" x14ac:dyDescent="0.25">
      <c r="A99" t="s">
        <v>78</v>
      </c>
      <c r="B99" t="s">
        <v>15</v>
      </c>
      <c r="C99">
        <v>21</v>
      </c>
      <c r="D99" t="s">
        <v>16</v>
      </c>
      <c r="E99" s="7">
        <v>44242</v>
      </c>
      <c r="F99" t="s">
        <v>56</v>
      </c>
      <c r="G99">
        <v>75880</v>
      </c>
      <c r="H99" t="s">
        <v>207</v>
      </c>
      <c r="I99" s="8">
        <f ca="1">(TODAY() -staff[[#This Row],[Date Joined]])/365</f>
        <v>3.0191780821917806</v>
      </c>
      <c r="J99" s="14">
        <f ca="1">ROUNDUP(IF(staff[[#This Row],[Tenure]]&gt;2,3%,2%)*staff[[#This Row],[Salary]],0)</f>
        <v>2277</v>
      </c>
      <c r="K99" cm="1">
        <f t="array" ref="K99">_xlfn.XLOOKUP(staff[[#This Row],[Rating]],Table5[[#All],[Column1]],Table5[[#All],[Column2]])</f>
        <v>3</v>
      </c>
    </row>
    <row r="100" spans="1:11" x14ac:dyDescent="0.25">
      <c r="A100" t="s">
        <v>129</v>
      </c>
      <c r="B100" t="s">
        <v>8</v>
      </c>
      <c r="C100">
        <v>28</v>
      </c>
      <c r="D100" t="s">
        <v>16</v>
      </c>
      <c r="E100" s="7">
        <v>44124</v>
      </c>
      <c r="F100" t="s">
        <v>21</v>
      </c>
      <c r="G100">
        <v>75970</v>
      </c>
      <c r="H100" t="s">
        <v>205</v>
      </c>
      <c r="I100" s="8">
        <f ca="1">(TODAY() -staff[[#This Row],[Date Joined]])/365</f>
        <v>3.3424657534246576</v>
      </c>
      <c r="J100" s="14">
        <f ca="1">ROUNDUP(IF(staff[[#This Row],[Tenure]]&gt;2,3%,2%)*staff[[#This Row],[Salary]],0)</f>
        <v>2280</v>
      </c>
      <c r="K100" cm="1">
        <f t="array" ref="K100">_xlfn.XLOOKUP(staff[[#This Row],[Rating]],Table5[[#All],[Column1]],Table5[[#All],[Column2]])</f>
        <v>3</v>
      </c>
    </row>
    <row r="101" spans="1:11" x14ac:dyDescent="0.25">
      <c r="A101" t="s">
        <v>35</v>
      </c>
      <c r="B101" t="s">
        <v>8</v>
      </c>
      <c r="C101">
        <v>28</v>
      </c>
      <c r="D101" t="s">
        <v>16</v>
      </c>
      <c r="E101" s="7">
        <v>44185</v>
      </c>
      <c r="F101" t="s">
        <v>21</v>
      </c>
      <c r="G101">
        <v>75970</v>
      </c>
      <c r="H101" t="s">
        <v>207</v>
      </c>
      <c r="I101" s="8">
        <f ca="1">(TODAY() -staff[[#This Row],[Date Joined]])/365</f>
        <v>3.1753424657534248</v>
      </c>
      <c r="J101" s="14">
        <f ca="1">ROUNDUP(IF(staff[[#This Row],[Tenure]]&gt;2,3%,2%)*staff[[#This Row],[Salary]],0)</f>
        <v>2280</v>
      </c>
      <c r="K101" cm="1">
        <f t="array" ref="K101">_xlfn.XLOOKUP(staff[[#This Row],[Rating]],Table5[[#All],[Column1]],Table5[[#All],[Column2]])</f>
        <v>3</v>
      </c>
    </row>
    <row r="102" spans="1:11" x14ac:dyDescent="0.25">
      <c r="A102" t="s">
        <v>154</v>
      </c>
      <c r="B102" t="s">
        <v>8</v>
      </c>
      <c r="C102">
        <v>22</v>
      </c>
      <c r="D102" t="s">
        <v>13</v>
      </c>
      <c r="E102" s="7">
        <v>44388</v>
      </c>
      <c r="F102" t="s">
        <v>9</v>
      </c>
      <c r="G102">
        <v>76900</v>
      </c>
      <c r="H102" t="s">
        <v>205</v>
      </c>
      <c r="I102" s="8">
        <f ca="1">(TODAY() -staff[[#This Row],[Date Joined]])/365</f>
        <v>2.6191780821917807</v>
      </c>
      <c r="J102" s="14">
        <f ca="1">ROUNDUP(IF(staff[[#This Row],[Tenure]]&gt;2,3%,2%)*staff[[#This Row],[Salary]],0)</f>
        <v>2307</v>
      </c>
      <c r="K102" cm="1">
        <f t="array" ref="K102">_xlfn.XLOOKUP(staff[[#This Row],[Rating]],Table5[[#All],[Column1]],Table5[[#All],[Column2]])</f>
        <v>4</v>
      </c>
    </row>
    <row r="103" spans="1:11" x14ac:dyDescent="0.25">
      <c r="A103" t="s">
        <v>62</v>
      </c>
      <c r="B103" t="s">
        <v>8</v>
      </c>
      <c r="C103">
        <v>22</v>
      </c>
      <c r="D103" t="s">
        <v>13</v>
      </c>
      <c r="E103" s="7">
        <v>44450</v>
      </c>
      <c r="F103" t="s">
        <v>9</v>
      </c>
      <c r="G103">
        <v>76900</v>
      </c>
      <c r="H103" t="s">
        <v>207</v>
      </c>
      <c r="I103" s="8">
        <f ca="1">(TODAY() -staff[[#This Row],[Date Joined]])/365</f>
        <v>2.4493150684931506</v>
      </c>
      <c r="J103" s="14">
        <f ca="1">ROUNDUP(IF(staff[[#This Row],[Tenure]]&gt;2,3%,2%)*staff[[#This Row],[Salary]],0)</f>
        <v>2307</v>
      </c>
      <c r="K103" cm="1">
        <f t="array" ref="K103">_xlfn.XLOOKUP(staff[[#This Row],[Rating]],Table5[[#All],[Column1]],Table5[[#All],[Column2]])</f>
        <v>4</v>
      </c>
    </row>
    <row r="104" spans="1:11" x14ac:dyDescent="0.25">
      <c r="A104" t="s">
        <v>164</v>
      </c>
      <c r="B104" t="s">
        <v>8</v>
      </c>
      <c r="C104">
        <v>36</v>
      </c>
      <c r="D104" t="s">
        <v>16</v>
      </c>
      <c r="E104" s="7">
        <v>44468</v>
      </c>
      <c r="F104" t="s">
        <v>9</v>
      </c>
      <c r="G104">
        <v>78390</v>
      </c>
      <c r="H104" t="s">
        <v>205</v>
      </c>
      <c r="I104" s="8">
        <f ca="1">(TODAY() -staff[[#This Row],[Date Joined]])/365</f>
        <v>2.4</v>
      </c>
      <c r="J104" s="14">
        <f ca="1">ROUNDUP(IF(staff[[#This Row],[Tenure]]&gt;2,3%,2%)*staff[[#This Row],[Salary]],0)</f>
        <v>2352</v>
      </c>
      <c r="K104" cm="1">
        <f t="array" ref="K104">_xlfn.XLOOKUP(staff[[#This Row],[Rating]],Table5[[#All],[Column1]],Table5[[#All],[Column2]])</f>
        <v>3</v>
      </c>
    </row>
    <row r="105" spans="1:11" x14ac:dyDescent="0.25">
      <c r="A105" t="s">
        <v>72</v>
      </c>
      <c r="B105" t="s">
        <v>8</v>
      </c>
      <c r="C105">
        <v>36</v>
      </c>
      <c r="D105" t="s">
        <v>16</v>
      </c>
      <c r="E105" s="7">
        <v>44529</v>
      </c>
      <c r="F105" t="s">
        <v>9</v>
      </c>
      <c r="G105">
        <v>78390</v>
      </c>
      <c r="H105" t="s">
        <v>207</v>
      </c>
      <c r="I105" s="8">
        <f ca="1">(TODAY() -staff[[#This Row],[Date Joined]])/365</f>
        <v>2.2328767123287672</v>
      </c>
      <c r="J105" s="14">
        <f ca="1">ROUNDUP(IF(staff[[#This Row],[Tenure]]&gt;2,3%,2%)*staff[[#This Row],[Salary]],0)</f>
        <v>2352</v>
      </c>
      <c r="K105" cm="1">
        <f t="array" ref="K105">_xlfn.XLOOKUP(staff[[#This Row],[Rating]],Table5[[#All],[Column1]],Table5[[#All],[Column2]])</f>
        <v>3</v>
      </c>
    </row>
    <row r="106" spans="1:11" x14ac:dyDescent="0.25">
      <c r="A106" t="s">
        <v>141</v>
      </c>
      <c r="B106" t="s">
        <v>8</v>
      </c>
      <c r="C106">
        <v>36</v>
      </c>
      <c r="D106" t="s">
        <v>16</v>
      </c>
      <c r="E106" s="7">
        <v>44433</v>
      </c>
      <c r="F106" t="s">
        <v>19</v>
      </c>
      <c r="G106">
        <v>78540</v>
      </c>
      <c r="H106" t="s">
        <v>205</v>
      </c>
      <c r="I106" s="8">
        <f ca="1">(TODAY() -staff[[#This Row],[Date Joined]])/365</f>
        <v>2.495890410958904</v>
      </c>
      <c r="J106" s="14">
        <f ca="1">ROUNDUP(IF(staff[[#This Row],[Tenure]]&gt;2,3%,2%)*staff[[#This Row],[Salary]],0)</f>
        <v>2357</v>
      </c>
      <c r="K106" cm="1">
        <f t="array" ref="K106">_xlfn.XLOOKUP(staff[[#This Row],[Rating]],Table5[[#All],[Column1]],Table5[[#All],[Column2]])</f>
        <v>3</v>
      </c>
    </row>
    <row r="107" spans="1:11" x14ac:dyDescent="0.25">
      <c r="A107" t="s">
        <v>48</v>
      </c>
      <c r="B107" t="s">
        <v>8</v>
      </c>
      <c r="C107">
        <v>36</v>
      </c>
      <c r="D107" t="s">
        <v>16</v>
      </c>
      <c r="E107" s="7">
        <v>44494</v>
      </c>
      <c r="F107" t="s">
        <v>19</v>
      </c>
      <c r="G107">
        <v>78540</v>
      </c>
      <c r="H107" t="s">
        <v>207</v>
      </c>
      <c r="I107" s="8">
        <f ca="1">(TODAY() -staff[[#This Row],[Date Joined]])/365</f>
        <v>2.3287671232876712</v>
      </c>
      <c r="J107" s="14">
        <f ca="1">ROUNDUP(IF(staff[[#This Row],[Tenure]]&gt;2,3%,2%)*staff[[#This Row],[Salary]],0)</f>
        <v>2357</v>
      </c>
      <c r="K107" cm="1">
        <f t="array" ref="K107">_xlfn.XLOOKUP(staff[[#This Row],[Rating]],Table5[[#All],[Column1]],Table5[[#All],[Column2]])</f>
        <v>3</v>
      </c>
    </row>
    <row r="108" spans="1:11" x14ac:dyDescent="0.25">
      <c r="A108" t="s">
        <v>197</v>
      </c>
      <c r="B108" t="s">
        <v>15</v>
      </c>
      <c r="C108">
        <v>20</v>
      </c>
      <c r="D108" t="s">
        <v>16</v>
      </c>
      <c r="E108" s="7">
        <v>44683</v>
      </c>
      <c r="F108" t="s">
        <v>9</v>
      </c>
      <c r="G108">
        <v>79570</v>
      </c>
      <c r="H108" t="s">
        <v>205</v>
      </c>
      <c r="I108" s="8">
        <f ca="1">(TODAY() -staff[[#This Row],[Date Joined]])/365</f>
        <v>1.810958904109589</v>
      </c>
      <c r="J108" s="14">
        <f ca="1">ROUNDUP(IF(staff[[#This Row],[Tenure]]&gt;2,3%,2%)*staff[[#This Row],[Salary]],0)</f>
        <v>1592</v>
      </c>
      <c r="K108" cm="1">
        <f t="array" ref="K108">_xlfn.XLOOKUP(staff[[#This Row],[Rating]],Table5[[#All],[Column1]],Table5[[#All],[Column2]])</f>
        <v>3</v>
      </c>
    </row>
    <row r="109" spans="1:11" x14ac:dyDescent="0.25">
      <c r="A109" t="s">
        <v>104</v>
      </c>
      <c r="B109" t="s">
        <v>15</v>
      </c>
      <c r="C109">
        <v>20</v>
      </c>
      <c r="D109" t="s">
        <v>16</v>
      </c>
      <c r="E109" s="7">
        <v>44744</v>
      </c>
      <c r="F109" t="s">
        <v>9</v>
      </c>
      <c r="G109">
        <v>79570</v>
      </c>
      <c r="H109" t="s">
        <v>207</v>
      </c>
      <c r="I109" s="8">
        <f ca="1">(TODAY() -staff[[#This Row],[Date Joined]])/365</f>
        <v>1.6438356164383561</v>
      </c>
      <c r="J109" s="14">
        <f ca="1">ROUNDUP(IF(staff[[#This Row],[Tenure]]&gt;2,3%,2%)*staff[[#This Row],[Salary]],0)</f>
        <v>1592</v>
      </c>
      <c r="K109" cm="1">
        <f t="array" ref="K109">_xlfn.XLOOKUP(staff[[#This Row],[Rating]],Table5[[#All],[Column1]],Table5[[#All],[Column2]])</f>
        <v>3</v>
      </c>
    </row>
    <row r="110" spans="1:11" x14ac:dyDescent="0.25">
      <c r="A110" t="s">
        <v>133</v>
      </c>
      <c r="B110" t="s">
        <v>8</v>
      </c>
      <c r="C110">
        <v>25</v>
      </c>
      <c r="D110" t="s">
        <v>13</v>
      </c>
      <c r="E110" s="7">
        <v>44633</v>
      </c>
      <c r="F110" t="s">
        <v>12</v>
      </c>
      <c r="G110">
        <v>80700</v>
      </c>
      <c r="H110" t="s">
        <v>205</v>
      </c>
      <c r="I110" s="8">
        <f ca="1">(TODAY() -staff[[#This Row],[Date Joined]])/365</f>
        <v>1.9479452054794522</v>
      </c>
      <c r="J110" s="14">
        <f ca="1">ROUNDUP(IF(staff[[#This Row],[Tenure]]&gt;2,3%,2%)*staff[[#This Row],[Salary]],0)</f>
        <v>1614</v>
      </c>
      <c r="K110" cm="1">
        <f t="array" ref="K110">_xlfn.XLOOKUP(staff[[#This Row],[Rating]],Table5[[#All],[Column1]],Table5[[#All],[Column2]])</f>
        <v>4</v>
      </c>
    </row>
    <row r="111" spans="1:11" x14ac:dyDescent="0.25">
      <c r="A111" t="s">
        <v>39</v>
      </c>
      <c r="B111" t="s">
        <v>8</v>
      </c>
      <c r="C111">
        <v>25</v>
      </c>
      <c r="D111" t="s">
        <v>13</v>
      </c>
      <c r="E111" s="7">
        <v>44694</v>
      </c>
      <c r="F111" t="s">
        <v>12</v>
      </c>
      <c r="G111">
        <v>80700</v>
      </c>
      <c r="H111" t="s">
        <v>207</v>
      </c>
      <c r="I111" s="8">
        <f ca="1">(TODAY() -staff[[#This Row],[Date Joined]])/365</f>
        <v>1.7808219178082192</v>
      </c>
      <c r="J111" s="14">
        <f ca="1">ROUNDUP(IF(staff[[#This Row],[Tenure]]&gt;2,3%,2%)*staff[[#This Row],[Salary]],0)</f>
        <v>1614</v>
      </c>
      <c r="K111" cm="1">
        <f t="array" ref="K111">_xlfn.XLOOKUP(staff[[#This Row],[Rating]],Table5[[#All],[Column1]],Table5[[#All],[Column2]])</f>
        <v>4</v>
      </c>
    </row>
    <row r="112" spans="1:11" x14ac:dyDescent="0.25">
      <c r="A112" t="s">
        <v>185</v>
      </c>
      <c r="B112" t="s">
        <v>8</v>
      </c>
      <c r="C112">
        <v>27</v>
      </c>
      <c r="D112" t="s">
        <v>16</v>
      </c>
      <c r="E112" s="7">
        <v>44625</v>
      </c>
      <c r="F112" t="s">
        <v>12</v>
      </c>
      <c r="G112">
        <v>83750</v>
      </c>
      <c r="H112" t="s">
        <v>205</v>
      </c>
      <c r="I112" s="8">
        <f ca="1">(TODAY() -staff[[#This Row],[Date Joined]])/365</f>
        <v>1.9698630136986301</v>
      </c>
      <c r="J112" s="14">
        <f ca="1">ROUNDUP(IF(staff[[#This Row],[Tenure]]&gt;2,3%,2%)*staff[[#This Row],[Salary]],0)</f>
        <v>1675</v>
      </c>
      <c r="K112" cm="1">
        <f t="array" ref="K112">_xlfn.XLOOKUP(staff[[#This Row],[Rating]],Table5[[#All],[Column1]],Table5[[#All],[Column2]])</f>
        <v>3</v>
      </c>
    </row>
    <row r="113" spans="1:11" x14ac:dyDescent="0.25">
      <c r="A113" t="s">
        <v>92</v>
      </c>
      <c r="B113" t="s">
        <v>8</v>
      </c>
      <c r="C113">
        <v>27</v>
      </c>
      <c r="D113" t="s">
        <v>16</v>
      </c>
      <c r="E113" s="7">
        <v>44686</v>
      </c>
      <c r="F113" t="s">
        <v>12</v>
      </c>
      <c r="G113">
        <v>83750</v>
      </c>
      <c r="H113" t="s">
        <v>207</v>
      </c>
      <c r="I113" s="8">
        <f ca="1">(TODAY() -staff[[#This Row],[Date Joined]])/365</f>
        <v>1.8027397260273972</v>
      </c>
      <c r="J113" s="14">
        <f ca="1">ROUNDUP(IF(staff[[#This Row],[Tenure]]&gt;2,3%,2%)*staff[[#This Row],[Salary]],0)</f>
        <v>1675</v>
      </c>
      <c r="K113" cm="1">
        <f t="array" ref="K113">_xlfn.XLOOKUP(staff[[#This Row],[Rating]],Table5[[#All],[Column1]],Table5[[#All],[Column2]])</f>
        <v>3</v>
      </c>
    </row>
    <row r="114" spans="1:11" x14ac:dyDescent="0.25">
      <c r="A114" t="s">
        <v>122</v>
      </c>
      <c r="B114" t="s">
        <v>8</v>
      </c>
      <c r="C114">
        <v>34</v>
      </c>
      <c r="D114" t="s">
        <v>16</v>
      </c>
      <c r="E114" s="7">
        <v>44397</v>
      </c>
      <c r="F114" t="s">
        <v>21</v>
      </c>
      <c r="G114">
        <v>85000</v>
      </c>
      <c r="H114" t="s">
        <v>205</v>
      </c>
      <c r="I114" s="8">
        <f ca="1">(TODAY() -staff[[#This Row],[Date Joined]])/365</f>
        <v>2.5945205479452054</v>
      </c>
      <c r="J114" s="14">
        <f ca="1">ROUNDUP(IF(staff[[#This Row],[Tenure]]&gt;2,3%,2%)*staff[[#This Row],[Salary]],0)</f>
        <v>2550</v>
      </c>
      <c r="K114" cm="1">
        <f t="array" ref="K114">_xlfn.XLOOKUP(staff[[#This Row],[Rating]],Table5[[#All],[Column1]],Table5[[#All],[Column2]])</f>
        <v>3</v>
      </c>
    </row>
    <row r="115" spans="1:11" x14ac:dyDescent="0.25">
      <c r="A115" t="s">
        <v>28</v>
      </c>
      <c r="B115" t="s">
        <v>8</v>
      </c>
      <c r="C115">
        <v>34</v>
      </c>
      <c r="D115" t="s">
        <v>16</v>
      </c>
      <c r="E115" s="7">
        <v>44459</v>
      </c>
      <c r="F115" t="s">
        <v>21</v>
      </c>
      <c r="G115">
        <v>85000</v>
      </c>
      <c r="H115" t="s">
        <v>207</v>
      </c>
      <c r="I115" s="8">
        <f ca="1">(TODAY() -staff[[#This Row],[Date Joined]])/365</f>
        <v>2.4246575342465753</v>
      </c>
      <c r="J115" s="14">
        <f ca="1">ROUNDUP(IF(staff[[#This Row],[Tenure]]&gt;2,3%,2%)*staff[[#This Row],[Salary]],0)</f>
        <v>2550</v>
      </c>
      <c r="K115" cm="1">
        <f t="array" ref="K115">_xlfn.XLOOKUP(staff[[#This Row],[Rating]],Table5[[#All],[Column1]],Table5[[#All],[Column2]])</f>
        <v>3</v>
      </c>
    </row>
    <row r="116" spans="1:11" x14ac:dyDescent="0.25">
      <c r="A116" t="s">
        <v>181</v>
      </c>
      <c r="B116" t="s">
        <v>8</v>
      </c>
      <c r="C116">
        <v>33</v>
      </c>
      <c r="D116" t="s">
        <v>16</v>
      </c>
      <c r="E116" s="7">
        <v>44747</v>
      </c>
      <c r="F116" t="s">
        <v>21</v>
      </c>
      <c r="G116">
        <v>86570</v>
      </c>
      <c r="H116" t="s">
        <v>205</v>
      </c>
      <c r="I116" s="8">
        <f ca="1">(TODAY() -staff[[#This Row],[Date Joined]])/365</f>
        <v>1.6356164383561644</v>
      </c>
      <c r="J116" s="14">
        <f ca="1">ROUNDUP(IF(staff[[#This Row],[Tenure]]&gt;2,3%,2%)*staff[[#This Row],[Salary]],0)</f>
        <v>1732</v>
      </c>
      <c r="K116" cm="1">
        <f t="array" ref="K116">_xlfn.XLOOKUP(staff[[#This Row],[Rating]],Table5[[#All],[Column1]],Table5[[#All],[Column2]])</f>
        <v>3</v>
      </c>
    </row>
    <row r="117" spans="1:11" x14ac:dyDescent="0.25">
      <c r="A117" t="s">
        <v>88</v>
      </c>
      <c r="B117" t="s">
        <v>8</v>
      </c>
      <c r="C117">
        <v>33</v>
      </c>
      <c r="D117" t="s">
        <v>16</v>
      </c>
      <c r="E117" s="7">
        <v>44809</v>
      </c>
      <c r="F117" t="s">
        <v>21</v>
      </c>
      <c r="G117">
        <v>86570</v>
      </c>
      <c r="H117" t="s">
        <v>207</v>
      </c>
      <c r="I117" s="8">
        <f ca="1">(TODAY() -staff[[#This Row],[Date Joined]])/365</f>
        <v>1.4657534246575343</v>
      </c>
      <c r="J117" s="14">
        <f ca="1">ROUNDUP(IF(staff[[#This Row],[Tenure]]&gt;2,3%,2%)*staff[[#This Row],[Salary]],0)</f>
        <v>1732</v>
      </c>
      <c r="K117" cm="1">
        <f t="array" ref="K117">_xlfn.XLOOKUP(staff[[#This Row],[Rating]],Table5[[#All],[Column1]],Table5[[#All],[Column2]])</f>
        <v>3</v>
      </c>
    </row>
    <row r="118" spans="1:11" x14ac:dyDescent="0.25">
      <c r="A118" t="s">
        <v>166</v>
      </c>
      <c r="B118" t="s">
        <v>8</v>
      </c>
      <c r="C118">
        <v>40</v>
      </c>
      <c r="D118" t="s">
        <v>16</v>
      </c>
      <c r="E118" s="7">
        <v>44276</v>
      </c>
      <c r="F118" t="s">
        <v>12</v>
      </c>
      <c r="G118">
        <v>87620</v>
      </c>
      <c r="H118" t="s">
        <v>205</v>
      </c>
      <c r="I118" s="8">
        <f ca="1">(TODAY() -staff[[#This Row],[Date Joined]])/365</f>
        <v>2.9260273972602739</v>
      </c>
      <c r="J118" s="14">
        <f ca="1">ROUNDUP(IF(staff[[#This Row],[Tenure]]&gt;2,3%,2%)*staff[[#This Row],[Salary]],0)</f>
        <v>2629</v>
      </c>
      <c r="K118" cm="1">
        <f t="array" ref="K118">_xlfn.XLOOKUP(staff[[#This Row],[Rating]],Table5[[#All],[Column1]],Table5[[#All],[Column2]])</f>
        <v>3</v>
      </c>
    </row>
    <row r="119" spans="1:11" x14ac:dyDescent="0.25">
      <c r="A119" t="s">
        <v>74</v>
      </c>
      <c r="B119" t="s">
        <v>8</v>
      </c>
      <c r="C119">
        <v>40</v>
      </c>
      <c r="D119" t="s">
        <v>16</v>
      </c>
      <c r="E119" s="7">
        <v>44337</v>
      </c>
      <c r="F119" t="s">
        <v>12</v>
      </c>
      <c r="G119">
        <v>87620</v>
      </c>
      <c r="H119" t="s">
        <v>207</v>
      </c>
      <c r="I119" s="8">
        <f ca="1">(TODAY() -staff[[#This Row],[Date Joined]])/365</f>
        <v>2.7589041095890412</v>
      </c>
      <c r="J119" s="14">
        <f ca="1">ROUNDUP(IF(staff[[#This Row],[Tenure]]&gt;2,3%,2%)*staff[[#This Row],[Salary]],0)</f>
        <v>2629</v>
      </c>
      <c r="K119" cm="1">
        <f t="array" ref="K119">_xlfn.XLOOKUP(staff[[#This Row],[Rating]],Table5[[#All],[Column1]],Table5[[#All],[Column2]])</f>
        <v>3</v>
      </c>
    </row>
    <row r="120" spans="1:11" x14ac:dyDescent="0.25">
      <c r="A120" t="s">
        <v>118</v>
      </c>
      <c r="B120" t="s">
        <v>15</v>
      </c>
      <c r="C120">
        <v>37</v>
      </c>
      <c r="D120" t="s">
        <v>24</v>
      </c>
      <c r="E120" s="7">
        <v>44277</v>
      </c>
      <c r="F120" t="s">
        <v>12</v>
      </c>
      <c r="G120">
        <v>88050</v>
      </c>
      <c r="H120" t="s">
        <v>205</v>
      </c>
      <c r="I120" s="8">
        <f ca="1">(TODAY() -staff[[#This Row],[Date Joined]])/365</f>
        <v>2.9232876712328766</v>
      </c>
      <c r="J120" s="14">
        <f ca="1">ROUNDUP(IF(staff[[#This Row],[Tenure]]&gt;2,3%,2%)*staff[[#This Row],[Salary]],0)</f>
        <v>2642</v>
      </c>
      <c r="K120" cm="1">
        <f t="array" ref="K120">_xlfn.XLOOKUP(staff[[#This Row],[Rating]],Table5[[#All],[Column1]],Table5[[#All],[Column2]])</f>
        <v>2</v>
      </c>
    </row>
    <row r="121" spans="1:11" x14ac:dyDescent="0.25">
      <c r="A121" t="s">
        <v>23</v>
      </c>
      <c r="B121" t="s">
        <v>15</v>
      </c>
      <c r="C121">
        <v>37</v>
      </c>
      <c r="D121" t="s">
        <v>24</v>
      </c>
      <c r="E121" s="7">
        <v>44338</v>
      </c>
      <c r="F121" t="s">
        <v>12</v>
      </c>
      <c r="G121">
        <v>88050</v>
      </c>
      <c r="H121" t="s">
        <v>207</v>
      </c>
      <c r="I121" s="8">
        <f ca="1">(TODAY() -staff[[#This Row],[Date Joined]])/365</f>
        <v>2.7561643835616438</v>
      </c>
      <c r="J121" s="14">
        <f ca="1">ROUNDUP(IF(staff[[#This Row],[Tenure]]&gt;2,3%,2%)*staff[[#This Row],[Salary]],0)</f>
        <v>2642</v>
      </c>
      <c r="K121" cm="1">
        <f t="array" ref="K121">_xlfn.XLOOKUP(staff[[#This Row],[Rating]],Table5[[#All],[Column1]],Table5[[#All],[Column2]])</f>
        <v>2</v>
      </c>
    </row>
    <row r="122" spans="1:11" x14ac:dyDescent="0.25">
      <c r="A122" t="s">
        <v>112</v>
      </c>
      <c r="B122" t="s">
        <v>206</v>
      </c>
      <c r="C122">
        <v>27</v>
      </c>
      <c r="D122" t="s">
        <v>13</v>
      </c>
      <c r="E122" s="7">
        <v>44212</v>
      </c>
      <c r="F122" t="s">
        <v>12</v>
      </c>
      <c r="G122">
        <v>90700</v>
      </c>
      <c r="H122" t="s">
        <v>205</v>
      </c>
      <c r="I122" s="8">
        <f ca="1">(TODAY() -staff[[#This Row],[Date Joined]])/365</f>
        <v>3.1013698630136988</v>
      </c>
      <c r="J122" s="14">
        <f ca="1">ROUNDUP(IF(staff[[#This Row],[Tenure]]&gt;2,3%,2%)*staff[[#This Row],[Salary]],0)</f>
        <v>2721</v>
      </c>
      <c r="K122" cm="1">
        <f t="array" ref="K122">_xlfn.XLOOKUP(staff[[#This Row],[Rating]],Table5[[#All],[Column1]],Table5[[#All],[Column2]])</f>
        <v>4</v>
      </c>
    </row>
    <row r="123" spans="1:11" x14ac:dyDescent="0.25">
      <c r="A123" t="s">
        <v>11</v>
      </c>
      <c r="B123" t="s">
        <v>206</v>
      </c>
      <c r="C123">
        <v>26</v>
      </c>
      <c r="D123" t="s">
        <v>13</v>
      </c>
      <c r="E123" s="7">
        <v>44271</v>
      </c>
      <c r="F123" t="s">
        <v>12</v>
      </c>
      <c r="G123">
        <v>90700</v>
      </c>
      <c r="H123" t="s">
        <v>207</v>
      </c>
      <c r="I123" s="8">
        <f ca="1">(TODAY() -staff[[#This Row],[Date Joined]])/365</f>
        <v>2.9397260273972603</v>
      </c>
      <c r="J123" s="14">
        <f ca="1">ROUNDUP(IF(staff[[#This Row],[Tenure]]&gt;2,3%,2%)*staff[[#This Row],[Salary]],0)</f>
        <v>2721</v>
      </c>
      <c r="K123" cm="1">
        <f t="array" ref="K123">_xlfn.XLOOKUP(staff[[#This Row],[Rating]],Table5[[#All],[Column1]],Table5[[#All],[Column2]])</f>
        <v>4</v>
      </c>
    </row>
    <row r="124" spans="1:11" x14ac:dyDescent="0.25">
      <c r="A124" t="s">
        <v>145</v>
      </c>
      <c r="B124" t="s">
        <v>206</v>
      </c>
      <c r="C124">
        <v>32</v>
      </c>
      <c r="D124" t="s">
        <v>16</v>
      </c>
      <c r="E124" s="7">
        <v>44713</v>
      </c>
      <c r="F124" t="s">
        <v>12</v>
      </c>
      <c r="G124">
        <v>91310</v>
      </c>
      <c r="H124" t="s">
        <v>205</v>
      </c>
      <c r="I124" s="8">
        <f ca="1">(TODAY() -staff[[#This Row],[Date Joined]])/365</f>
        <v>1.7287671232876711</v>
      </c>
      <c r="J124" s="14">
        <f ca="1">ROUNDUP(IF(staff[[#This Row],[Tenure]]&gt;2,3%,2%)*staff[[#This Row],[Salary]],0)</f>
        <v>1827</v>
      </c>
      <c r="K124" cm="1">
        <f t="array" ref="K124">_xlfn.XLOOKUP(staff[[#This Row],[Rating]],Table5[[#All],[Column1]],Table5[[#All],[Column2]])</f>
        <v>3</v>
      </c>
    </row>
    <row r="125" spans="1:11" x14ac:dyDescent="0.25">
      <c r="A125" t="s">
        <v>52</v>
      </c>
      <c r="B125" t="s">
        <v>206</v>
      </c>
      <c r="C125">
        <v>32</v>
      </c>
      <c r="D125" t="s">
        <v>16</v>
      </c>
      <c r="E125" s="7">
        <v>44774</v>
      </c>
      <c r="F125" t="s">
        <v>12</v>
      </c>
      <c r="G125">
        <v>91310</v>
      </c>
      <c r="H125" t="s">
        <v>207</v>
      </c>
      <c r="I125" s="8">
        <f ca="1">(TODAY() -staff[[#This Row],[Date Joined]])/365</f>
        <v>1.5616438356164384</v>
      </c>
      <c r="J125" s="14">
        <f ca="1">ROUNDUP(IF(staff[[#This Row],[Tenure]]&gt;2,3%,2%)*staff[[#This Row],[Salary]],0)</f>
        <v>1827</v>
      </c>
      <c r="K125" cm="1">
        <f t="array" ref="K125">_xlfn.XLOOKUP(staff[[#This Row],[Rating]],Table5[[#All],[Column1]],Table5[[#All],[Column2]])</f>
        <v>3</v>
      </c>
    </row>
    <row r="126" spans="1:11" x14ac:dyDescent="0.25">
      <c r="A126" t="s">
        <v>160</v>
      </c>
      <c r="B126" t="s">
        <v>15</v>
      </c>
      <c r="C126">
        <v>27</v>
      </c>
      <c r="D126" t="s">
        <v>13</v>
      </c>
      <c r="E126" s="7">
        <v>44174</v>
      </c>
      <c r="F126" t="s">
        <v>21</v>
      </c>
      <c r="G126">
        <v>91650</v>
      </c>
      <c r="H126" t="s">
        <v>205</v>
      </c>
      <c r="I126" s="8">
        <f ca="1">(TODAY() -staff[[#This Row],[Date Joined]])/365</f>
        <v>3.2054794520547945</v>
      </c>
      <c r="J126" s="14">
        <f ca="1">ROUNDUP(IF(staff[[#This Row],[Tenure]]&gt;2,3%,2%)*staff[[#This Row],[Salary]],0)</f>
        <v>2750</v>
      </c>
      <c r="K126" cm="1">
        <f t="array" ref="K126">_xlfn.XLOOKUP(staff[[#This Row],[Rating]],Table5[[#All],[Column1]],Table5[[#All],[Column2]])</f>
        <v>4</v>
      </c>
    </row>
    <row r="127" spans="1:11" x14ac:dyDescent="0.25">
      <c r="A127" t="s">
        <v>68</v>
      </c>
      <c r="B127" t="s">
        <v>15</v>
      </c>
      <c r="C127">
        <v>27</v>
      </c>
      <c r="D127" t="s">
        <v>13</v>
      </c>
      <c r="E127" s="7">
        <v>44236</v>
      </c>
      <c r="F127" t="s">
        <v>21</v>
      </c>
      <c r="G127">
        <v>91650</v>
      </c>
      <c r="H127" t="s">
        <v>207</v>
      </c>
      <c r="I127" s="8">
        <f ca="1">(TODAY() -staff[[#This Row],[Date Joined]])/365</f>
        <v>3.0356164383561643</v>
      </c>
      <c r="J127" s="14">
        <f ca="1">ROUNDUP(IF(staff[[#This Row],[Tenure]]&gt;2,3%,2%)*staff[[#This Row],[Salary]],0)</f>
        <v>2750</v>
      </c>
      <c r="K127" cm="1">
        <f t="array" ref="K127">_xlfn.XLOOKUP(staff[[#This Row],[Rating]],Table5[[#All],[Column1]],Table5[[#All],[Column2]])</f>
        <v>4</v>
      </c>
    </row>
    <row r="128" spans="1:11" x14ac:dyDescent="0.25">
      <c r="A128" t="s">
        <v>195</v>
      </c>
      <c r="B128" t="s">
        <v>8</v>
      </c>
      <c r="C128">
        <v>34</v>
      </c>
      <c r="D128" t="s">
        <v>16</v>
      </c>
      <c r="E128" s="7">
        <v>44383</v>
      </c>
      <c r="F128" t="s">
        <v>21</v>
      </c>
      <c r="G128">
        <v>92450</v>
      </c>
      <c r="H128" t="s">
        <v>205</v>
      </c>
      <c r="I128" s="8">
        <f ca="1">(TODAY() -staff[[#This Row],[Date Joined]])/365</f>
        <v>2.6328767123287671</v>
      </c>
      <c r="J128" s="14">
        <f ca="1">ROUNDUP(IF(staff[[#This Row],[Tenure]]&gt;2,3%,2%)*staff[[#This Row],[Salary]],0)</f>
        <v>2774</v>
      </c>
      <c r="K128" cm="1">
        <f t="array" ref="K128">_xlfn.XLOOKUP(staff[[#This Row],[Rating]],Table5[[#All],[Column1]],Table5[[#All],[Column2]])</f>
        <v>3</v>
      </c>
    </row>
    <row r="129" spans="1:11" x14ac:dyDescent="0.25">
      <c r="A129" t="s">
        <v>102</v>
      </c>
      <c r="B129" t="s">
        <v>8</v>
      </c>
      <c r="C129">
        <v>34</v>
      </c>
      <c r="D129" t="s">
        <v>16</v>
      </c>
      <c r="E129" s="7">
        <v>44445</v>
      </c>
      <c r="F129" t="s">
        <v>21</v>
      </c>
      <c r="G129">
        <v>92450</v>
      </c>
      <c r="H129" t="s">
        <v>207</v>
      </c>
      <c r="I129" s="8">
        <f ca="1">(TODAY() -staff[[#This Row],[Date Joined]])/365</f>
        <v>2.463013698630137</v>
      </c>
      <c r="J129" s="14">
        <f ca="1">ROUNDUP(IF(staff[[#This Row],[Tenure]]&gt;2,3%,2%)*staff[[#This Row],[Salary]],0)</f>
        <v>2774</v>
      </c>
      <c r="K129" cm="1">
        <f t="array" ref="K129">_xlfn.XLOOKUP(staff[[#This Row],[Rating]],Table5[[#All],[Column1]],Table5[[#All],[Column2]])</f>
        <v>3</v>
      </c>
    </row>
    <row r="130" spans="1:11" x14ac:dyDescent="0.25">
      <c r="A130" t="s">
        <v>169</v>
      </c>
      <c r="B130" t="s">
        <v>8</v>
      </c>
      <c r="C130">
        <v>25</v>
      </c>
      <c r="D130" t="s">
        <v>16</v>
      </c>
      <c r="E130" s="7">
        <v>44144</v>
      </c>
      <c r="F130" t="s">
        <v>19</v>
      </c>
      <c r="G130">
        <v>92700</v>
      </c>
      <c r="H130" t="s">
        <v>205</v>
      </c>
      <c r="I130" s="8">
        <f ca="1">(TODAY() -staff[[#This Row],[Date Joined]])/365</f>
        <v>3.2876712328767121</v>
      </c>
      <c r="J130" s="14">
        <f ca="1">ROUNDUP(IF(staff[[#This Row],[Tenure]]&gt;2,3%,2%)*staff[[#This Row],[Salary]],0)</f>
        <v>2781</v>
      </c>
      <c r="K130" cm="1">
        <f t="array" ref="K130">_xlfn.XLOOKUP(staff[[#This Row],[Rating]],Table5[[#All],[Column1]],Table5[[#All],[Column2]])</f>
        <v>3</v>
      </c>
    </row>
    <row r="131" spans="1:11" x14ac:dyDescent="0.25">
      <c r="A131" t="s">
        <v>77</v>
      </c>
      <c r="B131" t="s">
        <v>8</v>
      </c>
      <c r="C131">
        <v>25</v>
      </c>
      <c r="D131" t="s">
        <v>16</v>
      </c>
      <c r="E131" s="7">
        <v>44205</v>
      </c>
      <c r="F131" t="s">
        <v>19</v>
      </c>
      <c r="G131">
        <v>92700</v>
      </c>
      <c r="H131" t="s">
        <v>207</v>
      </c>
      <c r="I131" s="8">
        <f ca="1">(TODAY() -staff[[#This Row],[Date Joined]])/365</f>
        <v>3.1205479452054794</v>
      </c>
      <c r="J131" s="14">
        <f ca="1">ROUNDUP(IF(staff[[#This Row],[Tenure]]&gt;2,3%,2%)*staff[[#This Row],[Salary]],0)</f>
        <v>2781</v>
      </c>
      <c r="K131" cm="1">
        <f t="array" ref="K131">_xlfn.XLOOKUP(staff[[#This Row],[Rating]],Table5[[#All],[Column1]],Table5[[#All],[Column2]])</f>
        <v>3</v>
      </c>
    </row>
    <row r="132" spans="1:11" x14ac:dyDescent="0.25">
      <c r="A132" t="s">
        <v>163</v>
      </c>
      <c r="B132" t="s">
        <v>8</v>
      </c>
      <c r="C132">
        <v>33</v>
      </c>
      <c r="D132" t="s">
        <v>16</v>
      </c>
      <c r="E132" s="7">
        <v>44129</v>
      </c>
      <c r="F132" t="s">
        <v>12</v>
      </c>
      <c r="G132">
        <v>96140</v>
      </c>
      <c r="H132" t="s">
        <v>205</v>
      </c>
      <c r="I132" s="8">
        <f ca="1">(TODAY() -staff[[#This Row],[Date Joined]])/365</f>
        <v>3.3287671232876712</v>
      </c>
      <c r="J132" s="14">
        <f ca="1">ROUNDUP(IF(staff[[#This Row],[Tenure]]&gt;2,3%,2%)*staff[[#This Row],[Salary]],0)</f>
        <v>2885</v>
      </c>
      <c r="K132" cm="1">
        <f t="array" ref="K132">_xlfn.XLOOKUP(staff[[#This Row],[Rating]],Table5[[#All],[Column1]],Table5[[#All],[Column2]])</f>
        <v>3</v>
      </c>
    </row>
    <row r="133" spans="1:11" x14ac:dyDescent="0.25">
      <c r="A133" t="s">
        <v>71</v>
      </c>
      <c r="B133" t="s">
        <v>8</v>
      </c>
      <c r="C133">
        <v>33</v>
      </c>
      <c r="D133" t="s">
        <v>16</v>
      </c>
      <c r="E133" s="7">
        <v>44190</v>
      </c>
      <c r="F133" t="s">
        <v>12</v>
      </c>
      <c r="G133">
        <v>96140</v>
      </c>
      <c r="H133" t="s">
        <v>207</v>
      </c>
      <c r="I133" s="8">
        <f ca="1">(TODAY() -staff[[#This Row],[Date Joined]])/365</f>
        <v>3.1616438356164385</v>
      </c>
      <c r="J133" s="14">
        <f ca="1">ROUNDUP(IF(staff[[#This Row],[Tenure]]&gt;2,3%,2%)*staff[[#This Row],[Salary]],0)</f>
        <v>2885</v>
      </c>
      <c r="K133" cm="1">
        <f t="array" ref="K133">_xlfn.XLOOKUP(staff[[#This Row],[Rating]],Table5[[#All],[Column1]],Table5[[#All],[Column2]])</f>
        <v>3</v>
      </c>
    </row>
    <row r="134" spans="1:11" x14ac:dyDescent="0.25">
      <c r="A134" t="s">
        <v>177</v>
      </c>
      <c r="B134" t="s">
        <v>15</v>
      </c>
      <c r="C134">
        <v>30</v>
      </c>
      <c r="D134" t="s">
        <v>16</v>
      </c>
      <c r="E134" s="7">
        <v>44544</v>
      </c>
      <c r="F134" t="s">
        <v>21</v>
      </c>
      <c r="G134">
        <v>96800</v>
      </c>
      <c r="H134" t="s">
        <v>205</v>
      </c>
      <c r="I134" s="8">
        <f ca="1">(TODAY() -staff[[#This Row],[Date Joined]])/365</f>
        <v>2.1917808219178081</v>
      </c>
      <c r="J134" s="14">
        <f ca="1">ROUNDUP(IF(staff[[#This Row],[Tenure]]&gt;2,3%,2%)*staff[[#This Row],[Salary]],0)</f>
        <v>2904</v>
      </c>
      <c r="K134" cm="1">
        <f t="array" ref="K134">_xlfn.XLOOKUP(staff[[#This Row],[Rating]],Table5[[#All],[Column1]],Table5[[#All],[Column2]])</f>
        <v>3</v>
      </c>
    </row>
    <row r="135" spans="1:11" x14ac:dyDescent="0.25">
      <c r="A135" t="s">
        <v>85</v>
      </c>
      <c r="B135" t="s">
        <v>15</v>
      </c>
      <c r="C135">
        <v>30</v>
      </c>
      <c r="D135" t="s">
        <v>16</v>
      </c>
      <c r="E135" s="7">
        <v>44606</v>
      </c>
      <c r="F135" t="s">
        <v>21</v>
      </c>
      <c r="G135">
        <v>96800</v>
      </c>
      <c r="H135" t="s">
        <v>207</v>
      </c>
      <c r="I135" s="8">
        <f ca="1">(TODAY() -staff[[#This Row],[Date Joined]])/365</f>
        <v>2.021917808219178</v>
      </c>
      <c r="J135" s="14">
        <f ca="1">ROUNDUP(IF(staff[[#This Row],[Tenure]]&gt;2,3%,2%)*staff[[#This Row],[Salary]],0)</f>
        <v>2904</v>
      </c>
      <c r="K135" cm="1">
        <f t="array" ref="K135">_xlfn.XLOOKUP(staff[[#This Row],[Rating]],Table5[[#All],[Column1]],Table5[[#All],[Column2]])</f>
        <v>3</v>
      </c>
    </row>
    <row r="136" spans="1:11" x14ac:dyDescent="0.25">
      <c r="A136" t="s">
        <v>198</v>
      </c>
      <c r="B136" t="s">
        <v>15</v>
      </c>
      <c r="C136">
        <v>40</v>
      </c>
      <c r="D136" t="s">
        <v>16</v>
      </c>
      <c r="E136" s="7">
        <v>44204</v>
      </c>
      <c r="F136" t="s">
        <v>9</v>
      </c>
      <c r="G136">
        <v>99750</v>
      </c>
      <c r="H136" t="s">
        <v>205</v>
      </c>
      <c r="I136" s="8">
        <f ca="1">(TODAY() -staff[[#This Row],[Date Joined]])/365</f>
        <v>3.1232876712328768</v>
      </c>
      <c r="J136" s="14">
        <f ca="1">ROUNDUP(IF(staff[[#This Row],[Tenure]]&gt;2,3%,2%)*staff[[#This Row],[Salary]],0)</f>
        <v>2993</v>
      </c>
      <c r="K136" cm="1">
        <f t="array" ref="K136">_xlfn.XLOOKUP(staff[[#This Row],[Rating]],Table5[[#All],[Column1]],Table5[[#All],[Column2]])</f>
        <v>3</v>
      </c>
    </row>
    <row r="137" spans="1:11" x14ac:dyDescent="0.25">
      <c r="A137" t="s">
        <v>105</v>
      </c>
      <c r="B137" t="s">
        <v>15</v>
      </c>
      <c r="C137">
        <v>40</v>
      </c>
      <c r="D137" t="s">
        <v>16</v>
      </c>
      <c r="E137" s="7">
        <v>44263</v>
      </c>
      <c r="F137" t="s">
        <v>9</v>
      </c>
      <c r="G137">
        <v>99750</v>
      </c>
      <c r="H137" t="s">
        <v>207</v>
      </c>
      <c r="I137" s="8">
        <f ca="1">(TODAY() -staff[[#This Row],[Date Joined]])/365</f>
        <v>2.9616438356164383</v>
      </c>
      <c r="J137" s="14">
        <f ca="1">ROUNDUP(IF(staff[[#This Row],[Tenure]]&gt;2,3%,2%)*staff[[#This Row],[Salary]],0)</f>
        <v>2993</v>
      </c>
      <c r="K137" cm="1">
        <f t="array" ref="K137">_xlfn.XLOOKUP(staff[[#This Row],[Rating]],Table5[[#All],[Column1]],Table5[[#All],[Column2]])</f>
        <v>3</v>
      </c>
    </row>
    <row r="138" spans="1:11" x14ac:dyDescent="0.25">
      <c r="A138" t="s">
        <v>200</v>
      </c>
      <c r="B138" t="s">
        <v>8</v>
      </c>
      <c r="C138">
        <v>28</v>
      </c>
      <c r="D138" t="s">
        <v>16</v>
      </c>
      <c r="E138" s="7">
        <v>44571</v>
      </c>
      <c r="F138" t="s">
        <v>9</v>
      </c>
      <c r="G138">
        <v>99970</v>
      </c>
      <c r="H138" t="s">
        <v>205</v>
      </c>
      <c r="I138" s="8">
        <f ca="1">(TODAY() -staff[[#This Row],[Date Joined]])/365</f>
        <v>2.117808219178082</v>
      </c>
      <c r="J138" s="14">
        <f ca="1">ROUNDUP(IF(staff[[#This Row],[Tenure]]&gt;2,3%,2%)*staff[[#This Row],[Salary]],0)</f>
        <v>3000</v>
      </c>
      <c r="K138" cm="1">
        <f t="array" ref="K138">_xlfn.XLOOKUP(staff[[#This Row],[Rating]],Table5[[#All],[Column1]],Table5[[#All],[Column2]])</f>
        <v>3</v>
      </c>
    </row>
    <row r="139" spans="1:11" x14ac:dyDescent="0.25">
      <c r="A139" t="s">
        <v>107</v>
      </c>
      <c r="B139" t="s">
        <v>8</v>
      </c>
      <c r="C139">
        <v>28</v>
      </c>
      <c r="D139" t="s">
        <v>16</v>
      </c>
      <c r="E139" s="7">
        <v>44630</v>
      </c>
      <c r="F139" t="s">
        <v>9</v>
      </c>
      <c r="G139">
        <v>99970</v>
      </c>
      <c r="H139" t="s">
        <v>207</v>
      </c>
      <c r="I139" s="8">
        <f ca="1">(TODAY() -staff[[#This Row],[Date Joined]])/365</f>
        <v>1.9561643835616438</v>
      </c>
      <c r="J139" s="14">
        <f ca="1">ROUNDUP(IF(staff[[#This Row],[Tenure]]&gt;2,3%,2%)*staff[[#This Row],[Salary]],0)</f>
        <v>2000</v>
      </c>
      <c r="K139" cm="1">
        <f t="array" ref="K139">_xlfn.XLOOKUP(staff[[#This Row],[Rating]],Table5[[#All],[Column1]],Table5[[#All],[Column2]])</f>
        <v>3</v>
      </c>
    </row>
    <row r="140" spans="1:11" x14ac:dyDescent="0.25">
      <c r="A140" t="s">
        <v>196</v>
      </c>
      <c r="B140" t="s">
        <v>15</v>
      </c>
      <c r="C140">
        <v>24</v>
      </c>
      <c r="D140" t="s">
        <v>16</v>
      </c>
      <c r="E140" s="7">
        <v>44625</v>
      </c>
      <c r="F140" t="s">
        <v>12</v>
      </c>
      <c r="G140">
        <v>100420</v>
      </c>
      <c r="H140" t="s">
        <v>205</v>
      </c>
      <c r="I140" s="8">
        <f ca="1">(TODAY() -staff[[#This Row],[Date Joined]])/365</f>
        <v>1.9698630136986301</v>
      </c>
      <c r="J140" s="14">
        <f ca="1">ROUNDUP(IF(staff[[#This Row],[Tenure]]&gt;2,3%,2%)*staff[[#This Row],[Salary]],0)</f>
        <v>2009</v>
      </c>
      <c r="K140" cm="1">
        <f t="array" ref="K140">_xlfn.XLOOKUP(staff[[#This Row],[Rating]],Table5[[#All],[Column1]],Table5[[#All],[Column2]])</f>
        <v>3</v>
      </c>
    </row>
    <row r="141" spans="1:11" x14ac:dyDescent="0.25">
      <c r="A141" t="s">
        <v>103</v>
      </c>
      <c r="B141" t="s">
        <v>15</v>
      </c>
      <c r="C141">
        <v>24</v>
      </c>
      <c r="D141" t="s">
        <v>16</v>
      </c>
      <c r="E141" s="7">
        <v>44686</v>
      </c>
      <c r="F141" t="s">
        <v>12</v>
      </c>
      <c r="G141">
        <v>100420</v>
      </c>
      <c r="H141" t="s">
        <v>207</v>
      </c>
      <c r="I141" s="8">
        <f ca="1">(TODAY() -staff[[#This Row],[Date Joined]])/365</f>
        <v>1.8027397260273972</v>
      </c>
      <c r="J141" s="14">
        <f ca="1">ROUNDUP(IF(staff[[#This Row],[Tenure]]&gt;2,3%,2%)*staff[[#This Row],[Salary]],0)</f>
        <v>2009</v>
      </c>
      <c r="K141" cm="1">
        <f t="array" ref="K141">_xlfn.XLOOKUP(staff[[#This Row],[Rating]],Table5[[#All],[Column1]],Table5[[#All],[Column2]])</f>
        <v>3</v>
      </c>
    </row>
    <row r="142" spans="1:11" x14ac:dyDescent="0.25">
      <c r="A142" t="s">
        <v>143</v>
      </c>
      <c r="B142" t="s">
        <v>15</v>
      </c>
      <c r="C142">
        <v>31</v>
      </c>
      <c r="D142" t="s">
        <v>16</v>
      </c>
      <c r="E142" s="7">
        <v>44663</v>
      </c>
      <c r="F142" t="s">
        <v>9</v>
      </c>
      <c r="G142">
        <v>103550</v>
      </c>
      <c r="H142" t="s">
        <v>205</v>
      </c>
      <c r="I142" s="8">
        <f ca="1">(TODAY() -staff[[#This Row],[Date Joined]])/365</f>
        <v>1.8657534246575342</v>
      </c>
      <c r="J142" s="14">
        <f ca="1">ROUNDUP(IF(staff[[#This Row],[Tenure]]&gt;2,3%,2%)*staff[[#This Row],[Salary]],0)</f>
        <v>2071</v>
      </c>
      <c r="K142" cm="1">
        <f t="array" ref="K142">_xlfn.XLOOKUP(staff[[#This Row],[Rating]],Table5[[#All],[Column1]],Table5[[#All],[Column2]])</f>
        <v>3</v>
      </c>
    </row>
    <row r="143" spans="1:11" x14ac:dyDescent="0.25">
      <c r="A143" t="s">
        <v>50</v>
      </c>
      <c r="B143" t="s">
        <v>15</v>
      </c>
      <c r="C143">
        <v>31</v>
      </c>
      <c r="D143" t="s">
        <v>16</v>
      </c>
      <c r="E143" s="7">
        <v>44724</v>
      </c>
      <c r="F143" t="s">
        <v>9</v>
      </c>
      <c r="G143">
        <v>103550</v>
      </c>
      <c r="H143" t="s">
        <v>207</v>
      </c>
      <c r="I143" s="8">
        <f ca="1">(TODAY() -staff[[#This Row],[Date Joined]])/365</f>
        <v>1.6986301369863013</v>
      </c>
      <c r="J143" s="14">
        <f ca="1">ROUNDUP(IF(staff[[#This Row],[Tenure]]&gt;2,3%,2%)*staff[[#This Row],[Salary]],0)</f>
        <v>2071</v>
      </c>
      <c r="K143" cm="1">
        <f t="array" ref="K143">_xlfn.XLOOKUP(staff[[#This Row],[Rating]],Table5[[#All],[Column1]],Table5[[#All],[Column2]])</f>
        <v>3</v>
      </c>
    </row>
    <row r="144" spans="1:11" x14ac:dyDescent="0.25">
      <c r="A144" t="s">
        <v>189</v>
      </c>
      <c r="B144" t="s">
        <v>8</v>
      </c>
      <c r="C144">
        <v>28</v>
      </c>
      <c r="D144" t="s">
        <v>16</v>
      </c>
      <c r="E144" s="7">
        <v>44590</v>
      </c>
      <c r="F144" t="s">
        <v>9</v>
      </c>
      <c r="G144">
        <v>104120</v>
      </c>
      <c r="H144" t="s">
        <v>205</v>
      </c>
      <c r="I144" s="8">
        <f ca="1">(TODAY() -staff[[#This Row],[Date Joined]])/365</f>
        <v>2.0657534246575344</v>
      </c>
      <c r="J144" s="14">
        <f ca="1">ROUNDUP(IF(staff[[#This Row],[Tenure]]&gt;2,3%,2%)*staff[[#This Row],[Salary]],0)</f>
        <v>3124</v>
      </c>
      <c r="K144" cm="1">
        <f t="array" ref="K144">_xlfn.XLOOKUP(staff[[#This Row],[Rating]],Table5[[#All],[Column1]],Table5[[#All],[Column2]])</f>
        <v>3</v>
      </c>
    </row>
    <row r="145" spans="1:11" x14ac:dyDescent="0.25">
      <c r="A145" t="s">
        <v>96</v>
      </c>
      <c r="B145" t="s">
        <v>8</v>
      </c>
      <c r="C145">
        <v>28</v>
      </c>
      <c r="D145" t="s">
        <v>16</v>
      </c>
      <c r="E145" s="7">
        <v>44649</v>
      </c>
      <c r="F145" t="s">
        <v>9</v>
      </c>
      <c r="G145">
        <v>104120</v>
      </c>
      <c r="H145" t="s">
        <v>207</v>
      </c>
      <c r="I145" s="8">
        <f ca="1">(TODAY() -staff[[#This Row],[Date Joined]])/365</f>
        <v>1.904109589041096</v>
      </c>
      <c r="J145" s="14">
        <f ca="1">ROUNDUP(IF(staff[[#This Row],[Tenure]]&gt;2,3%,2%)*staff[[#This Row],[Salary]],0)</f>
        <v>2083</v>
      </c>
      <c r="K145" cm="1">
        <f t="array" ref="K145">_xlfn.XLOOKUP(staff[[#This Row],[Rating]],Table5[[#All],[Column1]],Table5[[#All],[Column2]])</f>
        <v>3</v>
      </c>
    </row>
    <row r="146" spans="1:11" x14ac:dyDescent="0.25">
      <c r="A146" t="s">
        <v>194</v>
      </c>
      <c r="B146" t="s">
        <v>8</v>
      </c>
      <c r="C146">
        <v>40</v>
      </c>
      <c r="D146" t="s">
        <v>16</v>
      </c>
      <c r="E146" s="7">
        <v>44320</v>
      </c>
      <c r="F146" t="s">
        <v>12</v>
      </c>
      <c r="G146">
        <v>104410</v>
      </c>
      <c r="H146" t="s">
        <v>205</v>
      </c>
      <c r="I146" s="8">
        <f ca="1">(TODAY() -staff[[#This Row],[Date Joined]])/365</f>
        <v>2.8054794520547945</v>
      </c>
      <c r="J146" s="14">
        <f ca="1">ROUNDUP(IF(staff[[#This Row],[Tenure]]&gt;2,3%,2%)*staff[[#This Row],[Salary]],0)</f>
        <v>3133</v>
      </c>
      <c r="K146" cm="1">
        <f t="array" ref="K146">_xlfn.XLOOKUP(staff[[#This Row],[Rating]],Table5[[#All],[Column1]],Table5[[#All],[Column2]])</f>
        <v>3</v>
      </c>
    </row>
    <row r="147" spans="1:11" x14ac:dyDescent="0.25">
      <c r="A147" t="s">
        <v>101</v>
      </c>
      <c r="B147" t="s">
        <v>8</v>
      </c>
      <c r="C147">
        <v>40</v>
      </c>
      <c r="D147" t="s">
        <v>16</v>
      </c>
      <c r="E147" s="7">
        <v>44381</v>
      </c>
      <c r="F147" t="s">
        <v>12</v>
      </c>
      <c r="G147">
        <v>104410</v>
      </c>
      <c r="H147" t="s">
        <v>207</v>
      </c>
      <c r="I147" s="8">
        <f ca="1">(TODAY() -staff[[#This Row],[Date Joined]])/365</f>
        <v>2.6383561643835618</v>
      </c>
      <c r="J147" s="14">
        <f ca="1">ROUNDUP(IF(staff[[#This Row],[Tenure]]&gt;2,3%,2%)*staff[[#This Row],[Salary]],0)</f>
        <v>3133</v>
      </c>
      <c r="K147" cm="1">
        <f t="array" ref="K147">_xlfn.XLOOKUP(staff[[#This Row],[Rating]],Table5[[#All],[Column1]],Table5[[#All],[Column2]])</f>
        <v>3</v>
      </c>
    </row>
    <row r="148" spans="1:11" x14ac:dyDescent="0.25">
      <c r="A148" t="s">
        <v>136</v>
      </c>
      <c r="B148" t="s">
        <v>8</v>
      </c>
      <c r="C148">
        <v>28</v>
      </c>
      <c r="D148" t="s">
        <v>16</v>
      </c>
      <c r="E148" s="7">
        <v>44425</v>
      </c>
      <c r="F148" t="s">
        <v>9</v>
      </c>
      <c r="G148">
        <v>104770</v>
      </c>
      <c r="H148" t="s">
        <v>205</v>
      </c>
      <c r="I148" s="8">
        <f ca="1">(TODAY() -staff[[#This Row],[Date Joined]])/365</f>
        <v>2.5178082191780824</v>
      </c>
      <c r="J148" s="14">
        <f ca="1">ROUNDUP(IF(staff[[#This Row],[Tenure]]&gt;2,3%,2%)*staff[[#This Row],[Salary]],0)</f>
        <v>3144</v>
      </c>
      <c r="K148" cm="1">
        <f t="array" ref="K148">_xlfn.XLOOKUP(staff[[#This Row],[Rating]],Table5[[#All],[Column1]],Table5[[#All],[Column2]])</f>
        <v>3</v>
      </c>
    </row>
    <row r="149" spans="1:11" x14ac:dyDescent="0.25">
      <c r="A149" t="s">
        <v>43</v>
      </c>
      <c r="B149" t="s">
        <v>8</v>
      </c>
      <c r="C149">
        <v>28</v>
      </c>
      <c r="D149" t="s">
        <v>16</v>
      </c>
      <c r="E149" s="7">
        <v>44486</v>
      </c>
      <c r="F149" t="s">
        <v>9</v>
      </c>
      <c r="G149">
        <v>104770</v>
      </c>
      <c r="H149" t="s">
        <v>207</v>
      </c>
      <c r="I149" s="8">
        <f ca="1">(TODAY() -staff[[#This Row],[Date Joined]])/365</f>
        <v>2.3506849315068492</v>
      </c>
      <c r="J149" s="14">
        <f ca="1">ROUNDUP(IF(staff[[#This Row],[Tenure]]&gt;2,3%,2%)*staff[[#This Row],[Salary]],0)</f>
        <v>3144</v>
      </c>
      <c r="K149" cm="1">
        <f t="array" ref="K149">_xlfn.XLOOKUP(staff[[#This Row],[Rating]],Table5[[#All],[Column1]],Table5[[#All],[Column2]])</f>
        <v>3</v>
      </c>
    </row>
    <row r="150" spans="1:11" x14ac:dyDescent="0.25">
      <c r="A150" t="s">
        <v>161</v>
      </c>
      <c r="B150" t="s">
        <v>15</v>
      </c>
      <c r="C150">
        <v>23</v>
      </c>
      <c r="D150" t="s">
        <v>16</v>
      </c>
      <c r="E150" s="7">
        <v>44378</v>
      </c>
      <c r="F150" t="s">
        <v>9</v>
      </c>
      <c r="G150">
        <v>106460</v>
      </c>
      <c r="H150" t="s">
        <v>205</v>
      </c>
      <c r="I150" s="8">
        <f ca="1">(TODAY() -staff[[#This Row],[Date Joined]])/365</f>
        <v>2.6465753424657534</v>
      </c>
      <c r="J150" s="14">
        <f ca="1">ROUNDUP(IF(staff[[#This Row],[Tenure]]&gt;2,3%,2%)*staff[[#This Row],[Salary]],0)</f>
        <v>3194</v>
      </c>
      <c r="K150" cm="1">
        <f t="array" ref="K150">_xlfn.XLOOKUP(staff[[#This Row],[Rating]],Table5[[#All],[Column1]],Table5[[#All],[Column2]])</f>
        <v>3</v>
      </c>
    </row>
    <row r="151" spans="1:11" x14ac:dyDescent="0.25">
      <c r="A151" t="s">
        <v>69</v>
      </c>
      <c r="B151" t="s">
        <v>15</v>
      </c>
      <c r="C151">
        <v>23</v>
      </c>
      <c r="D151" t="s">
        <v>16</v>
      </c>
      <c r="E151" s="7">
        <v>44440</v>
      </c>
      <c r="F151" t="s">
        <v>9</v>
      </c>
      <c r="G151">
        <v>106460</v>
      </c>
      <c r="H151" t="s">
        <v>207</v>
      </c>
      <c r="I151" s="8">
        <f ca="1">(TODAY() -staff[[#This Row],[Date Joined]])/365</f>
        <v>2.4767123287671233</v>
      </c>
      <c r="J151" s="14">
        <f ca="1">ROUNDUP(IF(staff[[#This Row],[Tenure]]&gt;2,3%,2%)*staff[[#This Row],[Salary]],0)</f>
        <v>3194</v>
      </c>
      <c r="K151" cm="1">
        <f t="array" ref="K151">_xlfn.XLOOKUP(staff[[#This Row],[Rating]],Table5[[#All],[Column1]],Table5[[#All],[Column2]])</f>
        <v>3</v>
      </c>
    </row>
    <row r="152" spans="1:11" x14ac:dyDescent="0.25">
      <c r="A152" t="s">
        <v>117</v>
      </c>
      <c r="B152" t="s">
        <v>15</v>
      </c>
      <c r="C152">
        <v>20</v>
      </c>
      <c r="D152" t="s">
        <v>16</v>
      </c>
      <c r="E152" s="7">
        <v>44397</v>
      </c>
      <c r="F152" t="s">
        <v>12</v>
      </c>
      <c r="G152">
        <v>107700</v>
      </c>
      <c r="H152" t="s">
        <v>205</v>
      </c>
      <c r="I152" s="8">
        <f ca="1">(TODAY() -staff[[#This Row],[Date Joined]])/365</f>
        <v>2.5945205479452054</v>
      </c>
      <c r="J152" s="14">
        <f ca="1">ROUNDUP(IF(staff[[#This Row],[Tenure]]&gt;2,3%,2%)*staff[[#This Row],[Salary]],0)</f>
        <v>3231</v>
      </c>
      <c r="K152" cm="1">
        <f t="array" ref="K152">_xlfn.XLOOKUP(staff[[#This Row],[Rating]],Table5[[#All],[Column1]],Table5[[#All],[Column2]])</f>
        <v>3</v>
      </c>
    </row>
    <row r="153" spans="1:11" x14ac:dyDescent="0.25">
      <c r="A153" t="s">
        <v>22</v>
      </c>
      <c r="B153" t="s">
        <v>15</v>
      </c>
      <c r="C153">
        <v>20</v>
      </c>
      <c r="D153" t="s">
        <v>16</v>
      </c>
      <c r="E153" s="7">
        <v>44459</v>
      </c>
      <c r="F153" t="s">
        <v>12</v>
      </c>
      <c r="G153">
        <v>107700</v>
      </c>
      <c r="H153" t="s">
        <v>207</v>
      </c>
      <c r="I153" s="8">
        <f ca="1">(TODAY() -staff[[#This Row],[Date Joined]])/365</f>
        <v>2.4246575342465753</v>
      </c>
      <c r="J153" s="14">
        <f ca="1">ROUNDUP(IF(staff[[#This Row],[Tenure]]&gt;2,3%,2%)*staff[[#This Row],[Salary]],0)</f>
        <v>3231</v>
      </c>
      <c r="K153" cm="1">
        <f t="array" ref="K153">_xlfn.XLOOKUP(staff[[#This Row],[Rating]],Table5[[#All],[Column1]],Table5[[#All],[Column2]])</f>
        <v>3</v>
      </c>
    </row>
    <row r="154" spans="1:11" x14ac:dyDescent="0.25">
      <c r="A154" t="s">
        <v>127</v>
      </c>
      <c r="B154" t="s">
        <v>8</v>
      </c>
      <c r="C154">
        <v>38</v>
      </c>
      <c r="D154" t="s">
        <v>10</v>
      </c>
      <c r="E154" s="7">
        <v>44316</v>
      </c>
      <c r="F154" t="s">
        <v>19</v>
      </c>
      <c r="G154">
        <v>109160</v>
      </c>
      <c r="H154" t="s">
        <v>205</v>
      </c>
      <c r="I154" s="8">
        <f ca="1">(TODAY() -staff[[#This Row],[Date Joined]])/365</f>
        <v>2.8164383561643835</v>
      </c>
      <c r="J154" s="14">
        <f ca="1">ROUNDUP(IF(staff[[#This Row],[Tenure]]&gt;2,3%,2%)*staff[[#This Row],[Salary]],0)</f>
        <v>3275</v>
      </c>
      <c r="K154" cm="1">
        <f t="array" ref="K154">_xlfn.XLOOKUP(staff[[#This Row],[Rating]],Table5[[#All],[Column1]],Table5[[#All],[Column2]])</f>
        <v>5</v>
      </c>
    </row>
    <row r="155" spans="1:11" x14ac:dyDescent="0.25">
      <c r="A155" t="s">
        <v>33</v>
      </c>
      <c r="B155" t="s">
        <v>8</v>
      </c>
      <c r="C155">
        <v>38</v>
      </c>
      <c r="D155" t="s">
        <v>10</v>
      </c>
      <c r="E155" s="7">
        <v>44377</v>
      </c>
      <c r="F155" t="s">
        <v>19</v>
      </c>
      <c r="G155">
        <v>109160</v>
      </c>
      <c r="H155" t="s">
        <v>207</v>
      </c>
      <c r="I155" s="8">
        <f ca="1">(TODAY() -staff[[#This Row],[Date Joined]])/365</f>
        <v>2.6493150684931508</v>
      </c>
      <c r="J155" s="14">
        <f ca="1">ROUNDUP(IF(staff[[#This Row],[Tenure]]&gt;2,3%,2%)*staff[[#This Row],[Salary]],0)</f>
        <v>3275</v>
      </c>
      <c r="K155" cm="1">
        <f t="array" ref="K155">_xlfn.XLOOKUP(staff[[#This Row],[Rating]],Table5[[#All],[Column1]],Table5[[#All],[Column2]])</f>
        <v>5</v>
      </c>
    </row>
    <row r="156" spans="1:11" x14ac:dyDescent="0.25">
      <c r="A156" t="s">
        <v>128</v>
      </c>
      <c r="B156" t="s">
        <v>15</v>
      </c>
      <c r="C156">
        <v>25</v>
      </c>
      <c r="D156" t="s">
        <v>13</v>
      </c>
      <c r="E156" s="7">
        <v>44665</v>
      </c>
      <c r="F156" t="s">
        <v>9</v>
      </c>
      <c r="G156">
        <v>109190</v>
      </c>
      <c r="H156" t="s">
        <v>205</v>
      </c>
      <c r="I156" s="8">
        <f ca="1">(TODAY() -staff[[#This Row],[Date Joined]])/365</f>
        <v>1.8602739726027397</v>
      </c>
      <c r="J156" s="14">
        <f ca="1">ROUNDUP(IF(staff[[#This Row],[Tenure]]&gt;2,3%,2%)*staff[[#This Row],[Salary]],0)</f>
        <v>2184</v>
      </c>
      <c r="K156" cm="1">
        <f t="array" ref="K156">_xlfn.XLOOKUP(staff[[#This Row],[Rating]],Table5[[#All],[Column1]],Table5[[#All],[Column2]])</f>
        <v>4</v>
      </c>
    </row>
    <row r="157" spans="1:11" x14ac:dyDescent="0.25">
      <c r="A157" t="s">
        <v>34</v>
      </c>
      <c r="B157" t="s">
        <v>15</v>
      </c>
      <c r="C157">
        <v>25</v>
      </c>
      <c r="D157" t="s">
        <v>13</v>
      </c>
      <c r="E157" s="7">
        <v>44726</v>
      </c>
      <c r="F157" t="s">
        <v>9</v>
      </c>
      <c r="G157">
        <v>109190</v>
      </c>
      <c r="H157" t="s">
        <v>207</v>
      </c>
      <c r="I157" s="8">
        <f ca="1">(TODAY() -staff[[#This Row],[Date Joined]])/365</f>
        <v>1.6931506849315068</v>
      </c>
      <c r="J157" s="14">
        <f ca="1">ROUNDUP(IF(staff[[#This Row],[Tenure]]&gt;2,3%,2%)*staff[[#This Row],[Salary]],0)</f>
        <v>2184</v>
      </c>
      <c r="K157" cm="1">
        <f t="array" ref="K157">_xlfn.XLOOKUP(staff[[#This Row],[Rating]],Table5[[#All],[Column1]],Table5[[#All],[Column2]])</f>
        <v>4</v>
      </c>
    </row>
    <row r="158" spans="1:11" x14ac:dyDescent="0.25">
      <c r="A158" t="s">
        <v>180</v>
      </c>
      <c r="B158" t="s">
        <v>15</v>
      </c>
      <c r="C158">
        <v>29</v>
      </c>
      <c r="D158" t="s">
        <v>24</v>
      </c>
      <c r="E158" s="7">
        <v>44119</v>
      </c>
      <c r="F158" t="s">
        <v>12</v>
      </c>
      <c r="G158">
        <v>112110</v>
      </c>
      <c r="H158" t="s">
        <v>205</v>
      </c>
      <c r="I158" s="8">
        <f ca="1">(TODAY() -staff[[#This Row],[Date Joined]])/365</f>
        <v>3.3561643835616439</v>
      </c>
      <c r="J158" s="14">
        <f ca="1">ROUNDUP(IF(staff[[#This Row],[Tenure]]&gt;2,3%,2%)*staff[[#This Row],[Salary]],0)</f>
        <v>3364</v>
      </c>
      <c r="K158" cm="1">
        <f t="array" ref="K158">_xlfn.XLOOKUP(staff[[#This Row],[Rating]],Table5[[#All],[Column1]],Table5[[#All],[Column2]])</f>
        <v>2</v>
      </c>
    </row>
    <row r="159" spans="1:11" x14ac:dyDescent="0.25">
      <c r="A159" t="s">
        <v>87</v>
      </c>
      <c r="B159" t="s">
        <v>15</v>
      </c>
      <c r="C159">
        <v>29</v>
      </c>
      <c r="D159" t="s">
        <v>24</v>
      </c>
      <c r="E159" s="7">
        <v>44180</v>
      </c>
      <c r="F159" t="s">
        <v>12</v>
      </c>
      <c r="G159">
        <v>112110</v>
      </c>
      <c r="H159" t="s">
        <v>207</v>
      </c>
      <c r="I159" s="8">
        <f ca="1">(TODAY() -staff[[#This Row],[Date Joined]])/365</f>
        <v>3.1890410958904107</v>
      </c>
      <c r="J159" s="14">
        <f ca="1">ROUNDUP(IF(staff[[#This Row],[Tenure]]&gt;2,3%,2%)*staff[[#This Row],[Salary]],0)</f>
        <v>3364</v>
      </c>
      <c r="K159" cm="1">
        <f t="array" ref="K159">_xlfn.XLOOKUP(staff[[#This Row],[Rating]],Table5[[#All],[Column1]],Table5[[#All],[Column2]])</f>
        <v>2</v>
      </c>
    </row>
    <row r="160" spans="1:11" x14ac:dyDescent="0.25">
      <c r="A160" t="s">
        <v>173</v>
      </c>
      <c r="B160" t="s">
        <v>8</v>
      </c>
      <c r="C160">
        <v>30</v>
      </c>
      <c r="D160" t="s">
        <v>16</v>
      </c>
      <c r="E160" s="7">
        <v>44800</v>
      </c>
      <c r="F160" t="s">
        <v>9</v>
      </c>
      <c r="G160">
        <v>112570</v>
      </c>
      <c r="H160" t="s">
        <v>205</v>
      </c>
      <c r="I160" s="8">
        <f ca="1">(TODAY() -staff[[#This Row],[Date Joined]])/365</f>
        <v>1.4904109589041097</v>
      </c>
      <c r="J160" s="14">
        <f ca="1">ROUNDUP(IF(staff[[#This Row],[Tenure]]&gt;2,3%,2%)*staff[[#This Row],[Salary]],0)</f>
        <v>2252</v>
      </c>
      <c r="K160" cm="1">
        <f t="array" ref="K160">_xlfn.XLOOKUP(staff[[#This Row],[Rating]],Table5[[#All],[Column1]],Table5[[#All],[Column2]])</f>
        <v>3</v>
      </c>
    </row>
    <row r="161" spans="1:11" x14ac:dyDescent="0.25">
      <c r="A161" t="s">
        <v>81</v>
      </c>
      <c r="B161" t="s">
        <v>8</v>
      </c>
      <c r="C161">
        <v>30</v>
      </c>
      <c r="D161" t="s">
        <v>16</v>
      </c>
      <c r="E161" s="7">
        <v>44861</v>
      </c>
      <c r="F161" t="s">
        <v>9</v>
      </c>
      <c r="G161">
        <v>112570</v>
      </c>
      <c r="H161" t="s">
        <v>207</v>
      </c>
      <c r="I161" s="8">
        <f ca="1">(TODAY() -staff[[#This Row],[Date Joined]])/365</f>
        <v>1.3232876712328767</v>
      </c>
      <c r="J161" s="14">
        <f ca="1">ROUNDUP(IF(staff[[#This Row],[Tenure]]&gt;2,3%,2%)*staff[[#This Row],[Salary]],0)</f>
        <v>2252</v>
      </c>
      <c r="K161" cm="1">
        <f t="array" ref="K161">_xlfn.XLOOKUP(staff[[#This Row],[Rating]],Table5[[#All],[Column1]],Table5[[#All],[Column2]])</f>
        <v>3</v>
      </c>
    </row>
    <row r="162" spans="1:11" x14ac:dyDescent="0.25">
      <c r="A162" t="s">
        <v>156</v>
      </c>
      <c r="B162" t="s">
        <v>15</v>
      </c>
      <c r="C162">
        <v>20</v>
      </c>
      <c r="D162" t="s">
        <v>16</v>
      </c>
      <c r="E162" s="7">
        <v>44122</v>
      </c>
      <c r="F162" t="s">
        <v>12</v>
      </c>
      <c r="G162">
        <v>112650</v>
      </c>
      <c r="H162" t="s">
        <v>205</v>
      </c>
      <c r="I162" s="8">
        <f ca="1">(TODAY() -staff[[#This Row],[Date Joined]])/365</f>
        <v>3.3479452054794518</v>
      </c>
      <c r="J162" s="14">
        <f ca="1">ROUNDUP(IF(staff[[#This Row],[Tenure]]&gt;2,3%,2%)*staff[[#This Row],[Salary]],0)</f>
        <v>3380</v>
      </c>
      <c r="K162" cm="1">
        <f t="array" ref="K162">_xlfn.XLOOKUP(staff[[#This Row],[Rating]],Table5[[#All],[Column1]],Table5[[#All],[Column2]])</f>
        <v>3</v>
      </c>
    </row>
    <row r="163" spans="1:11" x14ac:dyDescent="0.25">
      <c r="A163" t="s">
        <v>178</v>
      </c>
      <c r="B163" t="s">
        <v>15</v>
      </c>
      <c r="C163">
        <v>34</v>
      </c>
      <c r="D163" t="s">
        <v>16</v>
      </c>
      <c r="E163" s="7">
        <v>44642</v>
      </c>
      <c r="F163" t="s">
        <v>9</v>
      </c>
      <c r="G163">
        <v>112650</v>
      </c>
      <c r="H163" t="s">
        <v>205</v>
      </c>
      <c r="I163" s="8">
        <f ca="1">(TODAY() -staff[[#This Row],[Date Joined]])/365</f>
        <v>1.9232876712328768</v>
      </c>
      <c r="J163" s="14">
        <f ca="1">ROUNDUP(IF(staff[[#This Row],[Tenure]]&gt;2,3%,2%)*staff[[#This Row],[Salary]],0)</f>
        <v>2253</v>
      </c>
      <c r="K163" cm="1">
        <f t="array" ref="K163">_xlfn.XLOOKUP(staff[[#This Row],[Rating]],Table5[[#All],[Column1]],Table5[[#All],[Column2]])</f>
        <v>3</v>
      </c>
    </row>
    <row r="164" spans="1:11" x14ac:dyDescent="0.25">
      <c r="A164" t="s">
        <v>64</v>
      </c>
      <c r="B164" t="s">
        <v>15</v>
      </c>
      <c r="C164">
        <v>20</v>
      </c>
      <c r="D164" t="s">
        <v>16</v>
      </c>
      <c r="E164" s="7">
        <v>44183</v>
      </c>
      <c r="F164" t="s">
        <v>12</v>
      </c>
      <c r="G164">
        <v>112650</v>
      </c>
      <c r="H164" t="s">
        <v>207</v>
      </c>
      <c r="I164" s="8">
        <f ca="1">(TODAY() -staff[[#This Row],[Date Joined]])/365</f>
        <v>3.1808219178082191</v>
      </c>
      <c r="J164" s="14">
        <f ca="1">ROUNDUP(IF(staff[[#This Row],[Tenure]]&gt;2,3%,2%)*staff[[#This Row],[Salary]],0)</f>
        <v>3380</v>
      </c>
      <c r="K164" cm="1">
        <f t="array" ref="K164">_xlfn.XLOOKUP(staff[[#This Row],[Rating]],Table5[[#All],[Column1]],Table5[[#All],[Column2]])</f>
        <v>3</v>
      </c>
    </row>
    <row r="165" spans="1:11" x14ac:dyDescent="0.25">
      <c r="A165" t="s">
        <v>150</v>
      </c>
      <c r="B165" t="s">
        <v>15</v>
      </c>
      <c r="C165">
        <v>22</v>
      </c>
      <c r="D165" t="s">
        <v>13</v>
      </c>
      <c r="E165" s="7">
        <v>44384</v>
      </c>
      <c r="F165" t="s">
        <v>19</v>
      </c>
      <c r="G165">
        <v>112780</v>
      </c>
      <c r="H165" t="s">
        <v>205</v>
      </c>
      <c r="I165" s="8">
        <f ca="1">(TODAY() -staff[[#This Row],[Date Joined]])/365</f>
        <v>2.6301369863013697</v>
      </c>
      <c r="J165" s="14">
        <f ca="1">ROUNDUP(IF(staff[[#This Row],[Tenure]]&gt;2,3%,2%)*staff[[#This Row],[Salary]],0)</f>
        <v>3384</v>
      </c>
      <c r="K165" cm="1">
        <f t="array" ref="K165">_xlfn.XLOOKUP(staff[[#This Row],[Rating]],Table5[[#All],[Column1]],Table5[[#All],[Column2]])</f>
        <v>4</v>
      </c>
    </row>
    <row r="166" spans="1:11" x14ac:dyDescent="0.25">
      <c r="A166" t="s">
        <v>58</v>
      </c>
      <c r="B166" t="s">
        <v>15</v>
      </c>
      <c r="C166">
        <v>22</v>
      </c>
      <c r="D166" t="s">
        <v>13</v>
      </c>
      <c r="E166" s="7">
        <v>44446</v>
      </c>
      <c r="F166" t="s">
        <v>19</v>
      </c>
      <c r="G166">
        <v>112780</v>
      </c>
      <c r="H166" t="s">
        <v>207</v>
      </c>
      <c r="I166" s="8">
        <f ca="1">(TODAY() -staff[[#This Row],[Date Joined]])/365</f>
        <v>2.4602739726027396</v>
      </c>
      <c r="J166" s="14">
        <f ca="1">ROUNDUP(IF(staff[[#This Row],[Tenure]]&gt;2,3%,2%)*staff[[#This Row],[Salary]],0)</f>
        <v>3384</v>
      </c>
      <c r="K166" cm="1">
        <f t="array" ref="K166">_xlfn.XLOOKUP(staff[[#This Row],[Rating]],Table5[[#All],[Column1]],Table5[[#All],[Column2]])</f>
        <v>4</v>
      </c>
    </row>
    <row r="167" spans="1:11" x14ac:dyDescent="0.25">
      <c r="A167" t="s">
        <v>191</v>
      </c>
      <c r="B167" t="s">
        <v>15</v>
      </c>
      <c r="C167">
        <v>27</v>
      </c>
      <c r="D167" t="s">
        <v>42</v>
      </c>
      <c r="E167" s="7">
        <v>44547</v>
      </c>
      <c r="F167" t="s">
        <v>9</v>
      </c>
      <c r="G167">
        <v>113280</v>
      </c>
      <c r="H167" t="s">
        <v>205</v>
      </c>
      <c r="I167" s="8">
        <f ca="1">(TODAY() -staff[[#This Row],[Date Joined]])/365</f>
        <v>2.1835616438356165</v>
      </c>
      <c r="J167" s="14">
        <f ca="1">ROUNDUP(IF(staff[[#This Row],[Tenure]]&gt;2,3%,2%)*staff[[#This Row],[Salary]],0)</f>
        <v>3399</v>
      </c>
      <c r="K167" cm="1">
        <f t="array" ref="K167">_xlfn.XLOOKUP(staff[[#This Row],[Rating]],Table5[[#All],[Column1]],Table5[[#All],[Column2]])</f>
        <v>1</v>
      </c>
    </row>
    <row r="168" spans="1:11" x14ac:dyDescent="0.25">
      <c r="A168" t="s">
        <v>98</v>
      </c>
      <c r="B168" t="s">
        <v>15</v>
      </c>
      <c r="C168">
        <v>27</v>
      </c>
      <c r="D168" t="s">
        <v>42</v>
      </c>
      <c r="E168" s="7">
        <v>44609</v>
      </c>
      <c r="F168" t="s">
        <v>9</v>
      </c>
      <c r="G168">
        <v>113280</v>
      </c>
      <c r="H168" t="s">
        <v>207</v>
      </c>
      <c r="I168" s="8">
        <f ca="1">(TODAY() -staff[[#This Row],[Date Joined]])/365</f>
        <v>2.0136986301369864</v>
      </c>
      <c r="J168" s="14">
        <f ca="1">ROUNDUP(IF(staff[[#This Row],[Tenure]]&gt;2,3%,2%)*staff[[#This Row],[Salary]],0)</f>
        <v>3399</v>
      </c>
      <c r="K168" cm="1">
        <f t="array" ref="K168">_xlfn.XLOOKUP(staff[[#This Row],[Rating]],Table5[[#All],[Column1]],Table5[[#All],[Column2]])</f>
        <v>1</v>
      </c>
    </row>
    <row r="169" spans="1:11" x14ac:dyDescent="0.25">
      <c r="A169" t="s">
        <v>147</v>
      </c>
      <c r="B169" t="s">
        <v>8</v>
      </c>
      <c r="C169">
        <v>30</v>
      </c>
      <c r="D169" t="s">
        <v>16</v>
      </c>
      <c r="E169" s="7">
        <v>44789</v>
      </c>
      <c r="F169" t="s">
        <v>9</v>
      </c>
      <c r="G169">
        <v>114180</v>
      </c>
      <c r="H169" t="s">
        <v>205</v>
      </c>
      <c r="I169" s="8">
        <f ca="1">(TODAY() -staff[[#This Row],[Date Joined]])/365</f>
        <v>1.5205479452054795</v>
      </c>
      <c r="J169" s="14">
        <f ca="1">ROUNDUP(IF(staff[[#This Row],[Tenure]]&gt;2,3%,2%)*staff[[#This Row],[Salary]],0)</f>
        <v>2284</v>
      </c>
      <c r="K169" cm="1">
        <f t="array" ref="K169">_xlfn.XLOOKUP(staff[[#This Row],[Rating]],Table5[[#All],[Column1]],Table5[[#All],[Column2]])</f>
        <v>3</v>
      </c>
    </row>
    <row r="170" spans="1:11" x14ac:dyDescent="0.25">
      <c r="A170" t="s">
        <v>54</v>
      </c>
      <c r="B170" t="s">
        <v>8</v>
      </c>
      <c r="C170">
        <v>30</v>
      </c>
      <c r="D170" t="s">
        <v>16</v>
      </c>
      <c r="E170" s="7">
        <v>44850</v>
      </c>
      <c r="F170" t="s">
        <v>9</v>
      </c>
      <c r="G170">
        <v>114180</v>
      </c>
      <c r="H170" t="s">
        <v>207</v>
      </c>
      <c r="I170" s="8">
        <f ca="1">(TODAY() -staff[[#This Row],[Date Joined]])/365</f>
        <v>1.3534246575342466</v>
      </c>
      <c r="J170" s="14">
        <f ca="1">ROUNDUP(IF(staff[[#This Row],[Tenure]]&gt;2,3%,2%)*staff[[#This Row],[Salary]],0)</f>
        <v>2284</v>
      </c>
      <c r="K170" cm="1">
        <f t="array" ref="K170">_xlfn.XLOOKUP(staff[[#This Row],[Rating]],Table5[[#All],[Column1]],Table5[[#All],[Column2]])</f>
        <v>3</v>
      </c>
    </row>
    <row r="171" spans="1:11" x14ac:dyDescent="0.25">
      <c r="A171" t="s">
        <v>114</v>
      </c>
      <c r="B171" t="s">
        <v>8</v>
      </c>
      <c r="C171">
        <v>44</v>
      </c>
      <c r="D171" t="s">
        <v>16</v>
      </c>
      <c r="E171" s="7">
        <v>44985</v>
      </c>
      <c r="F171" t="s">
        <v>12</v>
      </c>
      <c r="G171">
        <v>114870</v>
      </c>
      <c r="H171" t="s">
        <v>205</v>
      </c>
      <c r="I171" s="8">
        <f ca="1">(TODAY() -staff[[#This Row],[Date Joined]])/365</f>
        <v>0.98356164383561639</v>
      </c>
      <c r="J171" s="14">
        <f ca="1">ROUNDUP(IF(staff[[#This Row],[Tenure]]&gt;2,3%,2%)*staff[[#This Row],[Salary]],0)</f>
        <v>2298</v>
      </c>
      <c r="K171" cm="1">
        <f t="array" ref="K171">_xlfn.XLOOKUP(staff[[#This Row],[Rating]],Table5[[#All],[Column1]],Table5[[#All],[Column2]])</f>
        <v>3</v>
      </c>
    </row>
    <row r="172" spans="1:11" x14ac:dyDescent="0.25">
      <c r="A172" t="s">
        <v>17</v>
      </c>
      <c r="B172" t="s">
        <v>8</v>
      </c>
      <c r="C172">
        <v>43</v>
      </c>
      <c r="D172" t="s">
        <v>16</v>
      </c>
      <c r="E172" s="7">
        <v>45045</v>
      </c>
      <c r="F172" t="s">
        <v>12</v>
      </c>
      <c r="G172">
        <v>114870</v>
      </c>
      <c r="H172" t="s">
        <v>207</v>
      </c>
      <c r="I172" s="8">
        <f ca="1">(TODAY() -staff[[#This Row],[Date Joined]])/365</f>
        <v>0.81917808219178079</v>
      </c>
      <c r="J172" s="14">
        <f ca="1">ROUNDUP(IF(staff[[#This Row],[Tenure]]&gt;2,3%,2%)*staff[[#This Row],[Salary]],0)</f>
        <v>2298</v>
      </c>
      <c r="K172" cm="1">
        <f t="array" ref="K172">_xlfn.XLOOKUP(staff[[#This Row],[Rating]],Table5[[#All],[Column1]],Table5[[#All],[Column2]])</f>
        <v>3</v>
      </c>
    </row>
    <row r="173" spans="1:11" x14ac:dyDescent="0.25">
      <c r="A173" t="s">
        <v>175</v>
      </c>
      <c r="B173" t="s">
        <v>8</v>
      </c>
      <c r="C173">
        <v>36</v>
      </c>
      <c r="D173" t="s">
        <v>16</v>
      </c>
      <c r="E173" s="7">
        <v>44023</v>
      </c>
      <c r="F173" t="s">
        <v>9</v>
      </c>
      <c r="G173">
        <v>114890</v>
      </c>
      <c r="H173" t="s">
        <v>205</v>
      </c>
      <c r="I173" s="8">
        <f ca="1">(TODAY() -staff[[#This Row],[Date Joined]])/365</f>
        <v>3.6191780821917807</v>
      </c>
      <c r="J173" s="14">
        <f ca="1">ROUNDUP(IF(staff[[#This Row],[Tenure]]&gt;2,3%,2%)*staff[[#This Row],[Salary]],0)</f>
        <v>3447</v>
      </c>
      <c r="K173" cm="1">
        <f t="array" ref="K173">_xlfn.XLOOKUP(staff[[#This Row],[Rating]],Table5[[#All],[Column1]],Table5[[#All],[Column2]])</f>
        <v>3</v>
      </c>
    </row>
    <row r="174" spans="1:11" x14ac:dyDescent="0.25">
      <c r="A174" t="s">
        <v>83</v>
      </c>
      <c r="B174" t="s">
        <v>8</v>
      </c>
      <c r="C174">
        <v>36</v>
      </c>
      <c r="D174" t="s">
        <v>16</v>
      </c>
      <c r="E174" s="7">
        <v>44085</v>
      </c>
      <c r="F174" t="s">
        <v>9</v>
      </c>
      <c r="G174">
        <v>114890</v>
      </c>
      <c r="H174" t="s">
        <v>207</v>
      </c>
      <c r="I174" s="8">
        <f ca="1">(TODAY() -staff[[#This Row],[Date Joined]])/365</f>
        <v>3.4493150684931506</v>
      </c>
      <c r="J174" s="14">
        <f ca="1">ROUNDUP(IF(staff[[#This Row],[Tenure]]&gt;2,3%,2%)*staff[[#This Row],[Salary]],0)</f>
        <v>3447</v>
      </c>
      <c r="K174" cm="1">
        <f t="array" ref="K174">_xlfn.XLOOKUP(staff[[#This Row],[Rating]],Table5[[#All],[Column1]],Table5[[#All],[Column2]])</f>
        <v>3</v>
      </c>
    </row>
    <row r="175" spans="1:11" x14ac:dyDescent="0.25">
      <c r="A175" t="s">
        <v>142</v>
      </c>
      <c r="B175" t="s">
        <v>206</v>
      </c>
      <c r="C175">
        <v>37</v>
      </c>
      <c r="D175" t="s">
        <v>24</v>
      </c>
      <c r="E175" s="7">
        <v>44085</v>
      </c>
      <c r="F175" t="s">
        <v>21</v>
      </c>
      <c r="G175">
        <v>115440</v>
      </c>
      <c r="H175" t="s">
        <v>205</v>
      </c>
      <c r="I175" s="8">
        <f ca="1">(TODAY() -staff[[#This Row],[Date Joined]])/365</f>
        <v>3.4493150684931506</v>
      </c>
      <c r="J175" s="14">
        <f ca="1">ROUNDUP(IF(staff[[#This Row],[Tenure]]&gt;2,3%,2%)*staff[[#This Row],[Salary]],0)</f>
        <v>3464</v>
      </c>
      <c r="K175" cm="1">
        <f t="array" ref="K175">_xlfn.XLOOKUP(staff[[#This Row],[Rating]],Table5[[#All],[Column1]],Table5[[#All],[Column2]])</f>
        <v>2</v>
      </c>
    </row>
    <row r="176" spans="1:11" x14ac:dyDescent="0.25">
      <c r="A176" t="s">
        <v>49</v>
      </c>
      <c r="B176" t="s">
        <v>206</v>
      </c>
      <c r="C176">
        <v>37</v>
      </c>
      <c r="D176" t="s">
        <v>24</v>
      </c>
      <c r="E176" s="7">
        <v>44146</v>
      </c>
      <c r="F176" t="s">
        <v>21</v>
      </c>
      <c r="G176">
        <v>115440</v>
      </c>
      <c r="H176" t="s">
        <v>207</v>
      </c>
      <c r="I176" s="8">
        <f ca="1">(TODAY() -staff[[#This Row],[Date Joined]])/365</f>
        <v>3.2821917808219179</v>
      </c>
      <c r="J176" s="14">
        <f ca="1">ROUNDUP(IF(staff[[#This Row],[Tenure]]&gt;2,3%,2%)*staff[[#This Row],[Salary]],0)</f>
        <v>3464</v>
      </c>
      <c r="K176" cm="1">
        <f t="array" ref="K176">_xlfn.XLOOKUP(staff[[#This Row],[Rating]],Table5[[#All],[Column1]],Table5[[#All],[Column2]])</f>
        <v>2</v>
      </c>
    </row>
    <row r="177" spans="1:11" x14ac:dyDescent="0.25">
      <c r="A177" t="s">
        <v>134</v>
      </c>
      <c r="B177" t="s">
        <v>15</v>
      </c>
      <c r="C177">
        <v>33</v>
      </c>
      <c r="D177" t="s">
        <v>16</v>
      </c>
      <c r="E177" s="7">
        <v>44103</v>
      </c>
      <c r="F177" t="s">
        <v>9</v>
      </c>
      <c r="G177">
        <v>115920</v>
      </c>
      <c r="H177" t="s">
        <v>205</v>
      </c>
      <c r="I177" s="8">
        <f ca="1">(TODAY() -staff[[#This Row],[Date Joined]])/365</f>
        <v>3.4</v>
      </c>
      <c r="J177" s="14">
        <f ca="1">ROUNDUP(IF(staff[[#This Row],[Tenure]]&gt;2,3%,2%)*staff[[#This Row],[Salary]],0)</f>
        <v>3478</v>
      </c>
      <c r="K177" cm="1">
        <f t="array" ref="K177">_xlfn.XLOOKUP(staff[[#This Row],[Rating]],Table5[[#All],[Column1]],Table5[[#All],[Column2]])</f>
        <v>3</v>
      </c>
    </row>
    <row r="178" spans="1:11" x14ac:dyDescent="0.25">
      <c r="A178" t="s">
        <v>40</v>
      </c>
      <c r="B178" t="s">
        <v>15</v>
      </c>
      <c r="C178">
        <v>33</v>
      </c>
      <c r="D178" t="s">
        <v>16</v>
      </c>
      <c r="E178" s="7">
        <v>44164</v>
      </c>
      <c r="F178" t="s">
        <v>9</v>
      </c>
      <c r="G178">
        <v>115920</v>
      </c>
      <c r="H178" t="s">
        <v>207</v>
      </c>
      <c r="I178" s="8">
        <f ca="1">(TODAY() -staff[[#This Row],[Date Joined]])/365</f>
        <v>3.2328767123287672</v>
      </c>
      <c r="J178" s="14">
        <f ca="1">ROUNDUP(IF(staff[[#This Row],[Tenure]]&gt;2,3%,2%)*staff[[#This Row],[Salary]],0)</f>
        <v>3478</v>
      </c>
      <c r="K178" cm="1">
        <f t="array" ref="K178">_xlfn.XLOOKUP(staff[[#This Row],[Rating]],Table5[[#All],[Column1]],Table5[[#All],[Column2]])</f>
        <v>3</v>
      </c>
    </row>
    <row r="179" spans="1:11" x14ac:dyDescent="0.25">
      <c r="A179" t="s">
        <v>148</v>
      </c>
      <c r="B179" t="s">
        <v>8</v>
      </c>
      <c r="C179">
        <v>37</v>
      </c>
      <c r="D179" t="s">
        <v>16</v>
      </c>
      <c r="E179" s="7">
        <v>44389</v>
      </c>
      <c r="F179" t="s">
        <v>56</v>
      </c>
      <c r="G179">
        <v>118100</v>
      </c>
      <c r="H179" t="s">
        <v>205</v>
      </c>
      <c r="I179" s="8">
        <f ca="1">(TODAY() -staff[[#This Row],[Date Joined]])/365</f>
        <v>2.6164383561643834</v>
      </c>
      <c r="J179" s="14">
        <f ca="1">ROUNDUP(IF(staff[[#This Row],[Tenure]]&gt;2,3%,2%)*staff[[#This Row],[Salary]],0)</f>
        <v>3543</v>
      </c>
      <c r="K179" cm="1">
        <f t="array" ref="K179">_xlfn.XLOOKUP(staff[[#This Row],[Rating]],Table5[[#All],[Column1]],Table5[[#All],[Column2]])</f>
        <v>3</v>
      </c>
    </row>
    <row r="180" spans="1:11" x14ac:dyDescent="0.25">
      <c r="A180" t="s">
        <v>55</v>
      </c>
      <c r="B180" t="s">
        <v>8</v>
      </c>
      <c r="C180">
        <v>37</v>
      </c>
      <c r="D180" t="s">
        <v>16</v>
      </c>
      <c r="E180" s="7">
        <v>44451</v>
      </c>
      <c r="F180" t="s">
        <v>56</v>
      </c>
      <c r="G180">
        <v>118100</v>
      </c>
      <c r="H180" t="s">
        <v>207</v>
      </c>
      <c r="I180" s="8">
        <f ca="1">(TODAY() -staff[[#This Row],[Date Joined]])/365</f>
        <v>2.4465753424657533</v>
      </c>
      <c r="J180" s="14">
        <f ca="1">ROUNDUP(IF(staff[[#This Row],[Tenure]]&gt;2,3%,2%)*staff[[#This Row],[Salary]],0)</f>
        <v>3543</v>
      </c>
      <c r="K180" cm="1">
        <f t="array" ref="K180">_xlfn.XLOOKUP(staff[[#This Row],[Rating]],Table5[[#All],[Column1]],Table5[[#All],[Column2]])</f>
        <v>3</v>
      </c>
    </row>
    <row r="181" spans="1:11" x14ac:dyDescent="0.25">
      <c r="A181" t="s">
        <v>199</v>
      </c>
      <c r="B181" t="s">
        <v>15</v>
      </c>
      <c r="C181">
        <v>36</v>
      </c>
      <c r="D181" t="s">
        <v>16</v>
      </c>
      <c r="E181" s="7">
        <v>43958</v>
      </c>
      <c r="F181" t="s">
        <v>12</v>
      </c>
      <c r="G181">
        <v>118840</v>
      </c>
      <c r="H181" t="s">
        <v>205</v>
      </c>
      <c r="I181" s="8">
        <f ca="1">(TODAY() -staff[[#This Row],[Date Joined]])/365</f>
        <v>3.7972602739726029</v>
      </c>
      <c r="J181" s="14">
        <f ca="1">ROUNDUP(IF(staff[[#This Row],[Tenure]]&gt;2,3%,2%)*staff[[#This Row],[Salary]],0)</f>
        <v>3566</v>
      </c>
      <c r="K181" cm="1">
        <f t="array" ref="K181">_xlfn.XLOOKUP(staff[[#This Row],[Rating]],Table5[[#All],[Column1]],Table5[[#All],[Column2]])</f>
        <v>3</v>
      </c>
    </row>
    <row r="182" spans="1:11" x14ac:dyDescent="0.25">
      <c r="A182" t="s">
        <v>106</v>
      </c>
      <c r="B182" t="s">
        <v>15</v>
      </c>
      <c r="C182">
        <v>36</v>
      </c>
      <c r="D182" t="s">
        <v>16</v>
      </c>
      <c r="E182" s="7">
        <v>44019</v>
      </c>
      <c r="F182" t="s">
        <v>12</v>
      </c>
      <c r="G182">
        <v>118840</v>
      </c>
      <c r="H182" t="s">
        <v>207</v>
      </c>
      <c r="I182" s="8">
        <f ca="1">(TODAY() -staff[[#This Row],[Date Joined]])/365</f>
        <v>3.6301369863013697</v>
      </c>
      <c r="J182" s="14">
        <f ca="1">ROUNDUP(IF(staff[[#This Row],[Tenure]]&gt;2,3%,2%)*staff[[#This Row],[Salary]],0)</f>
        <v>3566</v>
      </c>
      <c r="K182" cm="1">
        <f t="array" ref="K182">_xlfn.XLOOKUP(staff[[#This Row],[Rating]],Table5[[#All],[Column1]],Table5[[#All],[Column2]])</f>
        <v>3</v>
      </c>
    </row>
    <row r="183" spans="1:11" x14ac:dyDescent="0.25">
      <c r="A183" t="s">
        <v>152</v>
      </c>
      <c r="B183" t="s">
        <v>8</v>
      </c>
      <c r="C183">
        <v>27</v>
      </c>
      <c r="D183" t="s">
        <v>16</v>
      </c>
      <c r="E183" s="7">
        <v>44061</v>
      </c>
      <c r="F183" t="s">
        <v>56</v>
      </c>
      <c r="G183">
        <v>119110</v>
      </c>
      <c r="H183" t="s">
        <v>205</v>
      </c>
      <c r="I183" s="8">
        <f ca="1">(TODAY() -staff[[#This Row],[Date Joined]])/365</f>
        <v>3.515068493150685</v>
      </c>
      <c r="J183" s="14">
        <f ca="1">ROUNDUP(IF(staff[[#This Row],[Tenure]]&gt;2,3%,2%)*staff[[#This Row],[Salary]],0)</f>
        <v>3574</v>
      </c>
      <c r="K183" cm="1">
        <f t="array" ref="K183">_xlfn.XLOOKUP(staff[[#This Row],[Rating]],Table5[[#All],[Column1]],Table5[[#All],[Column2]])</f>
        <v>3</v>
      </c>
    </row>
    <row r="184" spans="1:11" x14ac:dyDescent="0.25">
      <c r="A184" t="s">
        <v>60</v>
      </c>
      <c r="B184" t="s">
        <v>8</v>
      </c>
      <c r="C184">
        <v>27</v>
      </c>
      <c r="D184" t="s">
        <v>16</v>
      </c>
      <c r="E184" s="7">
        <v>44122</v>
      </c>
      <c r="F184" t="s">
        <v>56</v>
      </c>
      <c r="G184">
        <v>119110</v>
      </c>
      <c r="H184" t="s">
        <v>207</v>
      </c>
      <c r="I184" s="8">
        <f ca="1">(TODAY() -staff[[#This Row],[Date Joined]])/365</f>
        <v>3.3479452054794518</v>
      </c>
      <c r="J184" s="14">
        <f ca="1">ROUNDUP(IF(staff[[#This Row],[Tenure]]&gt;2,3%,2%)*staff[[#This Row],[Salary]],0)</f>
        <v>3574</v>
      </c>
      <c r="K184" cm="1">
        <f t="array" ref="K184">_xlfn.XLOOKUP(staff[[#This Row],[Rating]],Table5[[#All],[Column1]],Table5[[#All],[Column2]])</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F82-2533-433C-AB3F-45B7C1C1DA95}">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493E-115D-4820-8B52-10E39B3DC336}">
  <dimension ref="B2:D8"/>
  <sheetViews>
    <sheetView workbookViewId="0">
      <selection activeCell="A9" sqref="A9"/>
    </sheetView>
  </sheetViews>
  <sheetFormatPr defaultRowHeight="15" x14ac:dyDescent="0.25"/>
  <cols>
    <col min="2" max="2" width="14.28515625" bestFit="1" customWidth="1"/>
    <col min="3" max="3" width="14.42578125" bestFit="1" customWidth="1"/>
    <col min="4" max="4" width="16.42578125" bestFit="1" customWidth="1"/>
  </cols>
  <sheetData>
    <row r="2" spans="2:4" x14ac:dyDescent="0.25">
      <c r="B2" s="13" t="s">
        <v>221</v>
      </c>
      <c r="C2" t="s">
        <v>224</v>
      </c>
      <c r="D2" s="16" t="s">
        <v>227</v>
      </c>
    </row>
    <row r="3" spans="2:4" x14ac:dyDescent="0.25">
      <c r="B3" s="11" t="s">
        <v>13</v>
      </c>
      <c r="C3" s="19">
        <v>20</v>
      </c>
      <c r="D3" s="16">
        <v>75933</v>
      </c>
    </row>
    <row r="4" spans="2:4" x14ac:dyDescent="0.25">
      <c r="B4" s="11" t="s">
        <v>10</v>
      </c>
      <c r="C4" s="19">
        <v>4</v>
      </c>
      <c r="D4" s="16">
        <v>92080</v>
      </c>
    </row>
    <row r="5" spans="2:4" x14ac:dyDescent="0.25">
      <c r="B5" s="11" t="s">
        <v>16</v>
      </c>
      <c r="C5" s="19">
        <v>137</v>
      </c>
      <c r="D5" s="16">
        <v>76798.759124087592</v>
      </c>
    </row>
    <row r="6" spans="2:4" x14ac:dyDescent="0.25">
      <c r="B6" s="11" t="s">
        <v>24</v>
      </c>
      <c r="C6" s="19">
        <v>16</v>
      </c>
      <c r="D6" s="16">
        <v>78115</v>
      </c>
    </row>
    <row r="7" spans="2:4" x14ac:dyDescent="0.25">
      <c r="B7" s="11" t="s">
        <v>42</v>
      </c>
      <c r="C7" s="19">
        <v>6</v>
      </c>
      <c r="D7" s="16">
        <v>77423.333333333328</v>
      </c>
    </row>
    <row r="8" spans="2:4" x14ac:dyDescent="0.25">
      <c r="B8" s="11" t="s">
        <v>222</v>
      </c>
      <c r="C8" s="19">
        <v>183</v>
      </c>
      <c r="D8" s="16">
        <v>77173.715846994543</v>
      </c>
    </row>
  </sheetData>
  <conditionalFormatting pivot="1" sqref="D3:D7">
    <cfRule type="dataBar" priority="1">
      <dataBar>
        <cfvo type="min"/>
        <cfvo type="max"/>
        <color rgb="FF638EC6"/>
      </dataBar>
      <extLst>
        <ext xmlns:x14="http://schemas.microsoft.com/office/spreadsheetml/2009/9/main" uri="{B025F937-C7B1-47D3-B67F-A62EFF666E3E}">
          <x14:id>{8A6F78FC-12D6-47ED-8416-98D85766354A}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A6F78FC-12D6-47ED-8416-98D85766354A}">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0A4B8-E51B-4469-BF35-CA98C65CCB2C}">
  <dimension ref="B1:R40"/>
  <sheetViews>
    <sheetView topLeftCell="G1" zoomScale="118" zoomScaleNormal="118" workbookViewId="0">
      <selection activeCell="U40" sqref="U40"/>
    </sheetView>
  </sheetViews>
  <sheetFormatPr defaultRowHeight="15" x14ac:dyDescent="0.25"/>
  <cols>
    <col min="2" max="2" width="13.140625" bestFit="1" customWidth="1"/>
    <col min="3" max="3" width="14.42578125" bestFit="1" customWidth="1"/>
    <col min="14" max="14" width="10.85546875" bestFit="1" customWidth="1"/>
    <col min="15" max="15" width="14.28515625" bestFit="1" customWidth="1"/>
    <col min="17" max="18" width="10.28515625" customWidth="1"/>
    <col min="19" max="19" width="12.140625" customWidth="1"/>
    <col min="20" max="20" width="13.7109375" customWidth="1"/>
  </cols>
  <sheetData>
    <row r="1" spans="2:18" x14ac:dyDescent="0.25">
      <c r="M1" s="37" t="s">
        <v>245</v>
      </c>
      <c r="N1" s="37" t="s">
        <v>249</v>
      </c>
      <c r="O1" s="37" t="s">
        <v>250</v>
      </c>
      <c r="P1" s="37"/>
    </row>
    <row r="2" spans="2:18" x14ac:dyDescent="0.25">
      <c r="M2" s="21">
        <v>43952</v>
      </c>
      <c r="N2">
        <f>COUNTIFS(staff[Date Joined],"&gt;="&amp;M2,staff[Date Joined],"&lt;="&amp;EOMONTH(M2,0))</f>
        <v>3</v>
      </c>
      <c r="O2">
        <f>SUM($N$2:N2)</f>
        <v>3</v>
      </c>
    </row>
    <row r="3" spans="2:18" x14ac:dyDescent="0.25">
      <c r="B3" s="13" t="s">
        <v>221</v>
      </c>
      <c r="C3" t="s">
        <v>224</v>
      </c>
      <c r="M3" s="21">
        <v>43983</v>
      </c>
      <c r="N3">
        <f>COUNTIFS(staff[Date Joined],"&gt;="&amp;M3,staff[Date Joined],"&lt;="&amp;EOMONTH(M3,0))</f>
        <v>1</v>
      </c>
      <c r="O3">
        <f>SUM($N$2:N3)</f>
        <v>4</v>
      </c>
    </row>
    <row r="4" spans="2:18" x14ac:dyDescent="0.25">
      <c r="B4" s="11" t="s">
        <v>231</v>
      </c>
      <c r="C4" s="19"/>
      <c r="M4" s="21">
        <v>44013</v>
      </c>
      <c r="N4">
        <f>COUNTIFS(staff[Date Joined],"&gt;="&amp;M4,staff[Date Joined],"&lt;="&amp;EOMONTH(M4,0))</f>
        <v>5</v>
      </c>
      <c r="O4">
        <f>SUM($N$2:N4)</f>
        <v>9</v>
      </c>
      <c r="R4" s="21"/>
    </row>
    <row r="5" spans="2:18" x14ac:dyDescent="0.25">
      <c r="B5" s="20" t="s">
        <v>232</v>
      </c>
      <c r="C5" s="19">
        <v>3</v>
      </c>
      <c r="M5" s="21">
        <v>44044</v>
      </c>
      <c r="N5">
        <f>COUNTIFS(staff[Date Joined],"&gt;="&amp;M5,staff[Date Joined],"&lt;="&amp;EOMONTH(M5,0))</f>
        <v>3</v>
      </c>
      <c r="O5">
        <f>SUM($N$2:N5)</f>
        <v>12</v>
      </c>
      <c r="R5" s="21"/>
    </row>
    <row r="6" spans="2:18" x14ac:dyDescent="0.25">
      <c r="B6" s="20" t="s">
        <v>233</v>
      </c>
      <c r="C6" s="19">
        <v>1</v>
      </c>
      <c r="M6" s="21">
        <v>44075</v>
      </c>
      <c r="N6">
        <f>COUNTIFS(staff[Date Joined],"&gt;="&amp;M6,staff[Date Joined],"&lt;="&amp;EOMONTH(M6,0))</f>
        <v>6</v>
      </c>
      <c r="O6">
        <f>SUM($N$2:N6)</f>
        <v>18</v>
      </c>
      <c r="R6" s="21"/>
    </row>
    <row r="7" spans="2:18" x14ac:dyDescent="0.25">
      <c r="B7" s="20" t="s">
        <v>234</v>
      </c>
      <c r="C7" s="19">
        <v>5</v>
      </c>
      <c r="M7" s="21">
        <v>44105</v>
      </c>
      <c r="N7">
        <f>COUNTIFS(staff[Date Joined],"&gt;="&amp;M7,staff[Date Joined],"&lt;="&amp;EOMONTH(M7,0))</f>
        <v>6</v>
      </c>
      <c r="O7">
        <f>SUM($N$2:N7)</f>
        <v>24</v>
      </c>
      <c r="R7" s="21"/>
    </row>
    <row r="8" spans="2:18" x14ac:dyDescent="0.25">
      <c r="B8" s="20" t="s">
        <v>235</v>
      </c>
      <c r="C8" s="19">
        <v>3</v>
      </c>
      <c r="M8" s="21">
        <v>44136</v>
      </c>
      <c r="N8">
        <f>COUNTIFS(staff[Date Joined],"&gt;="&amp;M8,staff[Date Joined],"&lt;="&amp;EOMONTH(M8,0))</f>
        <v>6</v>
      </c>
      <c r="O8">
        <f>SUM($N$2:N8)</f>
        <v>30</v>
      </c>
      <c r="R8" s="21"/>
    </row>
    <row r="9" spans="2:18" x14ac:dyDescent="0.25">
      <c r="B9" s="20" t="s">
        <v>236</v>
      </c>
      <c r="C9" s="19">
        <v>6</v>
      </c>
      <c r="M9" s="21">
        <v>44166</v>
      </c>
      <c r="N9">
        <f>COUNTIFS(staff[Date Joined],"&gt;="&amp;M9,staff[Date Joined],"&lt;="&amp;EOMONTH(M9,0))</f>
        <v>7</v>
      </c>
      <c r="O9">
        <f>SUM($N$2:N9)</f>
        <v>37</v>
      </c>
      <c r="R9" s="21"/>
    </row>
    <row r="10" spans="2:18" x14ac:dyDescent="0.25">
      <c r="B10" s="20" t="s">
        <v>237</v>
      </c>
      <c r="C10" s="19">
        <v>6</v>
      </c>
      <c r="M10" s="21">
        <v>44197</v>
      </c>
      <c r="N10">
        <f>COUNTIFS(staff[Date Joined],"&gt;="&amp;M10,staff[Date Joined],"&lt;="&amp;EOMONTH(M10,0))</f>
        <v>6</v>
      </c>
      <c r="O10">
        <f>SUM($N$2:N10)</f>
        <v>43</v>
      </c>
      <c r="R10" s="21"/>
    </row>
    <row r="11" spans="2:18" x14ac:dyDescent="0.25">
      <c r="B11" s="20" t="s">
        <v>238</v>
      </c>
      <c r="C11" s="19">
        <v>6</v>
      </c>
      <c r="M11" s="21">
        <v>44228</v>
      </c>
      <c r="N11">
        <f>COUNTIFS(staff[Date Joined],"&gt;="&amp;M11,staff[Date Joined],"&lt;="&amp;EOMONTH(M11,0))</f>
        <v>4</v>
      </c>
      <c r="O11">
        <f>SUM($N$2:N11)</f>
        <v>47</v>
      </c>
      <c r="R11" s="21"/>
    </row>
    <row r="12" spans="2:18" x14ac:dyDescent="0.25">
      <c r="B12" s="20" t="s">
        <v>239</v>
      </c>
      <c r="C12" s="19">
        <v>7</v>
      </c>
      <c r="M12" s="21">
        <v>44256</v>
      </c>
      <c r="N12">
        <f>COUNTIFS(staff[Date Joined],"&gt;="&amp;M12,staff[Date Joined],"&lt;="&amp;EOMONTH(M12,0))</f>
        <v>9</v>
      </c>
      <c r="O12">
        <f>SUM($N$2:N12)</f>
        <v>56</v>
      </c>
      <c r="R12" s="21"/>
    </row>
    <row r="13" spans="2:18" x14ac:dyDescent="0.25">
      <c r="B13" s="11" t="s">
        <v>240</v>
      </c>
      <c r="C13" s="19">
        <v>82</v>
      </c>
      <c r="M13" s="21">
        <v>44287</v>
      </c>
      <c r="N13">
        <f>COUNTIFS(staff[Date Joined],"&gt;="&amp;M13,staff[Date Joined],"&lt;="&amp;EOMONTH(M13,0))</f>
        <v>5</v>
      </c>
      <c r="O13">
        <f>SUM($N$2:N13)</f>
        <v>61</v>
      </c>
      <c r="R13" s="21"/>
    </row>
    <row r="14" spans="2:18" x14ac:dyDescent="0.25">
      <c r="B14" s="11" t="s">
        <v>241</v>
      </c>
      <c r="C14" s="19">
        <v>62</v>
      </c>
      <c r="M14" s="21">
        <v>44317</v>
      </c>
      <c r="N14">
        <f>COUNTIFS(staff[Date Joined],"&gt;="&amp;M14,staff[Date Joined],"&lt;="&amp;EOMONTH(M14,0))</f>
        <v>10</v>
      </c>
      <c r="O14">
        <f>SUM($N$2:N14)</f>
        <v>71</v>
      </c>
      <c r="R14" s="21"/>
    </row>
    <row r="15" spans="2:18" x14ac:dyDescent="0.25">
      <c r="B15" s="11" t="s">
        <v>242</v>
      </c>
      <c r="C15" s="19">
        <v>2</v>
      </c>
      <c r="M15" s="21">
        <v>44348</v>
      </c>
      <c r="N15">
        <f>COUNTIFS(staff[Date Joined],"&gt;="&amp;M15,staff[Date Joined],"&lt;="&amp;EOMONTH(M15,0))</f>
        <v>6</v>
      </c>
      <c r="O15">
        <f>SUM($N$2:N15)</f>
        <v>77</v>
      </c>
      <c r="R15" s="21"/>
    </row>
    <row r="16" spans="2:18" x14ac:dyDescent="0.25">
      <c r="B16" s="11" t="s">
        <v>222</v>
      </c>
      <c r="C16" s="19">
        <v>183</v>
      </c>
      <c r="M16" s="21">
        <v>44378</v>
      </c>
      <c r="N16">
        <f>COUNTIFS(staff[Date Joined],"&gt;="&amp;M16,staff[Date Joined],"&lt;="&amp;EOMONTH(M16,0))</f>
        <v>13</v>
      </c>
      <c r="O16">
        <f>SUM($N$2:N16)</f>
        <v>90</v>
      </c>
      <c r="R16" s="21"/>
    </row>
    <row r="17" spans="13:18" x14ac:dyDescent="0.25">
      <c r="M17" s="21">
        <v>44409</v>
      </c>
      <c r="N17">
        <f>COUNTIFS(staff[Date Joined],"&gt;="&amp;M17,staff[Date Joined],"&lt;="&amp;EOMONTH(M17,0))</f>
        <v>4</v>
      </c>
      <c r="O17">
        <f>SUM($N$2:N17)</f>
        <v>94</v>
      </c>
      <c r="R17" s="21"/>
    </row>
    <row r="18" spans="13:18" x14ac:dyDescent="0.25">
      <c r="M18" s="21">
        <v>44440</v>
      </c>
      <c r="N18">
        <f>COUNTIFS(staff[Date Joined],"&gt;="&amp;M18,staff[Date Joined],"&lt;="&amp;EOMONTH(M18,0))</f>
        <v>11</v>
      </c>
      <c r="O18">
        <f>SUM($N$2:N18)</f>
        <v>105</v>
      </c>
      <c r="R18" s="21"/>
    </row>
    <row r="19" spans="13:18" x14ac:dyDescent="0.25">
      <c r="M19" s="21">
        <v>44470</v>
      </c>
      <c r="N19">
        <f>COUNTIFS(staff[Date Joined],"&gt;="&amp;M19,staff[Date Joined],"&lt;="&amp;EOMONTH(M19,0))</f>
        <v>3</v>
      </c>
      <c r="O19">
        <f>SUM($N$2:N19)</f>
        <v>108</v>
      </c>
      <c r="R19" s="21"/>
    </row>
    <row r="20" spans="13:18" x14ac:dyDescent="0.25">
      <c r="M20" s="21">
        <v>44501</v>
      </c>
      <c r="N20">
        <f>COUNTIFS(staff[Date Joined],"&gt;="&amp;M20,staff[Date Joined],"&lt;="&amp;EOMONTH(M20,0))</f>
        <v>4</v>
      </c>
      <c r="O20">
        <f>SUM($N$2:N20)</f>
        <v>112</v>
      </c>
      <c r="R20" s="21"/>
    </row>
    <row r="21" spans="13:18" x14ac:dyDescent="0.25">
      <c r="M21" s="21">
        <v>44531</v>
      </c>
      <c r="N21">
        <f>COUNTIFS(staff[Date Joined],"&gt;="&amp;M21,staff[Date Joined],"&lt;="&amp;EOMONTH(M21,0))</f>
        <v>7</v>
      </c>
      <c r="O21">
        <f>SUM($N$2:N21)</f>
        <v>119</v>
      </c>
      <c r="R21" s="21"/>
    </row>
    <row r="22" spans="13:18" x14ac:dyDescent="0.25">
      <c r="M22" s="21">
        <v>44562</v>
      </c>
      <c r="N22">
        <f>COUNTIFS(staff[Date Joined],"&gt;="&amp;M22,staff[Date Joined],"&lt;="&amp;EOMONTH(M22,0))</f>
        <v>3</v>
      </c>
      <c r="O22">
        <f>SUM($N$2:N22)</f>
        <v>122</v>
      </c>
      <c r="R22" s="21"/>
    </row>
    <row r="23" spans="13:18" x14ac:dyDescent="0.25">
      <c r="M23" s="21">
        <v>44593</v>
      </c>
      <c r="N23">
        <f>COUNTIFS(staff[Date Joined],"&gt;="&amp;M23,staff[Date Joined],"&lt;="&amp;EOMONTH(M23,0))</f>
        <v>10</v>
      </c>
      <c r="O23">
        <f>SUM($N$2:N23)</f>
        <v>132</v>
      </c>
      <c r="R23" s="21"/>
    </row>
    <row r="24" spans="13:18" x14ac:dyDescent="0.25">
      <c r="M24" s="21">
        <v>44621</v>
      </c>
      <c r="N24">
        <f>COUNTIFS(staff[Date Joined],"&gt;="&amp;M24,staff[Date Joined],"&lt;="&amp;EOMONTH(M24,0))</f>
        <v>9</v>
      </c>
      <c r="O24">
        <f>SUM($N$2:N24)</f>
        <v>141</v>
      </c>
      <c r="R24" s="21"/>
    </row>
    <row r="25" spans="13:18" x14ac:dyDescent="0.25">
      <c r="M25" s="21">
        <v>44652</v>
      </c>
      <c r="N25">
        <f>COUNTIFS(staff[Date Joined],"&gt;="&amp;M25,staff[Date Joined],"&lt;="&amp;EOMONTH(M25,0))</f>
        <v>9</v>
      </c>
      <c r="O25">
        <f>SUM($N$2:N25)</f>
        <v>150</v>
      </c>
      <c r="R25" s="21"/>
    </row>
    <row r="26" spans="13:18" x14ac:dyDescent="0.25">
      <c r="M26" s="21">
        <v>44682</v>
      </c>
      <c r="N26">
        <f>COUNTIFS(staff[Date Joined],"&gt;="&amp;M26,staff[Date Joined],"&lt;="&amp;EOMONTH(M26,0))</f>
        <v>9</v>
      </c>
      <c r="O26">
        <f>SUM($N$2:N26)</f>
        <v>159</v>
      </c>
      <c r="R26" s="21"/>
    </row>
    <row r="27" spans="13:18" x14ac:dyDescent="0.25">
      <c r="M27" s="21">
        <v>44713</v>
      </c>
      <c r="N27">
        <f>COUNTIFS(staff[Date Joined],"&gt;="&amp;M27,staff[Date Joined],"&lt;="&amp;EOMONTH(M27,0))</f>
        <v>7</v>
      </c>
      <c r="O27">
        <f>SUM($N$2:N27)</f>
        <v>166</v>
      </c>
      <c r="R27" s="21"/>
    </row>
    <row r="28" spans="13:18" x14ac:dyDescent="0.25">
      <c r="M28" s="21">
        <v>44743</v>
      </c>
      <c r="N28">
        <f>COUNTIFS(staff[Date Joined],"&gt;="&amp;M28,staff[Date Joined],"&lt;="&amp;EOMONTH(M28,0))</f>
        <v>5</v>
      </c>
      <c r="O28">
        <f>SUM($N$2:N28)</f>
        <v>171</v>
      </c>
      <c r="R28" s="21"/>
    </row>
    <row r="29" spans="13:18" x14ac:dyDescent="0.25">
      <c r="M29" s="21">
        <v>44774</v>
      </c>
      <c r="N29">
        <f>COUNTIFS(staff[Date Joined],"&gt;="&amp;M29,staff[Date Joined],"&lt;="&amp;EOMONTH(M29,0))</f>
        <v>5</v>
      </c>
      <c r="O29">
        <f>SUM($N$2:N29)</f>
        <v>176</v>
      </c>
      <c r="R29" s="21"/>
    </row>
    <row r="30" spans="13:18" x14ac:dyDescent="0.25">
      <c r="M30" s="21">
        <v>44805</v>
      </c>
      <c r="N30">
        <f>COUNTIFS(staff[Date Joined],"&gt;="&amp;M30,staff[Date Joined],"&lt;="&amp;EOMONTH(M30,0))</f>
        <v>2</v>
      </c>
      <c r="O30">
        <f>SUM($N$2:N30)</f>
        <v>178</v>
      </c>
      <c r="R30" s="21"/>
    </row>
    <row r="31" spans="13:18" x14ac:dyDescent="0.25">
      <c r="M31" s="21">
        <v>44835</v>
      </c>
      <c r="N31">
        <f>COUNTIFS(staff[Date Joined],"&gt;="&amp;M31,staff[Date Joined],"&lt;="&amp;EOMONTH(M31,0))</f>
        <v>3</v>
      </c>
      <c r="O31">
        <f>SUM($N$2:N31)</f>
        <v>181</v>
      </c>
      <c r="R31" s="21"/>
    </row>
    <row r="32" spans="13:18" x14ac:dyDescent="0.25">
      <c r="M32" s="21">
        <v>44866</v>
      </c>
      <c r="N32">
        <f>COUNTIFS(staff[Date Joined],"&gt;="&amp;M32,staff[Date Joined],"&lt;="&amp;EOMONTH(M32,0))</f>
        <v>0</v>
      </c>
      <c r="O32">
        <f>SUM($N$2:N32)</f>
        <v>181</v>
      </c>
      <c r="R32" s="21"/>
    </row>
    <row r="33" spans="13:18" x14ac:dyDescent="0.25">
      <c r="M33" s="21">
        <v>44896</v>
      </c>
      <c r="N33">
        <f>COUNTIFS(staff[Date Joined],"&gt;="&amp;M33,staff[Date Joined],"&lt;="&amp;EOMONTH(M33,0))</f>
        <v>0</v>
      </c>
      <c r="O33">
        <f>SUM($N$2:N33)</f>
        <v>181</v>
      </c>
      <c r="R33" s="21"/>
    </row>
    <row r="34" spans="13:18" x14ac:dyDescent="0.25">
      <c r="M34" s="21">
        <v>44927</v>
      </c>
      <c r="N34">
        <f>COUNTIFS(staff[Date Joined],"&gt;="&amp;M34,staff[Date Joined],"&lt;="&amp;EOMONTH(M34,0))</f>
        <v>0</v>
      </c>
      <c r="O34">
        <f>SUM($N$2:N34)</f>
        <v>181</v>
      </c>
      <c r="R34" s="21"/>
    </row>
    <row r="35" spans="13:18" x14ac:dyDescent="0.25">
      <c r="M35" s="21">
        <v>44958</v>
      </c>
      <c r="N35">
        <f>COUNTIFS(staff[Date Joined],"&gt;="&amp;M35,staff[Date Joined],"&lt;="&amp;EOMONTH(M35,0))</f>
        <v>1</v>
      </c>
      <c r="O35">
        <f>SUM($N$2:N35)</f>
        <v>182</v>
      </c>
      <c r="R35" s="21"/>
    </row>
    <row r="36" spans="13:18" x14ac:dyDescent="0.25">
      <c r="M36" s="21">
        <v>44986</v>
      </c>
      <c r="N36">
        <f>COUNTIFS(staff[Date Joined],"&gt;="&amp;M36,staff[Date Joined],"&lt;="&amp;EOMONTH(M36,0))</f>
        <v>0</v>
      </c>
      <c r="O36">
        <f>SUM($N$2:N36)</f>
        <v>182</v>
      </c>
      <c r="R36" s="21"/>
    </row>
    <row r="37" spans="13:18" x14ac:dyDescent="0.25">
      <c r="M37" s="21">
        <v>45017</v>
      </c>
      <c r="N37">
        <f>COUNTIFS(staff[Date Joined],"&gt;="&amp;M37,staff[Date Joined],"&lt;="&amp;EOMONTH(M37,0))</f>
        <v>1</v>
      </c>
      <c r="O37">
        <f>SUM($N$2:N37)</f>
        <v>183</v>
      </c>
      <c r="R37" s="21"/>
    </row>
    <row r="38" spans="13:18" x14ac:dyDescent="0.25">
      <c r="R38" s="21"/>
    </row>
    <row r="39" spans="13:18" x14ac:dyDescent="0.25">
      <c r="R39" s="21"/>
    </row>
    <row r="40" spans="13:18" x14ac:dyDescent="0.25">
      <c r="R40" s="2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DEA4-B064-4E47-88A7-0E3E0C8C7F93}">
  <dimension ref="A2:B7"/>
  <sheetViews>
    <sheetView workbookViewId="0">
      <selection activeCell="A2" sqref="A2:B6"/>
    </sheetView>
  </sheetViews>
  <sheetFormatPr defaultRowHeight="15" x14ac:dyDescent="0.25"/>
  <cols>
    <col min="1" max="1" width="14.28515625" bestFit="1" customWidth="1"/>
    <col min="2" max="2" width="16" bestFit="1" customWidth="1"/>
    <col min="5" max="5" width="14.28515625" bestFit="1" customWidth="1"/>
    <col min="6" max="6" width="11" customWidth="1"/>
  </cols>
  <sheetData>
    <row r="2" spans="1:2" x14ac:dyDescent="0.25">
      <c r="A2" s="18" t="s">
        <v>13</v>
      </c>
      <c r="B2" s="17">
        <v>4</v>
      </c>
    </row>
    <row r="3" spans="1:2" x14ac:dyDescent="0.25">
      <c r="A3" s="11" t="s">
        <v>10</v>
      </c>
      <c r="B3">
        <v>5</v>
      </c>
    </row>
    <row r="4" spans="1:2" x14ac:dyDescent="0.25">
      <c r="A4" s="18" t="s">
        <v>16</v>
      </c>
      <c r="B4" s="17">
        <v>3</v>
      </c>
    </row>
    <row r="5" spans="1:2" x14ac:dyDescent="0.25">
      <c r="A5" s="11" t="s">
        <v>24</v>
      </c>
      <c r="B5">
        <v>2</v>
      </c>
    </row>
    <row r="6" spans="1:2" x14ac:dyDescent="0.25">
      <c r="A6" s="18" t="s">
        <v>42</v>
      </c>
      <c r="B6" s="17">
        <v>1</v>
      </c>
    </row>
    <row r="7" spans="1:2" x14ac:dyDescent="0.25">
      <c r="A7" s="1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B3596-1FB2-42E7-993C-DC5C181441C8}">
  <dimension ref="C2:M8"/>
  <sheetViews>
    <sheetView showGridLines="0" zoomScale="60" zoomScaleNormal="60" workbookViewId="0">
      <selection activeCell="O23" sqref="O23"/>
    </sheetView>
  </sheetViews>
  <sheetFormatPr defaultRowHeight="15" x14ac:dyDescent="0.25"/>
  <cols>
    <col min="3" max="3" width="22" customWidth="1"/>
    <col min="4" max="4" width="2.140625" customWidth="1"/>
    <col min="5" max="5" width="20.42578125" customWidth="1"/>
    <col min="6" max="6" width="2" customWidth="1"/>
    <col min="7" max="7" width="22.85546875" customWidth="1"/>
    <col min="8" max="8" width="5.140625" customWidth="1"/>
    <col min="9" max="9" width="19.28515625" customWidth="1"/>
    <col min="10" max="10" width="2" customWidth="1"/>
    <col min="11" max="11" width="19.28515625" customWidth="1"/>
    <col min="12" max="12" width="2.7109375" customWidth="1"/>
    <col min="13" max="13" width="21.5703125" customWidth="1"/>
  </cols>
  <sheetData>
    <row r="2" spans="3:13" x14ac:dyDescent="0.25">
      <c r="C2" s="33" t="s">
        <v>247</v>
      </c>
      <c r="D2" s="34"/>
      <c r="E2" s="34"/>
      <c r="F2" s="34"/>
      <c r="G2" s="34"/>
      <c r="I2" s="35" t="s">
        <v>248</v>
      </c>
      <c r="J2" s="36"/>
      <c r="K2" s="36"/>
      <c r="L2" s="36"/>
      <c r="M2" s="36"/>
    </row>
    <row r="3" spans="3:13" x14ac:dyDescent="0.25">
      <c r="C3" s="34"/>
      <c r="D3" s="34"/>
      <c r="E3" s="34"/>
      <c r="F3" s="34"/>
      <c r="G3" s="34"/>
      <c r="I3" s="36"/>
      <c r="J3" s="36"/>
      <c r="K3" s="36"/>
      <c r="L3" s="36"/>
      <c r="M3" s="36"/>
    </row>
    <row r="5" spans="3:13" ht="88.5" customHeight="1" x14ac:dyDescent="0.25">
      <c r="C5" s="26">
        <f>COUNTIFS(staff[Country],"NZ")</f>
        <v>91</v>
      </c>
      <c r="D5" s="23"/>
      <c r="E5" s="25">
        <f>COUNTIFS(staff[Country],"NZ",staff[Gender],"Female")/C5</f>
        <v>0.47252747252747251</v>
      </c>
      <c r="F5" s="23"/>
      <c r="G5" s="27">
        <f>AVERAGEIFS(staff[Salary],staff[Country],"NZ")</f>
        <v>76978.791208791212</v>
      </c>
      <c r="I5" s="28">
        <f>COUNTIFS(staff[Country],"IND")</f>
        <v>92</v>
      </c>
      <c r="J5" s="24">
        <f ca="1">COUNTIFS(staff[Tenure],"IND")</f>
        <v>0</v>
      </c>
      <c r="K5" s="29">
        <f>COUNTIFS(staff[Country],"IND",staff[Gender],"Female")/I5</f>
        <v>0.46739130434782611</v>
      </c>
      <c r="L5" s="24">
        <f>COUNTIFS(staff[[Rating as number ]],"IND")</f>
        <v>0</v>
      </c>
      <c r="M5" s="30">
        <f>AVERAGEIFS(staff[Salary],staff[Country],"IND")</f>
        <v>77366.521739130432</v>
      </c>
    </row>
    <row r="6" spans="3:13" x14ac:dyDescent="0.25">
      <c r="C6" s="22"/>
      <c r="D6" s="22"/>
      <c r="E6" s="22"/>
      <c r="F6" s="22"/>
      <c r="G6" s="22"/>
    </row>
    <row r="8" spans="3:13" ht="32.25" customHeight="1" x14ac:dyDescent="0.25">
      <c r="C8" s="31" t="s">
        <v>246</v>
      </c>
      <c r="D8" s="32"/>
      <c r="E8" s="32"/>
      <c r="F8" s="32"/>
      <c r="G8" s="32"/>
      <c r="H8" s="32"/>
      <c r="I8" s="32"/>
      <c r="J8" s="32"/>
      <c r="K8" s="32"/>
      <c r="L8" s="32"/>
      <c r="M8" s="32"/>
    </row>
  </sheetData>
  <mergeCells count="3">
    <mergeCell ref="C8:M8"/>
    <mergeCell ref="C2:G3"/>
    <mergeCell ref="I2:M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6EB8-2E7D-4B03-9197-28D15624484D}">
  <dimension ref="A1:F9"/>
  <sheetViews>
    <sheetView workbookViewId="0">
      <selection activeCell="H23" sqref="H23"/>
    </sheetView>
  </sheetViews>
  <sheetFormatPr defaultRowHeight="15" x14ac:dyDescent="0.25"/>
  <cols>
    <col min="1" max="1" width="13.140625" bestFit="1" customWidth="1"/>
    <col min="2" max="2" width="14.42578125" bestFit="1" customWidth="1"/>
    <col min="5" max="5" width="13.140625" bestFit="1" customWidth="1"/>
    <col min="6" max="6" width="14.42578125" bestFit="1" customWidth="1"/>
  </cols>
  <sheetData>
    <row r="1" spans="1:6" x14ac:dyDescent="0.25">
      <c r="A1" s="13" t="s">
        <v>204</v>
      </c>
      <c r="B1" t="s" vm="1">
        <v>205</v>
      </c>
      <c r="E1" s="13" t="s">
        <v>204</v>
      </c>
      <c r="F1" t="s" vm="2">
        <v>207</v>
      </c>
    </row>
    <row r="3" spans="1:6" x14ac:dyDescent="0.25">
      <c r="A3" s="13" t="s">
        <v>221</v>
      </c>
      <c r="B3" t="s">
        <v>224</v>
      </c>
      <c r="E3" s="13" t="s">
        <v>221</v>
      </c>
      <c r="F3" t="s">
        <v>224</v>
      </c>
    </row>
    <row r="4" spans="1:6" x14ac:dyDescent="0.25">
      <c r="A4" s="11" t="s">
        <v>9</v>
      </c>
      <c r="B4" s="19">
        <v>28</v>
      </c>
      <c r="E4" s="11" t="s">
        <v>12</v>
      </c>
      <c r="F4" s="19">
        <v>27</v>
      </c>
    </row>
    <row r="5" spans="1:6" x14ac:dyDescent="0.25">
      <c r="A5" s="11" t="s">
        <v>12</v>
      </c>
      <c r="B5" s="19">
        <v>27</v>
      </c>
      <c r="E5" s="11" t="s">
        <v>9</v>
      </c>
      <c r="F5" s="19">
        <v>27</v>
      </c>
    </row>
    <row r="6" spans="1:6" x14ac:dyDescent="0.25">
      <c r="A6" s="11" t="s">
        <v>21</v>
      </c>
      <c r="B6" s="19">
        <v>19</v>
      </c>
      <c r="E6" s="11" t="s">
        <v>21</v>
      </c>
      <c r="F6" s="19">
        <v>19</v>
      </c>
    </row>
    <row r="7" spans="1:6" x14ac:dyDescent="0.25">
      <c r="A7" s="11" t="s">
        <v>19</v>
      </c>
      <c r="B7" s="19">
        <v>14</v>
      </c>
      <c r="E7" s="11" t="s">
        <v>19</v>
      </c>
      <c r="F7" s="19">
        <v>14</v>
      </c>
    </row>
    <row r="8" spans="1:6" x14ac:dyDescent="0.25">
      <c r="A8" s="11" t="s">
        <v>56</v>
      </c>
      <c r="B8" s="19">
        <v>4</v>
      </c>
      <c r="E8" s="11" t="s">
        <v>56</v>
      </c>
      <c r="F8" s="19">
        <v>4</v>
      </c>
    </row>
    <row r="9" spans="1:6" x14ac:dyDescent="0.25">
      <c r="A9" s="11" t="s">
        <v>222</v>
      </c>
      <c r="B9" s="19">
        <v>92</v>
      </c>
      <c r="E9" s="11" t="s">
        <v>222</v>
      </c>
      <c r="F9" s="19">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C4352-4B9E-432B-8AF7-00D7927E1303}">
  <dimension ref="B2:D7"/>
  <sheetViews>
    <sheetView zoomScale="106" zoomScaleNormal="106" workbookViewId="0">
      <selection activeCell="F10" sqref="F10"/>
    </sheetView>
  </sheetViews>
  <sheetFormatPr defaultRowHeight="15" x14ac:dyDescent="0.25"/>
  <cols>
    <col min="2" max="2" width="19.140625" bestFit="1" customWidth="1"/>
    <col min="3" max="3" width="16.7109375" bestFit="1" customWidth="1"/>
    <col min="4" max="4" width="9.85546875" bestFit="1" customWidth="1"/>
    <col min="5" max="5" width="11.5703125" bestFit="1" customWidth="1"/>
    <col min="6" max="6" width="13" bestFit="1" customWidth="1"/>
    <col min="7" max="7" width="16.7109375" bestFit="1" customWidth="1"/>
    <col min="8" max="8" width="19.85546875" bestFit="1" customWidth="1"/>
    <col min="9" max="9" width="20.140625" bestFit="1" customWidth="1"/>
  </cols>
  <sheetData>
    <row r="2" spans="2:4" x14ac:dyDescent="0.25">
      <c r="C2" s="13" t="s">
        <v>223</v>
      </c>
    </row>
    <row r="3" spans="2:4" x14ac:dyDescent="0.25">
      <c r="B3" s="13" t="s">
        <v>226</v>
      </c>
      <c r="C3" t="s">
        <v>8</v>
      </c>
      <c r="D3" t="s">
        <v>15</v>
      </c>
    </row>
    <row r="4" spans="2:4" x14ac:dyDescent="0.25">
      <c r="B4" s="11" t="s">
        <v>224</v>
      </c>
      <c r="C4">
        <v>43</v>
      </c>
      <c r="D4">
        <v>45</v>
      </c>
    </row>
    <row r="5" spans="2:4" x14ac:dyDescent="0.25">
      <c r="B5" s="11" t="s">
        <v>228</v>
      </c>
      <c r="C5" s="15">
        <v>2.5790379101624721</v>
      </c>
      <c r="D5" s="15">
        <v>2.5620700152206997</v>
      </c>
    </row>
    <row r="6" spans="2:4" x14ac:dyDescent="0.25">
      <c r="B6" s="11" t="s">
        <v>225</v>
      </c>
      <c r="C6" s="15">
        <v>31.418604651162791</v>
      </c>
      <c r="D6" s="15">
        <v>29.444444444444443</v>
      </c>
    </row>
    <row r="7" spans="2:4" x14ac:dyDescent="0.25">
      <c r="B7" s="11" t="s">
        <v>227</v>
      </c>
      <c r="C7" s="14">
        <v>78284.186046511633</v>
      </c>
      <c r="D7" s="14">
        <v>75334.444444444438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85" workbookViewId="0">
      <selection activeCell="H106" sqref="H1:H1048576"/>
    </sheetView>
  </sheetViews>
  <sheetFormatPr defaultRowHeight="15" x14ac:dyDescent="0.25"/>
  <cols>
    <col min="1" max="1" width="6.7109375" customWidth="1"/>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3.5703125" style="6" bestFit="1" customWidth="1"/>
  </cols>
  <sheetData>
    <row r="2" spans="2:8" x14ac:dyDescent="0.25">
      <c r="B2" t="s">
        <v>0</v>
      </c>
      <c r="C2" t="s">
        <v>1</v>
      </c>
      <c r="D2" t="s">
        <v>3</v>
      </c>
      <c r="E2" t="s">
        <v>6</v>
      </c>
      <c r="F2" t="s">
        <v>4</v>
      </c>
      <c r="G2" t="s">
        <v>2</v>
      </c>
      <c r="H2" s="6" t="s">
        <v>5</v>
      </c>
    </row>
    <row r="3" spans="2:8" x14ac:dyDescent="0.25">
      <c r="B3" t="s">
        <v>156</v>
      </c>
      <c r="C3" t="s">
        <v>15</v>
      </c>
      <c r="D3">
        <v>20</v>
      </c>
      <c r="E3" t="s">
        <v>16</v>
      </c>
      <c r="F3" s="4">
        <v>44122</v>
      </c>
      <c r="G3" t="s">
        <v>12</v>
      </c>
      <c r="H3" s="6">
        <v>112650</v>
      </c>
    </row>
    <row r="4" spans="2:8" x14ac:dyDescent="0.25">
      <c r="B4" t="s">
        <v>176</v>
      </c>
      <c r="C4" t="s">
        <v>8</v>
      </c>
      <c r="D4">
        <v>32</v>
      </c>
      <c r="E4" t="s">
        <v>13</v>
      </c>
      <c r="F4" s="4">
        <v>44293</v>
      </c>
      <c r="G4" t="s">
        <v>12</v>
      </c>
      <c r="H4" s="6">
        <v>43840</v>
      </c>
    </row>
    <row r="5" spans="2:8" x14ac:dyDescent="0.25">
      <c r="B5" t="s">
        <v>143</v>
      </c>
      <c r="C5" t="s">
        <v>15</v>
      </c>
      <c r="D5">
        <v>31</v>
      </c>
      <c r="E5" t="s">
        <v>16</v>
      </c>
      <c r="F5" s="4">
        <v>44663</v>
      </c>
      <c r="G5" t="s">
        <v>9</v>
      </c>
      <c r="H5" s="6">
        <v>103550</v>
      </c>
    </row>
    <row r="6" spans="2:8" x14ac:dyDescent="0.25">
      <c r="B6" t="s">
        <v>201</v>
      </c>
      <c r="C6" t="s">
        <v>8</v>
      </c>
      <c r="D6">
        <v>32</v>
      </c>
      <c r="E6" t="s">
        <v>16</v>
      </c>
      <c r="F6" s="4">
        <v>44339</v>
      </c>
      <c r="G6" t="s">
        <v>56</v>
      </c>
      <c r="H6" s="6">
        <v>45510</v>
      </c>
    </row>
    <row r="7" spans="2:8" x14ac:dyDescent="0.25">
      <c r="B7" t="s">
        <v>142</v>
      </c>
      <c r="D7">
        <v>37</v>
      </c>
      <c r="E7" t="s">
        <v>24</v>
      </c>
      <c r="F7" s="4">
        <v>44085</v>
      </c>
      <c r="G7" t="s">
        <v>21</v>
      </c>
      <c r="H7" s="6">
        <v>115440</v>
      </c>
    </row>
    <row r="8" spans="2:8" x14ac:dyDescent="0.25">
      <c r="B8" t="s">
        <v>202</v>
      </c>
      <c r="C8" t="s">
        <v>8</v>
      </c>
      <c r="D8">
        <v>38</v>
      </c>
      <c r="E8" t="s">
        <v>13</v>
      </c>
      <c r="F8" s="4">
        <v>44268</v>
      </c>
      <c r="G8" t="s">
        <v>19</v>
      </c>
      <c r="H8" s="6">
        <v>56870</v>
      </c>
    </row>
    <row r="9" spans="2:8" x14ac:dyDescent="0.25">
      <c r="B9" t="s">
        <v>169</v>
      </c>
      <c r="C9" t="s">
        <v>8</v>
      </c>
      <c r="D9">
        <v>25</v>
      </c>
      <c r="E9" t="s">
        <v>16</v>
      </c>
      <c r="F9" s="4">
        <v>44144</v>
      </c>
      <c r="G9" t="s">
        <v>19</v>
      </c>
      <c r="H9" s="6">
        <v>92700</v>
      </c>
    </row>
    <row r="10" spans="2:8" x14ac:dyDescent="0.25">
      <c r="B10" t="s">
        <v>145</v>
      </c>
      <c r="D10">
        <v>32</v>
      </c>
      <c r="E10" t="s">
        <v>16</v>
      </c>
      <c r="F10" s="4">
        <v>44713</v>
      </c>
      <c r="G10" t="s">
        <v>12</v>
      </c>
      <c r="H10" s="6">
        <v>91310</v>
      </c>
    </row>
    <row r="11" spans="2:8" x14ac:dyDescent="0.25">
      <c r="B11" t="s">
        <v>115</v>
      </c>
      <c r="C11" t="s">
        <v>15</v>
      </c>
      <c r="D11">
        <v>33</v>
      </c>
      <c r="E11" t="s">
        <v>16</v>
      </c>
      <c r="F11" s="4">
        <v>44324</v>
      </c>
      <c r="G11" t="s">
        <v>19</v>
      </c>
      <c r="H11" s="6">
        <v>74550</v>
      </c>
    </row>
    <row r="12" spans="2:8" x14ac:dyDescent="0.25">
      <c r="B12" t="s">
        <v>128</v>
      </c>
      <c r="C12" t="s">
        <v>15</v>
      </c>
      <c r="D12">
        <v>25</v>
      </c>
      <c r="E12" t="s">
        <v>13</v>
      </c>
      <c r="F12" s="4">
        <v>44665</v>
      </c>
      <c r="G12" t="s">
        <v>9</v>
      </c>
      <c r="H12" s="6">
        <v>109190</v>
      </c>
    </row>
    <row r="13" spans="2:8" x14ac:dyDescent="0.25">
      <c r="B13" t="s">
        <v>194</v>
      </c>
      <c r="C13" t="s">
        <v>8</v>
      </c>
      <c r="D13">
        <v>40</v>
      </c>
      <c r="E13" t="s">
        <v>16</v>
      </c>
      <c r="F13" s="4">
        <v>44320</v>
      </c>
      <c r="G13" t="s">
        <v>12</v>
      </c>
      <c r="H13" s="6">
        <v>104410</v>
      </c>
    </row>
    <row r="14" spans="2:8" x14ac:dyDescent="0.25">
      <c r="B14" t="s">
        <v>177</v>
      </c>
      <c r="C14" t="s">
        <v>15</v>
      </c>
      <c r="D14">
        <v>30</v>
      </c>
      <c r="E14" t="s">
        <v>16</v>
      </c>
      <c r="F14" s="4">
        <v>44544</v>
      </c>
      <c r="G14" t="s">
        <v>21</v>
      </c>
      <c r="H14" s="6">
        <v>96800</v>
      </c>
    </row>
    <row r="15" spans="2:8" x14ac:dyDescent="0.25">
      <c r="B15" t="s">
        <v>123</v>
      </c>
      <c r="C15" t="s">
        <v>15</v>
      </c>
      <c r="D15">
        <v>28</v>
      </c>
      <c r="E15" t="s">
        <v>13</v>
      </c>
      <c r="F15" s="4">
        <v>43980</v>
      </c>
      <c r="G15" t="s">
        <v>21</v>
      </c>
      <c r="H15" s="6">
        <v>48170</v>
      </c>
    </row>
    <row r="16" spans="2:8" x14ac:dyDescent="0.25">
      <c r="B16" t="s">
        <v>140</v>
      </c>
      <c r="C16" t="s">
        <v>15</v>
      </c>
      <c r="D16">
        <v>21</v>
      </c>
      <c r="E16" t="s">
        <v>16</v>
      </c>
      <c r="F16" s="4">
        <v>44042</v>
      </c>
      <c r="G16" t="s">
        <v>9</v>
      </c>
      <c r="H16" s="6">
        <v>37920</v>
      </c>
    </row>
    <row r="17" spans="2:8" x14ac:dyDescent="0.25">
      <c r="B17" t="s">
        <v>178</v>
      </c>
      <c r="C17" t="s">
        <v>15</v>
      </c>
      <c r="D17">
        <v>34</v>
      </c>
      <c r="E17" t="s">
        <v>16</v>
      </c>
      <c r="F17" s="4">
        <v>44642</v>
      </c>
      <c r="G17" t="s">
        <v>9</v>
      </c>
      <c r="H17" s="6">
        <v>112650</v>
      </c>
    </row>
    <row r="18" spans="2:8" x14ac:dyDescent="0.25">
      <c r="B18" t="s">
        <v>165</v>
      </c>
      <c r="C18" t="s">
        <v>8</v>
      </c>
      <c r="D18">
        <v>34</v>
      </c>
      <c r="E18" t="s">
        <v>24</v>
      </c>
      <c r="F18" s="4">
        <v>44660</v>
      </c>
      <c r="G18" t="s">
        <v>19</v>
      </c>
      <c r="H18" s="6">
        <v>49630</v>
      </c>
    </row>
    <row r="19" spans="2:8" x14ac:dyDescent="0.25">
      <c r="B19" t="s">
        <v>199</v>
      </c>
      <c r="C19" t="s">
        <v>15</v>
      </c>
      <c r="D19">
        <v>36</v>
      </c>
      <c r="E19" t="s">
        <v>16</v>
      </c>
      <c r="F19" s="4">
        <v>43958</v>
      </c>
      <c r="G19" t="s">
        <v>12</v>
      </c>
      <c r="H19" s="6">
        <v>118840</v>
      </c>
    </row>
    <row r="20" spans="2:8" x14ac:dyDescent="0.25">
      <c r="B20" t="s">
        <v>159</v>
      </c>
      <c r="C20" t="s">
        <v>15</v>
      </c>
      <c r="D20">
        <v>30</v>
      </c>
      <c r="E20" t="s">
        <v>16</v>
      </c>
      <c r="F20" s="4">
        <v>44789</v>
      </c>
      <c r="G20" t="s">
        <v>12</v>
      </c>
      <c r="H20" s="6">
        <v>69710</v>
      </c>
    </row>
    <row r="21" spans="2:8" x14ac:dyDescent="0.25">
      <c r="B21" t="s">
        <v>197</v>
      </c>
      <c r="C21" t="s">
        <v>15</v>
      </c>
      <c r="D21">
        <v>20</v>
      </c>
      <c r="E21" t="s">
        <v>16</v>
      </c>
      <c r="F21" s="4">
        <v>44683</v>
      </c>
      <c r="G21" t="s">
        <v>9</v>
      </c>
      <c r="H21" s="6">
        <v>79570</v>
      </c>
    </row>
    <row r="22" spans="2:8" x14ac:dyDescent="0.25">
      <c r="B22" t="s">
        <v>154</v>
      </c>
      <c r="C22" t="s">
        <v>8</v>
      </c>
      <c r="D22">
        <v>22</v>
      </c>
      <c r="E22" t="s">
        <v>13</v>
      </c>
      <c r="F22" s="4">
        <v>44388</v>
      </c>
      <c r="G22" t="s">
        <v>9</v>
      </c>
      <c r="H22" s="6">
        <v>76900</v>
      </c>
    </row>
    <row r="23" spans="2:8" x14ac:dyDescent="0.25">
      <c r="B23" t="s">
        <v>182</v>
      </c>
      <c r="C23" t="s">
        <v>15</v>
      </c>
      <c r="D23">
        <v>27</v>
      </c>
      <c r="E23" t="s">
        <v>16</v>
      </c>
      <c r="F23" s="4">
        <v>44073</v>
      </c>
      <c r="G23" t="s">
        <v>19</v>
      </c>
      <c r="H23" s="6">
        <v>54970</v>
      </c>
    </row>
    <row r="24" spans="2:8" x14ac:dyDescent="0.25">
      <c r="B24" t="s">
        <v>118</v>
      </c>
      <c r="C24" t="s">
        <v>15</v>
      </c>
      <c r="D24">
        <v>37</v>
      </c>
      <c r="E24" t="s">
        <v>24</v>
      </c>
      <c r="F24" s="4">
        <v>44277</v>
      </c>
      <c r="G24" t="s">
        <v>12</v>
      </c>
      <c r="H24" s="6">
        <v>88050</v>
      </c>
    </row>
    <row r="25" spans="2:8" x14ac:dyDescent="0.25">
      <c r="B25" t="s">
        <v>192</v>
      </c>
      <c r="C25" t="s">
        <v>15</v>
      </c>
      <c r="D25">
        <v>43</v>
      </c>
      <c r="E25" t="s">
        <v>16</v>
      </c>
      <c r="F25" s="4">
        <v>44558</v>
      </c>
      <c r="G25" t="s">
        <v>19</v>
      </c>
      <c r="H25" s="6">
        <v>36040</v>
      </c>
    </row>
    <row r="26" spans="2:8" x14ac:dyDescent="0.25">
      <c r="B26" t="s">
        <v>111</v>
      </c>
      <c r="C26" t="s">
        <v>8</v>
      </c>
      <c r="D26">
        <v>42</v>
      </c>
      <c r="E26" t="s">
        <v>10</v>
      </c>
      <c r="F26" s="4">
        <v>44718</v>
      </c>
      <c r="G26" t="s">
        <v>9</v>
      </c>
      <c r="H26" s="6">
        <v>75000</v>
      </c>
    </row>
    <row r="27" spans="2:8" x14ac:dyDescent="0.25">
      <c r="B27" t="s">
        <v>149</v>
      </c>
      <c r="C27" t="s">
        <v>15</v>
      </c>
      <c r="D27">
        <v>35</v>
      </c>
      <c r="E27" t="s">
        <v>16</v>
      </c>
      <c r="F27" s="4">
        <v>44666</v>
      </c>
      <c r="G27" t="s">
        <v>9</v>
      </c>
      <c r="H27" s="6">
        <v>40400</v>
      </c>
    </row>
    <row r="28" spans="2:8" x14ac:dyDescent="0.25">
      <c r="B28" t="s">
        <v>196</v>
      </c>
      <c r="C28" t="s">
        <v>15</v>
      </c>
      <c r="D28">
        <v>24</v>
      </c>
      <c r="E28" t="s">
        <v>16</v>
      </c>
      <c r="F28" s="4">
        <v>44625</v>
      </c>
      <c r="G28" t="s">
        <v>12</v>
      </c>
      <c r="H28" s="6">
        <v>100420</v>
      </c>
    </row>
    <row r="29" spans="2:8" x14ac:dyDescent="0.25">
      <c r="B29" t="s">
        <v>120</v>
      </c>
      <c r="C29" t="s">
        <v>8</v>
      </c>
      <c r="D29">
        <v>31</v>
      </c>
      <c r="E29" t="s">
        <v>16</v>
      </c>
      <c r="F29" s="4">
        <v>44604</v>
      </c>
      <c r="G29" t="s">
        <v>12</v>
      </c>
      <c r="H29" s="6">
        <v>58100</v>
      </c>
    </row>
    <row r="30" spans="2:8" x14ac:dyDescent="0.25">
      <c r="B30" t="s">
        <v>114</v>
      </c>
      <c r="C30" t="s">
        <v>8</v>
      </c>
      <c r="D30">
        <v>44</v>
      </c>
      <c r="E30" t="s">
        <v>16</v>
      </c>
      <c r="F30" s="4">
        <v>44985</v>
      </c>
      <c r="G30" t="s">
        <v>12</v>
      </c>
      <c r="H30" s="6">
        <v>114870</v>
      </c>
    </row>
    <row r="31" spans="2:8" x14ac:dyDescent="0.25">
      <c r="B31" t="s">
        <v>158</v>
      </c>
      <c r="C31" t="s">
        <v>8</v>
      </c>
      <c r="D31">
        <v>32</v>
      </c>
      <c r="E31" t="s">
        <v>16</v>
      </c>
      <c r="F31" s="4">
        <v>44549</v>
      </c>
      <c r="G31" t="s">
        <v>9</v>
      </c>
      <c r="H31" s="6">
        <v>41570</v>
      </c>
    </row>
    <row r="32" spans="2:8" x14ac:dyDescent="0.25">
      <c r="B32" t="s">
        <v>173</v>
      </c>
      <c r="C32" t="s">
        <v>8</v>
      </c>
      <c r="D32">
        <v>30</v>
      </c>
      <c r="E32" t="s">
        <v>16</v>
      </c>
      <c r="F32" s="4">
        <v>44800</v>
      </c>
      <c r="G32" t="s">
        <v>9</v>
      </c>
      <c r="H32" s="6">
        <v>112570</v>
      </c>
    </row>
    <row r="33" spans="2:8" x14ac:dyDescent="0.25">
      <c r="B33" t="s">
        <v>151</v>
      </c>
      <c r="C33" t="s">
        <v>15</v>
      </c>
      <c r="D33">
        <v>26</v>
      </c>
      <c r="E33" t="s">
        <v>16</v>
      </c>
      <c r="F33" s="4">
        <v>44164</v>
      </c>
      <c r="G33" t="s">
        <v>9</v>
      </c>
      <c r="H33" s="6">
        <v>47360</v>
      </c>
    </row>
    <row r="34" spans="2:8" x14ac:dyDescent="0.25">
      <c r="B34" t="s">
        <v>126</v>
      </c>
      <c r="C34" t="s">
        <v>8</v>
      </c>
      <c r="D34">
        <v>21</v>
      </c>
      <c r="E34" t="s">
        <v>16</v>
      </c>
      <c r="F34" s="4">
        <v>44256</v>
      </c>
      <c r="G34" t="s">
        <v>21</v>
      </c>
      <c r="H34" s="6">
        <v>65920</v>
      </c>
    </row>
    <row r="35" spans="2:8" x14ac:dyDescent="0.25">
      <c r="B35" t="s">
        <v>200</v>
      </c>
      <c r="C35" t="s">
        <v>8</v>
      </c>
      <c r="D35">
        <v>28</v>
      </c>
      <c r="E35" t="s">
        <v>16</v>
      </c>
      <c r="F35" s="4">
        <v>44571</v>
      </c>
      <c r="G35" t="s">
        <v>9</v>
      </c>
      <c r="H35" s="6">
        <v>99970</v>
      </c>
    </row>
    <row r="36" spans="2:8" x14ac:dyDescent="0.25">
      <c r="B36" t="s">
        <v>133</v>
      </c>
      <c r="C36" t="s">
        <v>8</v>
      </c>
      <c r="D36">
        <v>25</v>
      </c>
      <c r="E36" t="s">
        <v>13</v>
      </c>
      <c r="F36" s="4">
        <v>44633</v>
      </c>
      <c r="G36" t="s">
        <v>12</v>
      </c>
      <c r="H36" s="6">
        <v>80700</v>
      </c>
    </row>
    <row r="37" spans="2:8" x14ac:dyDescent="0.25">
      <c r="B37" t="s">
        <v>155</v>
      </c>
      <c r="C37" t="s">
        <v>15</v>
      </c>
      <c r="D37">
        <v>24</v>
      </c>
      <c r="E37" t="s">
        <v>24</v>
      </c>
      <c r="F37" s="4">
        <v>44375</v>
      </c>
      <c r="G37" t="s">
        <v>21</v>
      </c>
      <c r="H37" s="6">
        <v>52610</v>
      </c>
    </row>
    <row r="38" spans="2:8" x14ac:dyDescent="0.25">
      <c r="B38" t="s">
        <v>180</v>
      </c>
      <c r="C38" t="s">
        <v>15</v>
      </c>
      <c r="D38">
        <v>29</v>
      </c>
      <c r="E38" t="s">
        <v>24</v>
      </c>
      <c r="F38" s="4">
        <v>44119</v>
      </c>
      <c r="G38" t="s">
        <v>12</v>
      </c>
      <c r="H38" s="6">
        <v>112110</v>
      </c>
    </row>
    <row r="39" spans="2:8" x14ac:dyDescent="0.25">
      <c r="B39" t="s">
        <v>152</v>
      </c>
      <c r="C39" t="s">
        <v>8</v>
      </c>
      <c r="D39">
        <v>27</v>
      </c>
      <c r="E39" t="s">
        <v>16</v>
      </c>
      <c r="F39" s="4">
        <v>44061</v>
      </c>
      <c r="G39" t="s">
        <v>56</v>
      </c>
      <c r="H39" s="6">
        <v>119110</v>
      </c>
    </row>
    <row r="40" spans="2:8" x14ac:dyDescent="0.25">
      <c r="B40" t="s">
        <v>150</v>
      </c>
      <c r="C40" t="s">
        <v>15</v>
      </c>
      <c r="D40">
        <v>22</v>
      </c>
      <c r="E40" t="s">
        <v>13</v>
      </c>
      <c r="F40" s="4">
        <v>44384</v>
      </c>
      <c r="G40" t="s">
        <v>19</v>
      </c>
      <c r="H40" s="6">
        <v>112780</v>
      </c>
    </row>
    <row r="41" spans="2:8" x14ac:dyDescent="0.25">
      <c r="B41" t="s">
        <v>175</v>
      </c>
      <c r="C41" t="s">
        <v>8</v>
      </c>
      <c r="D41">
        <v>36</v>
      </c>
      <c r="E41" t="s">
        <v>16</v>
      </c>
      <c r="F41" s="4">
        <v>44023</v>
      </c>
      <c r="G41" t="s">
        <v>9</v>
      </c>
      <c r="H41" s="6">
        <v>114890</v>
      </c>
    </row>
    <row r="42" spans="2:8" x14ac:dyDescent="0.25">
      <c r="B42" t="s">
        <v>146</v>
      </c>
      <c r="C42" t="s">
        <v>15</v>
      </c>
      <c r="D42">
        <v>27</v>
      </c>
      <c r="E42" t="s">
        <v>16</v>
      </c>
      <c r="F42" s="4">
        <v>44506</v>
      </c>
      <c r="G42" t="s">
        <v>21</v>
      </c>
      <c r="H42" s="6">
        <v>48980</v>
      </c>
    </row>
    <row r="43" spans="2:8" x14ac:dyDescent="0.25">
      <c r="B43" t="s">
        <v>170</v>
      </c>
      <c r="C43" t="s">
        <v>15</v>
      </c>
      <c r="D43">
        <v>21</v>
      </c>
      <c r="E43" t="s">
        <v>16</v>
      </c>
      <c r="F43" s="4">
        <v>44180</v>
      </c>
      <c r="G43" t="s">
        <v>56</v>
      </c>
      <c r="H43" s="6">
        <v>75880</v>
      </c>
    </row>
    <row r="44" spans="2:8" x14ac:dyDescent="0.25">
      <c r="B44" t="s">
        <v>167</v>
      </c>
      <c r="C44" t="s">
        <v>8</v>
      </c>
      <c r="D44">
        <v>28</v>
      </c>
      <c r="E44" t="s">
        <v>16</v>
      </c>
      <c r="F44" s="4">
        <v>44296</v>
      </c>
      <c r="G44" t="s">
        <v>19</v>
      </c>
      <c r="H44" s="6">
        <v>53240</v>
      </c>
    </row>
    <row r="45" spans="2:8" x14ac:dyDescent="0.25">
      <c r="B45" t="s">
        <v>122</v>
      </c>
      <c r="C45" t="s">
        <v>8</v>
      </c>
      <c r="D45">
        <v>34</v>
      </c>
      <c r="E45" t="s">
        <v>16</v>
      </c>
      <c r="F45" s="4">
        <v>44397</v>
      </c>
      <c r="G45" t="s">
        <v>21</v>
      </c>
      <c r="H45" s="6">
        <v>85000</v>
      </c>
    </row>
    <row r="46" spans="2:8" x14ac:dyDescent="0.25">
      <c r="B46" t="s">
        <v>179</v>
      </c>
      <c r="C46" t="s">
        <v>8</v>
      </c>
      <c r="D46">
        <v>21</v>
      </c>
      <c r="E46" t="s">
        <v>16</v>
      </c>
      <c r="F46" s="4">
        <v>44619</v>
      </c>
      <c r="G46" t="s">
        <v>12</v>
      </c>
      <c r="H46" s="6">
        <v>33920</v>
      </c>
    </row>
    <row r="47" spans="2:8" x14ac:dyDescent="0.25">
      <c r="B47" t="s">
        <v>188</v>
      </c>
      <c r="C47" t="s">
        <v>8</v>
      </c>
      <c r="D47">
        <v>33</v>
      </c>
      <c r="E47" t="s">
        <v>16</v>
      </c>
      <c r="F47" s="4">
        <v>44253</v>
      </c>
      <c r="G47" t="s">
        <v>12</v>
      </c>
      <c r="H47" s="6">
        <v>75280</v>
      </c>
    </row>
    <row r="48" spans="2:8" x14ac:dyDescent="0.25">
      <c r="B48" t="s">
        <v>130</v>
      </c>
      <c r="C48" t="s">
        <v>8</v>
      </c>
      <c r="D48">
        <v>34</v>
      </c>
      <c r="E48" t="s">
        <v>16</v>
      </c>
      <c r="F48" s="4">
        <v>44594</v>
      </c>
      <c r="G48" t="s">
        <v>21</v>
      </c>
      <c r="H48" s="6">
        <v>58940</v>
      </c>
    </row>
    <row r="49" spans="2:8" x14ac:dyDescent="0.25">
      <c r="B49" t="s">
        <v>136</v>
      </c>
      <c r="C49" t="s">
        <v>8</v>
      </c>
      <c r="D49">
        <v>28</v>
      </c>
      <c r="E49" t="s">
        <v>16</v>
      </c>
      <c r="F49" s="4">
        <v>44425</v>
      </c>
      <c r="G49" t="s">
        <v>9</v>
      </c>
      <c r="H49" s="6">
        <v>104770</v>
      </c>
    </row>
    <row r="50" spans="2:8" x14ac:dyDescent="0.25">
      <c r="B50" t="s">
        <v>125</v>
      </c>
      <c r="C50" t="s">
        <v>15</v>
      </c>
      <c r="D50">
        <v>21</v>
      </c>
      <c r="E50" t="s">
        <v>16</v>
      </c>
      <c r="F50" s="4">
        <v>44701</v>
      </c>
      <c r="G50" t="s">
        <v>9</v>
      </c>
      <c r="H50" s="6">
        <v>57090</v>
      </c>
    </row>
    <row r="51" spans="2:8" x14ac:dyDescent="0.25">
      <c r="B51" t="s">
        <v>160</v>
      </c>
      <c r="C51" t="s">
        <v>15</v>
      </c>
      <c r="D51">
        <v>27</v>
      </c>
      <c r="E51" t="s">
        <v>13</v>
      </c>
      <c r="F51" s="4">
        <v>44174</v>
      </c>
      <c r="G51" t="s">
        <v>21</v>
      </c>
      <c r="H51" s="6">
        <v>91650</v>
      </c>
    </row>
    <row r="52" spans="2:8" x14ac:dyDescent="0.25">
      <c r="B52" t="s">
        <v>183</v>
      </c>
      <c r="C52" t="s">
        <v>15</v>
      </c>
      <c r="D52">
        <v>42</v>
      </c>
      <c r="E52" t="s">
        <v>24</v>
      </c>
      <c r="F52" s="4">
        <v>44670</v>
      </c>
      <c r="G52" t="s">
        <v>21</v>
      </c>
      <c r="H52" s="6">
        <v>70270</v>
      </c>
    </row>
    <row r="53" spans="2:8" x14ac:dyDescent="0.25">
      <c r="B53" t="s">
        <v>129</v>
      </c>
      <c r="C53" t="s">
        <v>8</v>
      </c>
      <c r="D53">
        <v>28</v>
      </c>
      <c r="E53" t="s">
        <v>16</v>
      </c>
      <c r="F53" s="4">
        <v>44124</v>
      </c>
      <c r="G53" t="s">
        <v>21</v>
      </c>
      <c r="H53" s="6">
        <v>75970</v>
      </c>
    </row>
    <row r="54" spans="2:8" x14ac:dyDescent="0.25">
      <c r="B54" t="s">
        <v>112</v>
      </c>
      <c r="D54">
        <v>27</v>
      </c>
      <c r="E54" t="s">
        <v>13</v>
      </c>
      <c r="F54" s="4">
        <v>44212</v>
      </c>
      <c r="G54" t="s">
        <v>12</v>
      </c>
      <c r="H54" s="6">
        <v>90700</v>
      </c>
    </row>
    <row r="55" spans="2:8" x14ac:dyDescent="0.25">
      <c r="B55" t="s">
        <v>131</v>
      </c>
      <c r="C55" t="s">
        <v>15</v>
      </c>
      <c r="D55">
        <v>30</v>
      </c>
      <c r="E55" t="s">
        <v>16</v>
      </c>
      <c r="F55" s="4">
        <v>44607</v>
      </c>
      <c r="G55" t="s">
        <v>9</v>
      </c>
      <c r="H55" s="6">
        <v>60570</v>
      </c>
    </row>
    <row r="56" spans="2:8" x14ac:dyDescent="0.25">
      <c r="B56" t="s">
        <v>134</v>
      </c>
      <c r="C56" t="s">
        <v>15</v>
      </c>
      <c r="D56">
        <v>33</v>
      </c>
      <c r="E56" t="s">
        <v>16</v>
      </c>
      <c r="F56" s="4">
        <v>44103</v>
      </c>
      <c r="G56" t="s">
        <v>9</v>
      </c>
      <c r="H56" s="6">
        <v>115920</v>
      </c>
    </row>
    <row r="57" spans="2:8" x14ac:dyDescent="0.25">
      <c r="B57" t="s">
        <v>186</v>
      </c>
      <c r="C57" t="s">
        <v>8</v>
      </c>
      <c r="D57">
        <v>33</v>
      </c>
      <c r="E57" t="s">
        <v>16</v>
      </c>
      <c r="F57" s="4">
        <v>44006</v>
      </c>
      <c r="G57" t="s">
        <v>21</v>
      </c>
      <c r="H57" s="6">
        <v>65360</v>
      </c>
    </row>
    <row r="58" spans="2:8" x14ac:dyDescent="0.25">
      <c r="B58" t="s">
        <v>116</v>
      </c>
      <c r="D58">
        <v>30</v>
      </c>
      <c r="E58" t="s">
        <v>16</v>
      </c>
      <c r="F58" s="4">
        <v>44535</v>
      </c>
      <c r="G58" t="s">
        <v>21</v>
      </c>
      <c r="H58" s="6">
        <v>64000</v>
      </c>
    </row>
    <row r="59" spans="2:8" x14ac:dyDescent="0.25">
      <c r="B59" t="s">
        <v>195</v>
      </c>
      <c r="C59" t="s">
        <v>8</v>
      </c>
      <c r="D59">
        <v>34</v>
      </c>
      <c r="E59" t="s">
        <v>16</v>
      </c>
      <c r="F59" s="4">
        <v>44383</v>
      </c>
      <c r="G59" t="s">
        <v>21</v>
      </c>
      <c r="H59" s="6">
        <v>92450</v>
      </c>
    </row>
    <row r="60" spans="2:8" x14ac:dyDescent="0.25">
      <c r="B60" t="s">
        <v>113</v>
      </c>
      <c r="C60" t="s">
        <v>15</v>
      </c>
      <c r="D60">
        <v>31</v>
      </c>
      <c r="E60" t="s">
        <v>16</v>
      </c>
      <c r="F60" s="4">
        <v>44450</v>
      </c>
      <c r="G60" t="s">
        <v>12</v>
      </c>
      <c r="H60" s="6">
        <v>48950</v>
      </c>
    </row>
    <row r="61" spans="2:8" x14ac:dyDescent="0.25">
      <c r="B61" t="s">
        <v>185</v>
      </c>
      <c r="C61" t="s">
        <v>8</v>
      </c>
      <c r="D61">
        <v>27</v>
      </c>
      <c r="E61" t="s">
        <v>16</v>
      </c>
      <c r="F61" s="4">
        <v>44625</v>
      </c>
      <c r="G61" t="s">
        <v>12</v>
      </c>
      <c r="H61" s="6">
        <v>83750</v>
      </c>
    </row>
    <row r="62" spans="2:8" x14ac:dyDescent="0.25">
      <c r="B62" t="s">
        <v>166</v>
      </c>
      <c r="C62" t="s">
        <v>8</v>
      </c>
      <c r="D62">
        <v>40</v>
      </c>
      <c r="E62" t="s">
        <v>16</v>
      </c>
      <c r="F62" s="4">
        <v>44276</v>
      </c>
      <c r="G62" t="s">
        <v>12</v>
      </c>
      <c r="H62" s="6">
        <v>87620</v>
      </c>
    </row>
    <row r="63" spans="2:8" x14ac:dyDescent="0.25">
      <c r="B63" t="s">
        <v>184</v>
      </c>
      <c r="C63" t="s">
        <v>8</v>
      </c>
      <c r="D63">
        <v>20</v>
      </c>
      <c r="E63" t="s">
        <v>24</v>
      </c>
      <c r="F63" s="4">
        <v>44476</v>
      </c>
      <c r="G63" t="s">
        <v>19</v>
      </c>
      <c r="H63" s="6">
        <v>68900</v>
      </c>
    </row>
    <row r="64" spans="2:8" x14ac:dyDescent="0.25">
      <c r="B64" t="s">
        <v>157</v>
      </c>
      <c r="C64" t="s">
        <v>15</v>
      </c>
      <c r="D64">
        <v>32</v>
      </c>
      <c r="E64" t="s">
        <v>16</v>
      </c>
      <c r="F64" s="4">
        <v>44403</v>
      </c>
      <c r="G64" t="s">
        <v>19</v>
      </c>
      <c r="H64" s="6">
        <v>53540</v>
      </c>
    </row>
    <row r="65" spans="2:8" x14ac:dyDescent="0.25">
      <c r="B65" t="s">
        <v>172</v>
      </c>
      <c r="C65" t="s">
        <v>15</v>
      </c>
      <c r="D65">
        <v>28</v>
      </c>
      <c r="E65" t="s">
        <v>42</v>
      </c>
      <c r="F65" s="4">
        <v>44758</v>
      </c>
      <c r="G65" t="s">
        <v>19</v>
      </c>
      <c r="H65" s="6">
        <v>43510</v>
      </c>
    </row>
    <row r="66" spans="2:8" x14ac:dyDescent="0.25">
      <c r="B66" t="s">
        <v>127</v>
      </c>
      <c r="C66" t="s">
        <v>8</v>
      </c>
      <c r="D66">
        <v>38</v>
      </c>
      <c r="E66" t="s">
        <v>10</v>
      </c>
      <c r="F66" s="4">
        <v>44316</v>
      </c>
      <c r="G66" t="s">
        <v>19</v>
      </c>
      <c r="H66" s="6">
        <v>109160</v>
      </c>
    </row>
    <row r="67" spans="2:8" x14ac:dyDescent="0.25">
      <c r="B67" t="s">
        <v>198</v>
      </c>
      <c r="C67" t="s">
        <v>15</v>
      </c>
      <c r="D67">
        <v>40</v>
      </c>
      <c r="E67" t="s">
        <v>16</v>
      </c>
      <c r="F67" s="4">
        <v>44204</v>
      </c>
      <c r="G67" t="s">
        <v>9</v>
      </c>
      <c r="H67" s="6">
        <v>99750</v>
      </c>
    </row>
    <row r="68" spans="2:8" x14ac:dyDescent="0.25">
      <c r="B68" t="s">
        <v>124</v>
      </c>
      <c r="C68" t="s">
        <v>8</v>
      </c>
      <c r="D68">
        <v>31</v>
      </c>
      <c r="E68" t="s">
        <v>16</v>
      </c>
      <c r="F68" s="4">
        <v>44084</v>
      </c>
      <c r="G68" t="s">
        <v>12</v>
      </c>
      <c r="H68" s="6">
        <v>41980</v>
      </c>
    </row>
    <row r="69" spans="2:8" x14ac:dyDescent="0.25">
      <c r="B69" t="s">
        <v>187</v>
      </c>
      <c r="C69" t="s">
        <v>15</v>
      </c>
      <c r="D69">
        <v>36</v>
      </c>
      <c r="E69" t="s">
        <v>16</v>
      </c>
      <c r="F69" s="4">
        <v>44272</v>
      </c>
      <c r="G69" t="s">
        <v>21</v>
      </c>
      <c r="H69" s="6">
        <v>71380</v>
      </c>
    </row>
    <row r="70" spans="2:8" x14ac:dyDescent="0.25">
      <c r="B70" t="s">
        <v>191</v>
      </c>
      <c r="C70" t="s">
        <v>15</v>
      </c>
      <c r="D70">
        <v>27</v>
      </c>
      <c r="E70" t="s">
        <v>42</v>
      </c>
      <c r="F70" s="4">
        <v>44547</v>
      </c>
      <c r="G70" t="s">
        <v>9</v>
      </c>
      <c r="H70" s="6">
        <v>113280</v>
      </c>
    </row>
    <row r="71" spans="2:8" x14ac:dyDescent="0.25">
      <c r="B71" t="s">
        <v>181</v>
      </c>
      <c r="C71" t="s">
        <v>8</v>
      </c>
      <c r="D71">
        <v>33</v>
      </c>
      <c r="E71" t="s">
        <v>16</v>
      </c>
      <c r="F71" s="4">
        <v>44747</v>
      </c>
      <c r="G71" t="s">
        <v>21</v>
      </c>
      <c r="H71" s="6">
        <v>86570</v>
      </c>
    </row>
    <row r="72" spans="2:8" x14ac:dyDescent="0.25">
      <c r="B72" t="s">
        <v>139</v>
      </c>
      <c r="C72" t="s">
        <v>15</v>
      </c>
      <c r="D72">
        <v>26</v>
      </c>
      <c r="E72" t="s">
        <v>16</v>
      </c>
      <c r="F72" s="4">
        <v>44350</v>
      </c>
      <c r="G72" t="s">
        <v>9</v>
      </c>
      <c r="H72" s="6">
        <v>53540</v>
      </c>
    </row>
    <row r="73" spans="2:8" x14ac:dyDescent="0.25">
      <c r="B73" t="s">
        <v>190</v>
      </c>
      <c r="C73" t="s">
        <v>15</v>
      </c>
      <c r="D73">
        <v>37</v>
      </c>
      <c r="E73" t="s">
        <v>16</v>
      </c>
      <c r="F73" s="4">
        <v>44640</v>
      </c>
      <c r="G73" t="s">
        <v>12</v>
      </c>
      <c r="H73" s="6">
        <v>69070</v>
      </c>
    </row>
    <row r="74" spans="2:8" x14ac:dyDescent="0.25">
      <c r="B74" t="s">
        <v>121</v>
      </c>
      <c r="C74" t="s">
        <v>8</v>
      </c>
      <c r="D74">
        <v>30</v>
      </c>
      <c r="E74" t="s">
        <v>24</v>
      </c>
      <c r="F74" s="4">
        <v>44328</v>
      </c>
      <c r="G74" t="s">
        <v>21</v>
      </c>
      <c r="H74" s="6">
        <v>67910</v>
      </c>
    </row>
    <row r="75" spans="2:8" x14ac:dyDescent="0.25">
      <c r="B75" t="s">
        <v>119</v>
      </c>
      <c r="C75" t="s">
        <v>15</v>
      </c>
      <c r="D75">
        <v>30</v>
      </c>
      <c r="E75" t="s">
        <v>16</v>
      </c>
      <c r="F75" s="4">
        <v>44214</v>
      </c>
      <c r="G75" t="s">
        <v>12</v>
      </c>
      <c r="H75" s="6">
        <v>69120</v>
      </c>
    </row>
    <row r="76" spans="2:8" x14ac:dyDescent="0.25">
      <c r="B76" t="s">
        <v>132</v>
      </c>
      <c r="C76" t="s">
        <v>8</v>
      </c>
      <c r="D76">
        <v>34</v>
      </c>
      <c r="E76" t="s">
        <v>16</v>
      </c>
      <c r="F76" s="4">
        <v>44550</v>
      </c>
      <c r="G76" t="s">
        <v>21</v>
      </c>
      <c r="H76" s="6">
        <v>60130</v>
      </c>
    </row>
    <row r="77" spans="2:8" x14ac:dyDescent="0.25">
      <c r="B77" t="s">
        <v>161</v>
      </c>
      <c r="C77" t="s">
        <v>15</v>
      </c>
      <c r="D77">
        <v>23</v>
      </c>
      <c r="E77" t="s">
        <v>16</v>
      </c>
      <c r="F77" s="4">
        <v>44378</v>
      </c>
      <c r="G77" t="s">
        <v>9</v>
      </c>
      <c r="H77" s="6">
        <v>106460</v>
      </c>
    </row>
    <row r="78" spans="2:8" x14ac:dyDescent="0.25">
      <c r="B78" t="s">
        <v>148</v>
      </c>
      <c r="C78" t="s">
        <v>8</v>
      </c>
      <c r="D78">
        <v>37</v>
      </c>
      <c r="E78" t="s">
        <v>16</v>
      </c>
      <c r="F78" s="4">
        <v>44389</v>
      </c>
      <c r="G78" t="s">
        <v>56</v>
      </c>
      <c r="H78" s="6">
        <v>118100</v>
      </c>
    </row>
    <row r="79" spans="2:8" x14ac:dyDescent="0.25">
      <c r="B79" t="s">
        <v>164</v>
      </c>
      <c r="C79" t="s">
        <v>8</v>
      </c>
      <c r="D79">
        <v>36</v>
      </c>
      <c r="E79" t="s">
        <v>16</v>
      </c>
      <c r="F79" s="4">
        <v>44468</v>
      </c>
      <c r="G79" t="s">
        <v>9</v>
      </c>
      <c r="H79" s="6">
        <v>78390</v>
      </c>
    </row>
    <row r="80" spans="2:8" x14ac:dyDescent="0.25">
      <c r="B80" t="s">
        <v>147</v>
      </c>
      <c r="C80" t="s">
        <v>8</v>
      </c>
      <c r="D80">
        <v>30</v>
      </c>
      <c r="E80" t="s">
        <v>16</v>
      </c>
      <c r="F80" s="4">
        <v>44789</v>
      </c>
      <c r="G80" t="s">
        <v>9</v>
      </c>
      <c r="H80" s="6">
        <v>114180</v>
      </c>
    </row>
    <row r="81" spans="2:8" x14ac:dyDescent="0.25">
      <c r="B81" t="s">
        <v>189</v>
      </c>
      <c r="C81" t="s">
        <v>8</v>
      </c>
      <c r="D81">
        <v>28</v>
      </c>
      <c r="E81" t="s">
        <v>16</v>
      </c>
      <c r="F81" s="4">
        <v>44590</v>
      </c>
      <c r="G81" t="s">
        <v>9</v>
      </c>
      <c r="H81" s="6">
        <v>104120</v>
      </c>
    </row>
    <row r="82" spans="2:8" x14ac:dyDescent="0.25">
      <c r="B82" t="s">
        <v>138</v>
      </c>
      <c r="C82" t="s">
        <v>15</v>
      </c>
      <c r="D82">
        <v>30</v>
      </c>
      <c r="E82" t="s">
        <v>16</v>
      </c>
      <c r="F82" s="4">
        <v>44640</v>
      </c>
      <c r="G82" t="s">
        <v>9</v>
      </c>
      <c r="H82" s="6">
        <v>67950</v>
      </c>
    </row>
    <row r="83" spans="2:8" x14ac:dyDescent="0.25">
      <c r="B83" t="s">
        <v>137</v>
      </c>
      <c r="C83" t="s">
        <v>8</v>
      </c>
      <c r="D83">
        <v>29</v>
      </c>
      <c r="E83" t="s">
        <v>16</v>
      </c>
      <c r="F83" s="4">
        <v>43962</v>
      </c>
      <c r="G83" t="s">
        <v>12</v>
      </c>
      <c r="H83" s="6">
        <v>34980</v>
      </c>
    </row>
    <row r="84" spans="2:8" x14ac:dyDescent="0.25">
      <c r="B84" t="s">
        <v>153</v>
      </c>
      <c r="C84" t="s">
        <v>8</v>
      </c>
      <c r="D84">
        <v>24</v>
      </c>
      <c r="E84" t="s">
        <v>16</v>
      </c>
      <c r="F84" s="4">
        <v>44087</v>
      </c>
      <c r="G84" t="s">
        <v>12</v>
      </c>
      <c r="H84" s="6">
        <v>62780</v>
      </c>
    </row>
    <row r="85" spans="2:8" x14ac:dyDescent="0.25">
      <c r="B85" t="s">
        <v>117</v>
      </c>
      <c r="C85" t="s">
        <v>15</v>
      </c>
      <c r="D85">
        <v>20</v>
      </c>
      <c r="E85" t="s">
        <v>16</v>
      </c>
      <c r="F85" s="4">
        <v>44397</v>
      </c>
      <c r="G85" t="s">
        <v>12</v>
      </c>
      <c r="H85" s="6">
        <v>107700</v>
      </c>
    </row>
    <row r="86" spans="2:8" x14ac:dyDescent="0.25">
      <c r="B86" t="s">
        <v>168</v>
      </c>
      <c r="C86" t="s">
        <v>15</v>
      </c>
      <c r="D86">
        <v>25</v>
      </c>
      <c r="E86" t="s">
        <v>16</v>
      </c>
      <c r="F86" s="4">
        <v>44322</v>
      </c>
      <c r="G86" t="s">
        <v>19</v>
      </c>
      <c r="H86" s="6">
        <v>65700</v>
      </c>
    </row>
    <row r="87" spans="2:8" x14ac:dyDescent="0.25">
      <c r="B87" t="s">
        <v>135</v>
      </c>
      <c r="C87" t="s">
        <v>8</v>
      </c>
      <c r="D87">
        <v>33</v>
      </c>
      <c r="E87" t="s">
        <v>42</v>
      </c>
      <c r="F87" s="4">
        <v>44313</v>
      </c>
      <c r="G87" t="s">
        <v>12</v>
      </c>
      <c r="H87" s="6">
        <v>75480</v>
      </c>
    </row>
    <row r="88" spans="2:8" x14ac:dyDescent="0.25">
      <c r="B88" t="s">
        <v>174</v>
      </c>
      <c r="C88" t="s">
        <v>15</v>
      </c>
      <c r="D88">
        <v>33</v>
      </c>
      <c r="E88" t="s">
        <v>16</v>
      </c>
      <c r="F88" s="4">
        <v>44448</v>
      </c>
      <c r="G88" t="s">
        <v>12</v>
      </c>
      <c r="H88" s="6">
        <v>53870</v>
      </c>
    </row>
    <row r="89" spans="2:8" x14ac:dyDescent="0.25">
      <c r="B89" t="s">
        <v>141</v>
      </c>
      <c r="C89" t="s">
        <v>8</v>
      </c>
      <c r="D89">
        <v>36</v>
      </c>
      <c r="E89" t="s">
        <v>16</v>
      </c>
      <c r="F89" s="4">
        <v>44433</v>
      </c>
      <c r="G89" t="s">
        <v>19</v>
      </c>
      <c r="H89" s="6">
        <v>78540</v>
      </c>
    </row>
    <row r="90" spans="2:8" x14ac:dyDescent="0.25">
      <c r="B90" t="s">
        <v>193</v>
      </c>
      <c r="C90" t="s">
        <v>15</v>
      </c>
      <c r="D90">
        <v>19</v>
      </c>
      <c r="E90" t="s">
        <v>16</v>
      </c>
      <c r="F90" s="4">
        <v>44218</v>
      </c>
      <c r="G90" t="s">
        <v>9</v>
      </c>
      <c r="H90" s="6">
        <v>58960</v>
      </c>
    </row>
    <row r="91" spans="2:8" x14ac:dyDescent="0.25">
      <c r="B91" t="s">
        <v>162</v>
      </c>
      <c r="C91" t="s">
        <v>15</v>
      </c>
      <c r="D91">
        <v>46</v>
      </c>
      <c r="E91" t="s">
        <v>16</v>
      </c>
      <c r="F91" s="4">
        <v>44697</v>
      </c>
      <c r="G91" t="s">
        <v>9</v>
      </c>
      <c r="H91" s="6">
        <v>70610</v>
      </c>
    </row>
    <row r="92" spans="2:8" x14ac:dyDescent="0.25">
      <c r="B92" t="s">
        <v>171</v>
      </c>
      <c r="C92" t="s">
        <v>15</v>
      </c>
      <c r="D92">
        <v>33</v>
      </c>
      <c r="E92" t="s">
        <v>16</v>
      </c>
      <c r="F92" s="4">
        <v>44181</v>
      </c>
      <c r="G92" t="s">
        <v>21</v>
      </c>
      <c r="H92" s="6">
        <v>59430</v>
      </c>
    </row>
    <row r="93" spans="2:8" x14ac:dyDescent="0.25">
      <c r="B93" t="s">
        <v>144</v>
      </c>
      <c r="C93" t="s">
        <v>15</v>
      </c>
      <c r="D93">
        <v>33</v>
      </c>
      <c r="E93" t="s">
        <v>13</v>
      </c>
      <c r="F93" s="4">
        <v>44640</v>
      </c>
      <c r="G93" t="s">
        <v>9</v>
      </c>
      <c r="H93" s="6">
        <v>48530</v>
      </c>
    </row>
    <row r="94" spans="2:8" x14ac:dyDescent="0.25">
      <c r="B94" t="s">
        <v>163</v>
      </c>
      <c r="C94" t="s">
        <v>8</v>
      </c>
      <c r="D94">
        <v>33</v>
      </c>
      <c r="E94" t="s">
        <v>16</v>
      </c>
      <c r="F94" s="4">
        <v>44129</v>
      </c>
      <c r="G94" t="s">
        <v>12</v>
      </c>
      <c r="H94" s="6">
        <v>96140</v>
      </c>
    </row>
    <row r="95" spans="2:8" x14ac:dyDescent="0.25">
      <c r="B95" t="s">
        <v>156</v>
      </c>
      <c r="C95" t="s">
        <v>15</v>
      </c>
      <c r="D95">
        <v>20</v>
      </c>
      <c r="E95" t="s">
        <v>16</v>
      </c>
      <c r="F95" s="4">
        <v>44122</v>
      </c>
      <c r="G95" t="s">
        <v>12</v>
      </c>
      <c r="H95" s="6">
        <v>112650</v>
      </c>
    </row>
    <row r="96" spans="2:8" x14ac:dyDescent="0.25">
      <c r="B96" t="s">
        <v>176</v>
      </c>
      <c r="C96" t="s">
        <v>8</v>
      </c>
      <c r="D96">
        <v>32</v>
      </c>
      <c r="E96" t="s">
        <v>13</v>
      </c>
      <c r="F96" s="4">
        <v>44293</v>
      </c>
      <c r="G96" t="s">
        <v>12</v>
      </c>
      <c r="H96" s="6">
        <v>43840</v>
      </c>
    </row>
    <row r="97" spans="2:8" x14ac:dyDescent="0.25">
      <c r="B97" t="s">
        <v>143</v>
      </c>
      <c r="C97" t="s">
        <v>15</v>
      </c>
      <c r="D97">
        <v>31</v>
      </c>
      <c r="E97" t="s">
        <v>16</v>
      </c>
      <c r="F97" s="4">
        <v>44663</v>
      </c>
      <c r="G97" t="s">
        <v>9</v>
      </c>
      <c r="H97" s="6">
        <v>103550</v>
      </c>
    </row>
    <row r="98" spans="2:8" x14ac:dyDescent="0.25">
      <c r="B98" t="s">
        <v>201</v>
      </c>
      <c r="C98" t="s">
        <v>8</v>
      </c>
      <c r="D98">
        <v>32</v>
      </c>
      <c r="E98" t="s">
        <v>16</v>
      </c>
      <c r="F98" s="4">
        <v>44339</v>
      </c>
      <c r="G98" t="s">
        <v>56</v>
      </c>
      <c r="H98" s="6">
        <v>45510</v>
      </c>
    </row>
    <row r="99" spans="2:8" x14ac:dyDescent="0.25">
      <c r="B99" t="s">
        <v>142</v>
      </c>
      <c r="D99">
        <v>37</v>
      </c>
      <c r="E99" t="s">
        <v>24</v>
      </c>
      <c r="F99" s="4">
        <v>44085</v>
      </c>
      <c r="G99" t="s">
        <v>21</v>
      </c>
      <c r="H99" s="6">
        <v>115440</v>
      </c>
    </row>
    <row r="100" spans="2:8" x14ac:dyDescent="0.25">
      <c r="B100" t="s">
        <v>202</v>
      </c>
      <c r="C100" t="s">
        <v>8</v>
      </c>
      <c r="D100">
        <v>38</v>
      </c>
      <c r="E100" t="s">
        <v>13</v>
      </c>
      <c r="F100" s="4">
        <v>44268</v>
      </c>
      <c r="G100" t="s">
        <v>19</v>
      </c>
      <c r="H100" s="6">
        <v>56870</v>
      </c>
    </row>
    <row r="101" spans="2:8" x14ac:dyDescent="0.25">
      <c r="B101" t="s">
        <v>169</v>
      </c>
      <c r="C101" t="s">
        <v>8</v>
      </c>
      <c r="D101">
        <v>25</v>
      </c>
      <c r="E101" t="s">
        <v>16</v>
      </c>
      <c r="F101" s="4">
        <v>44144</v>
      </c>
      <c r="G101" t="s">
        <v>19</v>
      </c>
      <c r="H101" s="6">
        <v>92700</v>
      </c>
    </row>
    <row r="102" spans="2:8" x14ac:dyDescent="0.25">
      <c r="B102" t="s">
        <v>145</v>
      </c>
      <c r="D102">
        <v>32</v>
      </c>
      <c r="E102" t="s">
        <v>16</v>
      </c>
      <c r="F102" s="4">
        <v>44713</v>
      </c>
      <c r="G102" t="s">
        <v>12</v>
      </c>
      <c r="H102" s="6">
        <v>91310</v>
      </c>
    </row>
    <row r="103" spans="2:8" x14ac:dyDescent="0.25">
      <c r="B103" t="s">
        <v>115</v>
      </c>
      <c r="C103" t="s">
        <v>15</v>
      </c>
      <c r="D103">
        <v>33</v>
      </c>
      <c r="E103" t="s">
        <v>16</v>
      </c>
      <c r="F103" s="4">
        <v>44324</v>
      </c>
      <c r="G103" t="s">
        <v>19</v>
      </c>
      <c r="H103" s="6">
        <v>74550</v>
      </c>
    </row>
    <row r="104" spans="2:8" x14ac:dyDescent="0.25">
      <c r="B104" t="s">
        <v>128</v>
      </c>
      <c r="C104" t="s">
        <v>15</v>
      </c>
      <c r="D104">
        <v>25</v>
      </c>
      <c r="E104" t="s">
        <v>13</v>
      </c>
      <c r="F104" s="4">
        <v>44665</v>
      </c>
      <c r="G104" t="s">
        <v>9</v>
      </c>
      <c r="H104" s="6">
        <v>109190</v>
      </c>
    </row>
    <row r="105" spans="2:8" x14ac:dyDescent="0.25">
      <c r="B105" t="s">
        <v>194</v>
      </c>
      <c r="C105" t="s">
        <v>8</v>
      </c>
      <c r="D105">
        <v>40</v>
      </c>
      <c r="E105" t="s">
        <v>16</v>
      </c>
      <c r="F105" s="4">
        <v>44320</v>
      </c>
      <c r="G105" t="s">
        <v>12</v>
      </c>
      <c r="H105" s="6">
        <v>104410</v>
      </c>
    </row>
    <row r="106" spans="2:8" x14ac:dyDescent="0.25">
      <c r="B106" t="s">
        <v>177</v>
      </c>
      <c r="C106" t="s">
        <v>15</v>
      </c>
      <c r="D106">
        <v>30</v>
      </c>
      <c r="E106" t="s">
        <v>16</v>
      </c>
      <c r="F106" s="4">
        <v>44544</v>
      </c>
      <c r="G106" t="s">
        <v>21</v>
      </c>
      <c r="H106" s="6">
        <v>96800</v>
      </c>
    </row>
    <row r="107" spans="2:8" x14ac:dyDescent="0.25">
      <c r="B107" t="s">
        <v>123</v>
      </c>
      <c r="C107" t="s">
        <v>15</v>
      </c>
      <c r="D107">
        <v>28</v>
      </c>
      <c r="E107" t="s">
        <v>13</v>
      </c>
      <c r="F107" s="4">
        <v>43980</v>
      </c>
      <c r="G107" t="s">
        <v>21</v>
      </c>
      <c r="H107" s="6">
        <v>48170</v>
      </c>
    </row>
    <row r="108" spans="2:8" x14ac:dyDescent="0.25">
      <c r="B108" t="s">
        <v>140</v>
      </c>
      <c r="C108" t="s">
        <v>15</v>
      </c>
      <c r="D108">
        <v>21</v>
      </c>
      <c r="E108" t="s">
        <v>16</v>
      </c>
      <c r="F108" s="4">
        <v>44042</v>
      </c>
      <c r="G108" t="s">
        <v>9</v>
      </c>
      <c r="H108" s="6">
        <v>37920</v>
      </c>
    </row>
    <row r="109" spans="2:8" x14ac:dyDescent="0.25">
      <c r="B109" t="s">
        <v>178</v>
      </c>
      <c r="C109" t="s">
        <v>15</v>
      </c>
      <c r="D109">
        <v>34</v>
      </c>
      <c r="E109" t="s">
        <v>16</v>
      </c>
      <c r="F109" s="4">
        <v>44642</v>
      </c>
      <c r="G109" t="s">
        <v>9</v>
      </c>
      <c r="H109" s="6">
        <v>112650</v>
      </c>
    </row>
    <row r="110" spans="2:8" x14ac:dyDescent="0.25">
      <c r="B110" t="s">
        <v>165</v>
      </c>
      <c r="C110" t="s">
        <v>8</v>
      </c>
      <c r="D110">
        <v>34</v>
      </c>
      <c r="E110" t="s">
        <v>24</v>
      </c>
      <c r="F110" s="4">
        <v>44660</v>
      </c>
      <c r="G110" t="s">
        <v>19</v>
      </c>
      <c r="H110" s="6">
        <v>49630</v>
      </c>
    </row>
    <row r="111" spans="2:8" x14ac:dyDescent="0.25">
      <c r="B111" t="s">
        <v>199</v>
      </c>
      <c r="C111" t="s">
        <v>15</v>
      </c>
      <c r="D111">
        <v>36</v>
      </c>
      <c r="E111" t="s">
        <v>16</v>
      </c>
      <c r="F111" s="4">
        <v>43958</v>
      </c>
      <c r="G111" t="s">
        <v>12</v>
      </c>
      <c r="H111" s="6">
        <v>118840</v>
      </c>
    </row>
    <row r="112" spans="2:8" x14ac:dyDescent="0.25">
      <c r="B112" t="s">
        <v>159</v>
      </c>
      <c r="C112" t="s">
        <v>15</v>
      </c>
      <c r="D112">
        <v>30</v>
      </c>
      <c r="E112" t="s">
        <v>16</v>
      </c>
      <c r="F112" s="4">
        <v>44789</v>
      </c>
      <c r="G112" t="s">
        <v>12</v>
      </c>
      <c r="H112" s="6">
        <v>69710</v>
      </c>
    </row>
    <row r="113" spans="2:8" x14ac:dyDescent="0.25">
      <c r="B113" t="s">
        <v>197</v>
      </c>
      <c r="C113" t="s">
        <v>15</v>
      </c>
      <c r="D113">
        <v>20</v>
      </c>
      <c r="E113" t="s">
        <v>16</v>
      </c>
      <c r="F113" s="4">
        <v>44683</v>
      </c>
      <c r="G113" t="s">
        <v>9</v>
      </c>
      <c r="H113" s="6">
        <v>79570</v>
      </c>
    </row>
    <row r="114" spans="2:8" x14ac:dyDescent="0.25">
      <c r="B114" t="s">
        <v>154</v>
      </c>
      <c r="C114" t="s">
        <v>8</v>
      </c>
      <c r="D114">
        <v>22</v>
      </c>
      <c r="E114" t="s">
        <v>13</v>
      </c>
      <c r="F114" s="4">
        <v>44388</v>
      </c>
      <c r="G114" t="s">
        <v>9</v>
      </c>
      <c r="H114" s="6">
        <v>76900</v>
      </c>
    </row>
    <row r="115" spans="2:8" x14ac:dyDescent="0.25">
      <c r="B115" t="s">
        <v>203</v>
      </c>
      <c r="H115" s="6">
        <f>SUBTOTAL(109,india_staff[Salary])</f>
        <v>8757930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DA7AC4-BEA1-4005-AFBC-E5726AD5BC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All staff</vt:lpstr>
      <vt:lpstr>Salary Spread</vt:lpstr>
      <vt:lpstr>Salary VS. Rating</vt:lpstr>
      <vt:lpstr>Staff Growth</vt:lpstr>
      <vt:lpstr>Rating by Number</vt:lpstr>
      <vt:lpstr>NZ vS. IND</vt:lpstr>
      <vt:lpstr>Sheet5</vt:lpstr>
      <vt:lpstr>Male vs female</vt:lpstr>
      <vt:lpstr>India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Administrator</cp:lastModifiedBy>
  <dcterms:created xsi:type="dcterms:W3CDTF">2021-03-14T20:21:32Z</dcterms:created>
  <dcterms:modified xsi:type="dcterms:W3CDTF">2024-02-22T18:01:24Z</dcterms:modified>
</cp:coreProperties>
</file>