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Framework Tables" sheetId="1" r:id="rId1"/>
    <sheet name="Fields" sheetId="2" r:id="rId2"/>
    <sheet name="Table Fields" sheetId="3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state="hidden" r:id="rId8"/>
    <sheet name="Helper-ResourceForm" sheetId="9" r:id="rId9"/>
    <sheet name="Migration Renamer" sheetId="26" state="hidden" r:id="rId10"/>
    <sheet name="Helper-ResourceAction" sheetId="27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'Helper-Relation'!$F$2:$F$4,'Helper-Relation'!$I$5:$I$7,'Helper-Relation'!$J$8:$J$10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F32" i="27"/>
  <c r="AH32"/>
  <c r="AJ32"/>
  <c r="AL32"/>
  <c r="B44"/>
  <c r="D44"/>
  <c r="M44" s="1"/>
  <c r="E44"/>
  <c r="L44"/>
  <c r="Q44"/>
  <c r="R44"/>
  <c r="S44"/>
  <c r="DA11" i="9"/>
  <c r="DB11"/>
  <c r="AF31" i="27"/>
  <c r="AJ31"/>
  <c r="AL31"/>
  <c r="AF30"/>
  <c r="AJ30"/>
  <c r="AL30"/>
  <c r="AF29"/>
  <c r="AJ29"/>
  <c r="AL29"/>
  <c r="AF28"/>
  <c r="AH28"/>
  <c r="AJ28"/>
  <c r="AL28"/>
  <c r="AF27"/>
  <c r="AJ27"/>
  <c r="AL27"/>
  <c r="B41"/>
  <c r="B42"/>
  <c r="B43"/>
  <c r="D41"/>
  <c r="Y41" s="1"/>
  <c r="D42"/>
  <c r="Y42" s="1"/>
  <c r="D43"/>
  <c r="M43" s="1"/>
  <c r="E41"/>
  <c r="E42"/>
  <c r="E43"/>
  <c r="L41"/>
  <c r="L42"/>
  <c r="L43"/>
  <c r="Q41"/>
  <c r="Q42"/>
  <c r="Q43"/>
  <c r="R41"/>
  <c r="R42"/>
  <c r="R43"/>
  <c r="S41"/>
  <c r="S42"/>
  <c r="S43"/>
  <c r="B40"/>
  <c r="D40"/>
  <c r="M40" s="1"/>
  <c r="E40"/>
  <c r="L40"/>
  <c r="Q40"/>
  <c r="R40"/>
  <c r="S40"/>
  <c r="B39"/>
  <c r="D39"/>
  <c r="M39" s="1"/>
  <c r="E39"/>
  <c r="L39"/>
  <c r="Q39"/>
  <c r="R39"/>
  <c r="S39"/>
  <c r="AU88" i="28"/>
  <c r="AY88"/>
  <c r="AZ88"/>
  <c r="BA88"/>
  <c r="AU87"/>
  <c r="AY87"/>
  <c r="AZ87"/>
  <c r="BA87"/>
  <c r="AU86"/>
  <c r="AY86"/>
  <c r="AZ86"/>
  <c r="BA86"/>
  <c r="AU85"/>
  <c r="AY85"/>
  <c r="AZ85"/>
  <c r="BA85"/>
  <c r="AU84"/>
  <c r="AV84"/>
  <c r="AY84"/>
  <c r="AZ84"/>
  <c r="BA84"/>
  <c r="AU83"/>
  <c r="AY83"/>
  <c r="AZ83"/>
  <c r="BA83"/>
  <c r="AU82"/>
  <c r="AY82"/>
  <c r="AZ82"/>
  <c r="BA82"/>
  <c r="AU81"/>
  <c r="AY81"/>
  <c r="AZ81"/>
  <c r="BA81"/>
  <c r="AU80"/>
  <c r="AY80"/>
  <c r="AZ80"/>
  <c r="BA80"/>
  <c r="AU79"/>
  <c r="AY79"/>
  <c r="AZ79"/>
  <c r="BA79"/>
  <c r="AU78"/>
  <c r="AY78"/>
  <c r="AZ78"/>
  <c r="BA78"/>
  <c r="AU77"/>
  <c r="AY77"/>
  <c r="AZ77"/>
  <c r="BA77"/>
  <c r="AU76"/>
  <c r="AV76"/>
  <c r="AY76"/>
  <c r="AZ76"/>
  <c r="BA76"/>
  <c r="AU75"/>
  <c r="AY75"/>
  <c r="AZ75"/>
  <c r="BA75"/>
  <c r="AU74"/>
  <c r="AY74"/>
  <c r="AZ74"/>
  <c r="BA74"/>
  <c r="AU73"/>
  <c r="AY73"/>
  <c r="AZ73"/>
  <c r="BA73"/>
  <c r="AU72"/>
  <c r="AY72"/>
  <c r="AZ72"/>
  <c r="BA72"/>
  <c r="AU71"/>
  <c r="AY71"/>
  <c r="AZ71"/>
  <c r="BA71"/>
  <c r="AU70"/>
  <c r="AY70"/>
  <c r="AZ70"/>
  <c r="BA70"/>
  <c r="AU69"/>
  <c r="AY69"/>
  <c r="AZ69"/>
  <c r="BA69"/>
  <c r="AU68"/>
  <c r="AV68"/>
  <c r="AY68"/>
  <c r="AZ68"/>
  <c r="BA68"/>
  <c r="AU67"/>
  <c r="AY67"/>
  <c r="AZ67"/>
  <c r="BA67"/>
  <c r="AU66"/>
  <c r="AY66"/>
  <c r="AZ66"/>
  <c r="BA66"/>
  <c r="AU65"/>
  <c r="AY65"/>
  <c r="AZ65"/>
  <c r="BA65"/>
  <c r="AU64"/>
  <c r="AY64"/>
  <c r="AZ64"/>
  <c r="BA64"/>
  <c r="A24"/>
  <c r="C24"/>
  <c r="D24"/>
  <c r="J24" s="1"/>
  <c r="E24"/>
  <c r="A23"/>
  <c r="C23"/>
  <c r="D23"/>
  <c r="J23" s="1"/>
  <c r="E23"/>
  <c r="A22"/>
  <c r="C22"/>
  <c r="D22"/>
  <c r="J22" s="1"/>
  <c r="E22"/>
  <c r="A21"/>
  <c r="C21"/>
  <c r="D21"/>
  <c r="J21" s="1"/>
  <c r="E21"/>
  <c r="A20"/>
  <c r="C20"/>
  <c r="D20"/>
  <c r="J20" s="1"/>
  <c r="E20"/>
  <c r="AF26" i="27"/>
  <c r="AJ26"/>
  <c r="AL26"/>
  <c r="AF25"/>
  <c r="AJ25"/>
  <c r="AL25"/>
  <c r="B38"/>
  <c r="D38"/>
  <c r="M38" s="1"/>
  <c r="E38"/>
  <c r="L38"/>
  <c r="Q38"/>
  <c r="R38"/>
  <c r="S38"/>
  <c r="B37"/>
  <c r="D37"/>
  <c r="Y37" s="1"/>
  <c r="E37"/>
  <c r="L37"/>
  <c r="Q37"/>
  <c r="R37"/>
  <c r="S37"/>
  <c r="AF24"/>
  <c r="AJ24"/>
  <c r="AL24"/>
  <c r="A78" i="19"/>
  <c r="B78"/>
  <c r="H78" s="1"/>
  <c r="C78"/>
  <c r="M78"/>
  <c r="B36" i="27"/>
  <c r="D36"/>
  <c r="M36" s="1"/>
  <c r="E36"/>
  <c r="L36"/>
  <c r="Q36"/>
  <c r="R36"/>
  <c r="S36"/>
  <c r="AU63" i="28"/>
  <c r="AU62"/>
  <c r="A19"/>
  <c r="C19"/>
  <c r="D19"/>
  <c r="J19" s="1"/>
  <c r="E19"/>
  <c r="AF23" i="27"/>
  <c r="AJ23"/>
  <c r="AL23"/>
  <c r="B35"/>
  <c r="D35"/>
  <c r="M35" s="1"/>
  <c r="E35"/>
  <c r="L35"/>
  <c r="Q35"/>
  <c r="R35"/>
  <c r="S35"/>
  <c r="AU14" i="28"/>
  <c r="AF22" i="27"/>
  <c r="AJ22"/>
  <c r="AL22"/>
  <c r="AF21"/>
  <c r="AJ21"/>
  <c r="AL21"/>
  <c r="AF20"/>
  <c r="AJ20"/>
  <c r="AL20"/>
  <c r="B34"/>
  <c r="D34"/>
  <c r="M34" s="1"/>
  <c r="E34"/>
  <c r="L34"/>
  <c r="Q34"/>
  <c r="R34"/>
  <c r="S34"/>
  <c r="B33"/>
  <c r="D33"/>
  <c r="Y33" s="1"/>
  <c r="E33"/>
  <c r="L33"/>
  <c r="Q33"/>
  <c r="R33"/>
  <c r="S33"/>
  <c r="B32"/>
  <c r="D32"/>
  <c r="Y32" s="1"/>
  <c r="E32"/>
  <c r="L32"/>
  <c r="Q32"/>
  <c r="R32"/>
  <c r="S32"/>
  <c r="AU61" i="28"/>
  <c r="AU60"/>
  <c r="AU59"/>
  <c r="AU58"/>
  <c r="AU57"/>
  <c r="AU56"/>
  <c r="AU55"/>
  <c r="AU54"/>
  <c r="AU53"/>
  <c r="AU52"/>
  <c r="A18"/>
  <c r="C18"/>
  <c r="D18"/>
  <c r="J18" s="1"/>
  <c r="E18"/>
  <c r="A17"/>
  <c r="C17"/>
  <c r="D17"/>
  <c r="J17" s="1"/>
  <c r="E17"/>
  <c r="A16"/>
  <c r="C16"/>
  <c r="D16"/>
  <c r="J16" s="1"/>
  <c r="E16"/>
  <c r="A77" i="19"/>
  <c r="B77"/>
  <c r="H77" s="1"/>
  <c r="C77"/>
  <c r="M77"/>
  <c r="A76"/>
  <c r="B76"/>
  <c r="H76" s="1"/>
  <c r="C76"/>
  <c r="M76"/>
  <c r="A75"/>
  <c r="B75"/>
  <c r="H75" s="1"/>
  <c r="C75"/>
  <c r="M75"/>
  <c r="A74"/>
  <c r="B74"/>
  <c r="H74" s="1"/>
  <c r="C74"/>
  <c r="M74"/>
  <c r="A73"/>
  <c r="B73"/>
  <c r="H73" s="1"/>
  <c r="C73"/>
  <c r="M73"/>
  <c r="A72"/>
  <c r="B72"/>
  <c r="D72" s="1"/>
  <c r="N72" s="1"/>
  <c r="C72"/>
  <c r="M72"/>
  <c r="B2"/>
  <c r="B3"/>
  <c r="H3" s="1"/>
  <c r="B4"/>
  <c r="H4" s="1"/>
  <c r="B5"/>
  <c r="H5" s="1"/>
  <c r="B6"/>
  <c r="H6" s="1"/>
  <c r="B7"/>
  <c r="H7" s="1"/>
  <c r="B8"/>
  <c r="H8" s="1"/>
  <c r="B9"/>
  <c r="B10"/>
  <c r="B11"/>
  <c r="H11" s="1"/>
  <c r="B12"/>
  <c r="H12" s="1"/>
  <c r="B13"/>
  <c r="H13" s="1"/>
  <c r="B14"/>
  <c r="H14" s="1"/>
  <c r="B15"/>
  <c r="H15" s="1"/>
  <c r="B16"/>
  <c r="H16" s="1"/>
  <c r="B17"/>
  <c r="H17" s="1"/>
  <c r="B18"/>
  <c r="H18" s="1"/>
  <c r="B19"/>
  <c r="H19" s="1"/>
  <c r="B20"/>
  <c r="H20" s="1"/>
  <c r="B21"/>
  <c r="H21" s="1"/>
  <c r="B22"/>
  <c r="H22" s="1"/>
  <c r="B23"/>
  <c r="H23" s="1"/>
  <c r="B24"/>
  <c r="H24" s="1"/>
  <c r="B25"/>
  <c r="H25" s="1"/>
  <c r="B26"/>
  <c r="H26" s="1"/>
  <c r="B27"/>
  <c r="H27" s="1"/>
  <c r="B28"/>
  <c r="H28" s="1"/>
  <c r="B29"/>
  <c r="H29" s="1"/>
  <c r="B30"/>
  <c r="H30" s="1"/>
  <c r="B31"/>
  <c r="H31" s="1"/>
  <c r="B32"/>
  <c r="H32" s="1"/>
  <c r="B33"/>
  <c r="H33" s="1"/>
  <c r="B34"/>
  <c r="H34" s="1"/>
  <c r="B35"/>
  <c r="H35" s="1"/>
  <c r="B36"/>
  <c r="H36" s="1"/>
  <c r="B37"/>
  <c r="H37" s="1"/>
  <c r="B38"/>
  <c r="H38" s="1"/>
  <c r="B39"/>
  <c r="H39" s="1"/>
  <c r="B40"/>
  <c r="H40" s="1"/>
  <c r="B41"/>
  <c r="H41" s="1"/>
  <c r="B42"/>
  <c r="H42" s="1"/>
  <c r="B43"/>
  <c r="H43" s="1"/>
  <c r="B44"/>
  <c r="H44" s="1"/>
  <c r="B45"/>
  <c r="H45" s="1"/>
  <c r="B46"/>
  <c r="H46" s="1"/>
  <c r="B47"/>
  <c r="H47" s="1"/>
  <c r="B48"/>
  <c r="H48" s="1"/>
  <c r="B49"/>
  <c r="H49" s="1"/>
  <c r="B50"/>
  <c r="H50" s="1"/>
  <c r="B51"/>
  <c r="H51" s="1"/>
  <c r="B52"/>
  <c r="H52" s="1"/>
  <c r="B53"/>
  <c r="H53" s="1"/>
  <c r="B54"/>
  <c r="H54" s="1"/>
  <c r="B55"/>
  <c r="H55" s="1"/>
  <c r="B56"/>
  <c r="H56" s="1"/>
  <c r="B57"/>
  <c r="H57" s="1"/>
  <c r="B58"/>
  <c r="H58" s="1"/>
  <c r="B59"/>
  <c r="H59" s="1"/>
  <c r="B60"/>
  <c r="G60" s="1"/>
  <c r="B61"/>
  <c r="D61" s="1"/>
  <c r="N61" s="1"/>
  <c r="B62"/>
  <c r="D62" s="1"/>
  <c r="N62" s="1"/>
  <c r="B63"/>
  <c r="B64"/>
  <c r="G64" s="1"/>
  <c r="B65"/>
  <c r="B66"/>
  <c r="B67"/>
  <c r="H67" s="1"/>
  <c r="B68"/>
  <c r="H68" s="1"/>
  <c r="B69"/>
  <c r="H69" s="1"/>
  <c r="B70"/>
  <c r="D70" s="1"/>
  <c r="N70" s="1"/>
  <c r="B7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F19" i="27"/>
  <c r="AJ19"/>
  <c r="AL19"/>
  <c r="AF18"/>
  <c r="AJ18"/>
  <c r="AL18"/>
  <c r="AF17"/>
  <c r="AJ17"/>
  <c r="AL17"/>
  <c r="AF16"/>
  <c r="AJ16"/>
  <c r="AL16"/>
  <c r="B31"/>
  <c r="D31"/>
  <c r="Y31" s="1"/>
  <c r="E31"/>
  <c r="L31"/>
  <c r="Q31"/>
  <c r="R31"/>
  <c r="S31"/>
  <c r="B30"/>
  <c r="D30"/>
  <c r="M30" s="1"/>
  <c r="E30"/>
  <c r="L30"/>
  <c r="Q30"/>
  <c r="R30"/>
  <c r="S30"/>
  <c r="B29"/>
  <c r="D29"/>
  <c r="M29" s="1"/>
  <c r="E29"/>
  <c r="L29"/>
  <c r="Q29"/>
  <c r="R29"/>
  <c r="S29"/>
  <c r="B28"/>
  <c r="D28"/>
  <c r="M28" s="1"/>
  <c r="E28"/>
  <c r="L28"/>
  <c r="Q28"/>
  <c r="R28"/>
  <c r="S28"/>
  <c r="AU51" i="28"/>
  <c r="AU50"/>
  <c r="H71" i="19"/>
  <c r="C71"/>
  <c r="M71"/>
  <c r="AU49" i="28"/>
  <c r="C69" i="19"/>
  <c r="M69"/>
  <c r="AU48" i="28"/>
  <c r="AU47"/>
  <c r="AU46"/>
  <c r="AU45"/>
  <c r="AU44"/>
  <c r="AU43"/>
  <c r="AU42"/>
  <c r="AU41"/>
  <c r="AU40"/>
  <c r="C70" i="19"/>
  <c r="M70"/>
  <c r="C68"/>
  <c r="M68"/>
  <c r="C67"/>
  <c r="M67"/>
  <c r="D66"/>
  <c r="N66" s="1"/>
  <c r="C66"/>
  <c r="M66"/>
  <c r="H65"/>
  <c r="C65"/>
  <c r="M65"/>
  <c r="C64"/>
  <c r="M64"/>
  <c r="G63"/>
  <c r="C63"/>
  <c r="M63"/>
  <c r="A15" i="28"/>
  <c r="C15"/>
  <c r="D15"/>
  <c r="J15" s="1"/>
  <c r="E15"/>
  <c r="A14"/>
  <c r="C14"/>
  <c r="D14"/>
  <c r="J14" s="1"/>
  <c r="E14"/>
  <c r="A13"/>
  <c r="C13"/>
  <c r="D13"/>
  <c r="J13" s="1"/>
  <c r="E13"/>
  <c r="A12"/>
  <c r="C12"/>
  <c r="D12"/>
  <c r="J12" s="1"/>
  <c r="E12"/>
  <c r="AF15" i="27"/>
  <c r="AJ15"/>
  <c r="AL15"/>
  <c r="B27"/>
  <c r="D27"/>
  <c r="M27" s="1"/>
  <c r="E27"/>
  <c r="L27"/>
  <c r="Q27"/>
  <c r="R27"/>
  <c r="S27"/>
  <c r="AU32" i="28"/>
  <c r="AU2"/>
  <c r="AU3"/>
  <c r="AU4"/>
  <c r="AU5"/>
  <c r="AU6"/>
  <c r="AU7"/>
  <c r="AU8"/>
  <c r="AU9"/>
  <c r="AU10"/>
  <c r="AU11"/>
  <c r="AU12"/>
  <c r="AU13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3"/>
  <c r="AU34"/>
  <c r="AU35"/>
  <c r="AU36"/>
  <c r="AU37"/>
  <c r="AU38"/>
  <c r="AU39"/>
  <c r="A11"/>
  <c r="C11"/>
  <c r="D11"/>
  <c r="J11" s="1"/>
  <c r="E11"/>
  <c r="C62" i="19"/>
  <c r="M62"/>
  <c r="AF14" i="27"/>
  <c r="AJ14"/>
  <c r="AL14"/>
  <c r="B26"/>
  <c r="D26"/>
  <c r="M26" s="1"/>
  <c r="E26"/>
  <c r="L26"/>
  <c r="Q26"/>
  <c r="R26"/>
  <c r="S26"/>
  <c r="C61" i="19"/>
  <c r="M61"/>
  <c r="C60"/>
  <c r="M60"/>
  <c r="A10" i="28"/>
  <c r="C10"/>
  <c r="D10"/>
  <c r="J10" s="1"/>
  <c r="E10"/>
  <c r="AF13" i="27"/>
  <c r="AJ13"/>
  <c r="AL13"/>
  <c r="B25"/>
  <c r="D25"/>
  <c r="Y25" s="1"/>
  <c r="E25"/>
  <c r="L25"/>
  <c r="Q25"/>
  <c r="R25"/>
  <c r="S25"/>
  <c r="A9" i="28"/>
  <c r="C9"/>
  <c r="D9"/>
  <c r="J9" s="1"/>
  <c r="E9"/>
  <c r="AF12" i="27"/>
  <c r="AJ12"/>
  <c r="AL12"/>
  <c r="AF11"/>
  <c r="AJ11"/>
  <c r="AL11"/>
  <c r="AF10"/>
  <c r="AJ10"/>
  <c r="AL10"/>
  <c r="AF9"/>
  <c r="AJ9"/>
  <c r="AL9"/>
  <c r="B24"/>
  <c r="D24"/>
  <c r="M24" s="1"/>
  <c r="E24"/>
  <c r="L24"/>
  <c r="Q24"/>
  <c r="R24"/>
  <c r="S24"/>
  <c r="B23"/>
  <c r="D23"/>
  <c r="M23" s="1"/>
  <c r="E23"/>
  <c r="L23"/>
  <c r="Q23"/>
  <c r="R23"/>
  <c r="S23"/>
  <c r="B22"/>
  <c r="D22"/>
  <c r="M22" s="1"/>
  <c r="E22"/>
  <c r="L22"/>
  <c r="Q22"/>
  <c r="R22"/>
  <c r="S22"/>
  <c r="B21"/>
  <c r="D21"/>
  <c r="Y21" s="1"/>
  <c r="E21"/>
  <c r="L21"/>
  <c r="Q21"/>
  <c r="R21"/>
  <c r="S21"/>
  <c r="B19"/>
  <c r="D19"/>
  <c r="Y19" s="1"/>
  <c r="E19"/>
  <c r="L19"/>
  <c r="P19"/>
  <c r="Q19"/>
  <c r="R19"/>
  <c r="S19"/>
  <c r="B16"/>
  <c r="D16"/>
  <c r="Y16" s="1"/>
  <c r="E16"/>
  <c r="L16"/>
  <c r="P16"/>
  <c r="Q16"/>
  <c r="R16"/>
  <c r="S16"/>
  <c r="B13"/>
  <c r="D13"/>
  <c r="M13" s="1"/>
  <c r="E13"/>
  <c r="L13"/>
  <c r="P13"/>
  <c r="Q13"/>
  <c r="R13"/>
  <c r="S13"/>
  <c r="B11"/>
  <c r="D11"/>
  <c r="Y11" s="1"/>
  <c r="E11"/>
  <c r="L11"/>
  <c r="P11"/>
  <c r="Q11"/>
  <c r="R11"/>
  <c r="S11"/>
  <c r="H9" i="19"/>
  <c r="H10"/>
  <c r="C13"/>
  <c r="M13"/>
  <c r="D2" i="28"/>
  <c r="D3"/>
  <c r="D4"/>
  <c r="D5"/>
  <c r="J5" s="1"/>
  <c r="D6"/>
  <c r="J6" s="1"/>
  <c r="D7"/>
  <c r="J7" s="1"/>
  <c r="D8"/>
  <c r="J8" s="1"/>
  <c r="A8"/>
  <c r="C8"/>
  <c r="A7"/>
  <c r="C7"/>
  <c r="A6"/>
  <c r="C6"/>
  <c r="A5"/>
  <c r="C5"/>
  <c r="DA10" i="9"/>
  <c r="DB10"/>
  <c r="DA9"/>
  <c r="DB9"/>
  <c r="DA8"/>
  <c r="DB8"/>
  <c r="DA7"/>
  <c r="DB7"/>
  <c r="DA6"/>
  <c r="DB6"/>
  <c r="DA5"/>
  <c r="DB5"/>
  <c r="DN2"/>
  <c r="DN3"/>
  <c r="DM2"/>
  <c r="DM3"/>
  <c r="DB2"/>
  <c r="DB3"/>
  <c r="DB4"/>
  <c r="DA2"/>
  <c r="DA3"/>
  <c r="DA4"/>
  <c r="L2" i="27"/>
  <c r="L3"/>
  <c r="L4"/>
  <c r="L5"/>
  <c r="L6"/>
  <c r="L7"/>
  <c r="L8"/>
  <c r="L9"/>
  <c r="L10"/>
  <c r="L12"/>
  <c r="L14"/>
  <c r="L15"/>
  <c r="L17"/>
  <c r="L18"/>
  <c r="L20"/>
  <c r="B9"/>
  <c r="B10"/>
  <c r="D9"/>
  <c r="Y9" s="1"/>
  <c r="D10"/>
  <c r="M10" s="1"/>
  <c r="P9"/>
  <c r="Q9"/>
  <c r="Q10"/>
  <c r="R9"/>
  <c r="R10"/>
  <c r="S9"/>
  <c r="S10"/>
  <c r="AF6"/>
  <c r="AJ6"/>
  <c r="AL6"/>
  <c r="AJ2"/>
  <c r="AJ3"/>
  <c r="AJ4"/>
  <c r="AJ5"/>
  <c r="AJ7"/>
  <c r="AJ8"/>
  <c r="AF2"/>
  <c r="AF3"/>
  <c r="AF4"/>
  <c r="AF5"/>
  <c r="AF7"/>
  <c r="AF8"/>
  <c r="D2"/>
  <c r="D3"/>
  <c r="D4"/>
  <c r="D5"/>
  <c r="D6"/>
  <c r="D7"/>
  <c r="D8"/>
  <c r="D12"/>
  <c r="D14"/>
  <c r="D15"/>
  <c r="D17"/>
  <c r="D18"/>
  <c r="M18" s="1"/>
  <c r="D20"/>
  <c r="M20" s="1"/>
  <c r="O27" i="9"/>
  <c r="Q27" s="1"/>
  <c r="O28"/>
  <c r="Q28" s="1"/>
  <c r="O29"/>
  <c r="Q29" s="1"/>
  <c r="O30"/>
  <c r="Q30" s="1"/>
  <c r="AN30" s="1"/>
  <c r="O31"/>
  <c r="Q31" s="1"/>
  <c r="O32"/>
  <c r="Q32" s="1"/>
  <c r="O33"/>
  <c r="Q33" s="1"/>
  <c r="O34"/>
  <c r="Q34" s="1"/>
  <c r="P27"/>
  <c r="P28"/>
  <c r="P29"/>
  <c r="P30"/>
  <c r="P31"/>
  <c r="P32"/>
  <c r="P33"/>
  <c r="P34"/>
  <c r="AE27"/>
  <c r="AE28"/>
  <c r="AE29"/>
  <c r="AE30"/>
  <c r="AE31"/>
  <c r="AE32"/>
  <c r="AE33"/>
  <c r="AE34"/>
  <c r="AJ27"/>
  <c r="AJ28"/>
  <c r="AJ29"/>
  <c r="AJ30"/>
  <c r="AJ31"/>
  <c r="AJ32"/>
  <c r="AJ33"/>
  <c r="AJ34"/>
  <c r="AT27"/>
  <c r="AV27" s="1"/>
  <c r="AW27" s="1"/>
  <c r="AT28"/>
  <c r="AV28" s="1"/>
  <c r="AW28" s="1"/>
  <c r="AT29"/>
  <c r="AV29" s="1"/>
  <c r="AW29" s="1"/>
  <c r="AT30"/>
  <c r="AV30" s="1"/>
  <c r="AW30" s="1"/>
  <c r="AT31"/>
  <c r="AV31" s="1"/>
  <c r="AW31" s="1"/>
  <c r="AT32"/>
  <c r="AV32" s="1"/>
  <c r="AW32" s="1"/>
  <c r="AT33"/>
  <c r="AV33" s="1"/>
  <c r="AW33" s="1"/>
  <c r="AT34"/>
  <c r="AV34" s="1"/>
  <c r="AW34" s="1"/>
  <c r="O19"/>
  <c r="Q19" s="1"/>
  <c r="O20"/>
  <c r="Q20" s="1"/>
  <c r="O21"/>
  <c r="Q21" s="1"/>
  <c r="O22"/>
  <c r="Q22" s="1"/>
  <c r="O23"/>
  <c r="Q23" s="1"/>
  <c r="AD23" s="1"/>
  <c r="O24"/>
  <c r="Q24" s="1"/>
  <c r="O25"/>
  <c r="Q25" s="1"/>
  <c r="O26"/>
  <c r="Q26" s="1"/>
  <c r="AD26" s="1"/>
  <c r="P19"/>
  <c r="P20"/>
  <c r="P21"/>
  <c r="P22"/>
  <c r="P23"/>
  <c r="P24"/>
  <c r="P25"/>
  <c r="P26"/>
  <c r="AE19"/>
  <c r="AE20"/>
  <c r="AE21"/>
  <c r="AE22"/>
  <c r="AE23"/>
  <c r="AE24"/>
  <c r="AE25"/>
  <c r="AE26"/>
  <c r="AJ19"/>
  <c r="AJ20"/>
  <c r="AJ21"/>
  <c r="AJ22"/>
  <c r="AJ23"/>
  <c r="AJ24"/>
  <c r="AJ25"/>
  <c r="AJ26"/>
  <c r="AT19"/>
  <c r="AT20"/>
  <c r="AT21"/>
  <c r="AT22"/>
  <c r="AT23"/>
  <c r="AT24"/>
  <c r="AT25"/>
  <c r="AT26"/>
  <c r="O2"/>
  <c r="Q2" s="1"/>
  <c r="O3"/>
  <c r="Q3" s="1"/>
  <c r="O4"/>
  <c r="Q4" s="1"/>
  <c r="O5"/>
  <c r="Q5" s="1"/>
  <c r="O6"/>
  <c r="Q6" s="1"/>
  <c r="O7"/>
  <c r="Q7" s="1"/>
  <c r="O8"/>
  <c r="Q8" s="1"/>
  <c r="O9"/>
  <c r="Q9" s="1"/>
  <c r="O10"/>
  <c r="Q10" s="1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35"/>
  <c r="Q35" s="1"/>
  <c r="O36"/>
  <c r="Q36" s="1"/>
  <c r="O37"/>
  <c r="Q37" s="1"/>
  <c r="O38"/>
  <c r="Q38" s="1"/>
  <c r="O39"/>
  <c r="Q39" s="1"/>
  <c r="O40"/>
  <c r="Q40" s="1"/>
  <c r="O41"/>
  <c r="Q41" s="1"/>
  <c r="O42"/>
  <c r="Q42" s="1"/>
  <c r="O43"/>
  <c r="Q43" s="1"/>
  <c r="O44"/>
  <c r="Q44" s="1"/>
  <c r="O45"/>
  <c r="Q45" s="1"/>
  <c r="O46"/>
  <c r="Q46" s="1"/>
  <c r="O47"/>
  <c r="Q47" s="1"/>
  <c r="O48"/>
  <c r="Q48" s="1"/>
  <c r="O49"/>
  <c r="Q49" s="1"/>
  <c r="O50"/>
  <c r="Q50" s="1"/>
  <c r="O51"/>
  <c r="Q51" s="1"/>
  <c r="O52"/>
  <c r="Q52" s="1"/>
  <c r="O53"/>
  <c r="Q53" s="1"/>
  <c r="O54"/>
  <c r="Q54" s="1"/>
  <c r="O55"/>
  <c r="Q55" s="1"/>
  <c r="O56"/>
  <c r="Q56" s="1"/>
  <c r="O57"/>
  <c r="Q57" s="1"/>
  <c r="O58"/>
  <c r="Q58" s="1"/>
  <c r="O59"/>
  <c r="Q59" s="1"/>
  <c r="O60"/>
  <c r="Q60" s="1"/>
  <c r="O61"/>
  <c r="Q61" s="1"/>
  <c r="O62"/>
  <c r="Q62" s="1"/>
  <c r="O63"/>
  <c r="Q63" s="1"/>
  <c r="O64"/>
  <c r="Q64" s="1"/>
  <c r="O65"/>
  <c r="Q65" s="1"/>
  <c r="O66"/>
  <c r="Q66" s="1"/>
  <c r="O67"/>
  <c r="Q67" s="1"/>
  <c r="O68"/>
  <c r="Q68" s="1"/>
  <c r="C2"/>
  <c r="B8"/>
  <c r="B7"/>
  <c r="AL8" i="27"/>
  <c r="B20"/>
  <c r="Q20"/>
  <c r="R20"/>
  <c r="S20"/>
  <c r="B18"/>
  <c r="P18"/>
  <c r="Q18"/>
  <c r="R18"/>
  <c r="S18"/>
  <c r="P66" i="9"/>
  <c r="P67"/>
  <c r="P68"/>
  <c r="AE66"/>
  <c r="AE67"/>
  <c r="AE68"/>
  <c r="AJ66"/>
  <c r="AJ67"/>
  <c r="AJ68"/>
  <c r="AT66"/>
  <c r="AV66" s="1"/>
  <c r="AW66" s="1"/>
  <c r="AT67"/>
  <c r="AV67" s="1"/>
  <c r="AW67" s="1"/>
  <c r="AT68"/>
  <c r="AV68" s="1"/>
  <c r="AW68" s="1"/>
  <c r="P65"/>
  <c r="AE65"/>
  <c r="AJ65"/>
  <c r="AT65"/>
  <c r="AV65" s="1"/>
  <c r="AW65" s="1"/>
  <c r="P64"/>
  <c r="AE64"/>
  <c r="AJ64"/>
  <c r="AT64"/>
  <c r="P63"/>
  <c r="AE63"/>
  <c r="AJ63"/>
  <c r="AT63"/>
  <c r="P62"/>
  <c r="AE62"/>
  <c r="AJ62"/>
  <c r="AT62"/>
  <c r="P61"/>
  <c r="AE61"/>
  <c r="AJ61"/>
  <c r="AT61"/>
  <c r="B15"/>
  <c r="B14"/>
  <c r="S2" i="27"/>
  <c r="S3"/>
  <c r="S4"/>
  <c r="S5"/>
  <c r="S6"/>
  <c r="S7"/>
  <c r="S8"/>
  <c r="S12"/>
  <c r="S14"/>
  <c r="S15"/>
  <c r="S17"/>
  <c r="R2"/>
  <c r="R3"/>
  <c r="R4"/>
  <c r="R5"/>
  <c r="R6"/>
  <c r="R7"/>
  <c r="R8"/>
  <c r="R12"/>
  <c r="R14"/>
  <c r="R15"/>
  <c r="R17"/>
  <c r="Q2"/>
  <c r="Q3"/>
  <c r="Q4"/>
  <c r="Q5"/>
  <c r="Q6"/>
  <c r="Q7"/>
  <c r="Q8"/>
  <c r="Q12"/>
  <c r="Q14"/>
  <c r="Q15"/>
  <c r="Q17"/>
  <c r="P2"/>
  <c r="P3"/>
  <c r="P4"/>
  <c r="P7"/>
  <c r="P8"/>
  <c r="P12"/>
  <c r="P15"/>
  <c r="O2"/>
  <c r="J2" i="31"/>
  <c r="J3" s="1"/>
  <c r="J4" s="1"/>
  <c r="Y44" i="27" l="1"/>
  <c r="AV65" i="28"/>
  <c r="AV73"/>
  <c r="AV81"/>
  <c r="AV71"/>
  <c r="AV79"/>
  <c r="AV87"/>
  <c r="AH31" i="27"/>
  <c r="AV66" i="28"/>
  <c r="AV74"/>
  <c r="AV82"/>
  <c r="AV69"/>
  <c r="AV77"/>
  <c r="AV85"/>
  <c r="AH29" i="27"/>
  <c r="AV64" i="28"/>
  <c r="AV72"/>
  <c r="AV80"/>
  <c r="AV88"/>
  <c r="AV67"/>
  <c r="AV75"/>
  <c r="AV83"/>
  <c r="AH27" i="27"/>
  <c r="D78" i="19"/>
  <c r="N78" s="1"/>
  <c r="AV70" i="28"/>
  <c r="AV78"/>
  <c r="AV86"/>
  <c r="AH30" i="27"/>
  <c r="Y43"/>
  <c r="M42"/>
  <c r="M41"/>
  <c r="Y40"/>
  <c r="Y39"/>
  <c r="AS88" i="28"/>
  <c r="AS87"/>
  <c r="AS86"/>
  <c r="AS85"/>
  <c r="AS84"/>
  <c r="AS83"/>
  <c r="AS82"/>
  <c r="AS81"/>
  <c r="AS79"/>
  <c r="AS80"/>
  <c r="AS78"/>
  <c r="AS77"/>
  <c r="AS76"/>
  <c r="AS75"/>
  <c r="AS74"/>
  <c r="AS73"/>
  <c r="AS72"/>
  <c r="AS71"/>
  <c r="AS70"/>
  <c r="AS69"/>
  <c r="AS68"/>
  <c r="AS67"/>
  <c r="AS66"/>
  <c r="AS65"/>
  <c r="AS64"/>
  <c r="Y38" i="27"/>
  <c r="M37"/>
  <c r="G78" i="19"/>
  <c r="D73"/>
  <c r="N73" s="1"/>
  <c r="Y36" i="27"/>
  <c r="AS63" i="28"/>
  <c r="AS62"/>
  <c r="Y35" i="27"/>
  <c r="Y34"/>
  <c r="AS14" i="28"/>
  <c r="M21" i="27"/>
  <c r="M33"/>
  <c r="Y30"/>
  <c r="M32"/>
  <c r="AS60" i="28"/>
  <c r="AS61"/>
  <c r="AS59"/>
  <c r="AS58"/>
  <c r="AS57"/>
  <c r="AS56"/>
  <c r="AS55"/>
  <c r="AS54"/>
  <c r="AS53"/>
  <c r="AS52"/>
  <c r="AS51"/>
  <c r="D76" i="19"/>
  <c r="N76" s="1"/>
  <c r="D77"/>
  <c r="N77" s="1"/>
  <c r="G77"/>
  <c r="G76"/>
  <c r="G73"/>
  <c r="D74"/>
  <c r="N74" s="1"/>
  <c r="D75"/>
  <c r="N75" s="1"/>
  <c r="G74"/>
  <c r="G75"/>
  <c r="G72"/>
  <c r="H72"/>
  <c r="D71"/>
  <c r="N71" s="1"/>
  <c r="G71"/>
  <c r="Y28" i="27"/>
  <c r="M31"/>
  <c r="Y26"/>
  <c r="Y29"/>
  <c r="AS50" i="28"/>
  <c r="AS49"/>
  <c r="AS48"/>
  <c r="D69" i="19"/>
  <c r="N69" s="1"/>
  <c r="G69"/>
  <c r="AS47" i="28"/>
  <c r="AS46"/>
  <c r="AS45"/>
  <c r="AS44"/>
  <c r="AS43"/>
  <c r="AS42"/>
  <c r="AS41"/>
  <c r="AS40"/>
  <c r="D65" i="19"/>
  <c r="N65" s="1"/>
  <c r="G65"/>
  <c r="G70"/>
  <c r="H70"/>
  <c r="D68"/>
  <c r="N68" s="1"/>
  <c r="G68"/>
  <c r="D67"/>
  <c r="N67" s="1"/>
  <c r="G67"/>
  <c r="G66"/>
  <c r="H66"/>
  <c r="D64"/>
  <c r="N64" s="1"/>
  <c r="H64"/>
  <c r="D63"/>
  <c r="N63" s="1"/>
  <c r="H63"/>
  <c r="Y22" i="27"/>
  <c r="Y23"/>
  <c r="AS32" i="28"/>
  <c r="Y27" i="27"/>
  <c r="G62" i="19"/>
  <c r="H62"/>
  <c r="G61"/>
  <c r="H61"/>
  <c r="D60"/>
  <c r="N60" s="1"/>
  <c r="H60"/>
  <c r="M25" i="27"/>
  <c r="Y24"/>
  <c r="M19"/>
  <c r="M16"/>
  <c r="Y13"/>
  <c r="M11"/>
  <c r="H2" i="19"/>
  <c r="G2"/>
  <c r="G3"/>
  <c r="AD33" i="9"/>
  <c r="AN33"/>
  <c r="AD27"/>
  <c r="AY27"/>
  <c r="AD28"/>
  <c r="AY28"/>
  <c r="AN28"/>
  <c r="AN32"/>
  <c r="AD32"/>
  <c r="AY32"/>
  <c r="AY30"/>
  <c r="AY33"/>
  <c r="M9" i="27"/>
  <c r="Y10"/>
  <c r="AN29" i="9"/>
  <c r="AY29"/>
  <c r="AD29"/>
  <c r="AY31"/>
  <c r="AN31"/>
  <c r="AD31"/>
  <c r="AD30"/>
  <c r="AN27"/>
  <c r="AN34"/>
  <c r="AD34"/>
  <c r="AY34"/>
  <c r="M33"/>
  <c r="M32"/>
  <c r="M29"/>
  <c r="M31"/>
  <c r="M30"/>
  <c r="M34"/>
  <c r="M28"/>
  <c r="M27"/>
  <c r="AN26"/>
  <c r="AY26"/>
  <c r="AN23"/>
  <c r="AY23"/>
  <c r="AD22"/>
  <c r="AY22"/>
  <c r="AN22"/>
  <c r="AD20"/>
  <c r="AY20"/>
  <c r="AN20"/>
  <c r="AY19"/>
  <c r="AN19"/>
  <c r="M22"/>
  <c r="AN21"/>
  <c r="AY21"/>
  <c r="AD21"/>
  <c r="AD24"/>
  <c r="AN24"/>
  <c r="AY24"/>
  <c r="M24"/>
  <c r="AN25"/>
  <c r="AY25"/>
  <c r="AD25"/>
  <c r="M25"/>
  <c r="M26"/>
  <c r="M19"/>
  <c r="AD19"/>
  <c r="M20"/>
  <c r="M21"/>
  <c r="M23"/>
  <c r="Y20" i="27"/>
  <c r="Y18"/>
  <c r="J5" i="31"/>
  <c r="AL7" i="27"/>
  <c r="B17"/>
  <c r="B15"/>
  <c r="P57" i="9"/>
  <c r="P58"/>
  <c r="P59"/>
  <c r="P60"/>
  <c r="AE57"/>
  <c r="AE58"/>
  <c r="AE59"/>
  <c r="AE60"/>
  <c r="AJ57"/>
  <c r="AJ58"/>
  <c r="AJ59"/>
  <c r="AJ60"/>
  <c r="AT57"/>
  <c r="AV57" s="1"/>
  <c r="AW57" s="1"/>
  <c r="AT58"/>
  <c r="AV58" s="1"/>
  <c r="AW58" s="1"/>
  <c r="AT59"/>
  <c r="AV59" s="1"/>
  <c r="AW59" s="1"/>
  <c r="AT60"/>
  <c r="AV60" s="1"/>
  <c r="AW60" s="1"/>
  <c r="P56"/>
  <c r="AE56"/>
  <c r="AJ56"/>
  <c r="AT56"/>
  <c r="AV56" s="1"/>
  <c r="AW56" s="1"/>
  <c r="B13"/>
  <c r="P55"/>
  <c r="AE55"/>
  <c r="AJ55"/>
  <c r="AT55"/>
  <c r="P54"/>
  <c r="AE54"/>
  <c r="AJ54"/>
  <c r="AT54"/>
  <c r="P53"/>
  <c r="AE53"/>
  <c r="AJ53"/>
  <c r="AT53"/>
  <c r="P52"/>
  <c r="AE52"/>
  <c r="AJ52"/>
  <c r="AT52"/>
  <c r="P51"/>
  <c r="AE51"/>
  <c r="AJ51"/>
  <c r="AT51"/>
  <c r="B12"/>
  <c r="AI2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G2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F2"/>
  <c r="AF3" s="1"/>
  <c r="BS4"/>
  <c r="P50"/>
  <c r="AE50"/>
  <c r="AJ50"/>
  <c r="AT50"/>
  <c r="AV50" s="1"/>
  <c r="AW50" s="1"/>
  <c r="P49"/>
  <c r="AE49"/>
  <c r="AJ49"/>
  <c r="AT49"/>
  <c r="AV49" s="1"/>
  <c r="AW49" s="1"/>
  <c r="P48"/>
  <c r="AE48"/>
  <c r="AJ48"/>
  <c r="AT48"/>
  <c r="AV48" s="1"/>
  <c r="AW48" s="1"/>
  <c r="P47"/>
  <c r="AE47"/>
  <c r="AJ47"/>
  <c r="AT47"/>
  <c r="AV47" s="1"/>
  <c r="AW47" s="1"/>
  <c r="P46"/>
  <c r="AE46"/>
  <c r="AJ46"/>
  <c r="AT46"/>
  <c r="AV46" s="1"/>
  <c r="AW46" s="1"/>
  <c r="P45"/>
  <c r="AE45"/>
  <c r="AJ45"/>
  <c r="AT45"/>
  <c r="AV45" s="1"/>
  <c r="AW45" s="1"/>
  <c r="B11"/>
  <c r="P44"/>
  <c r="AE44"/>
  <c r="AJ44"/>
  <c r="AT44"/>
  <c r="AV44" s="1"/>
  <c r="AW44" s="1"/>
  <c r="P41"/>
  <c r="P42"/>
  <c r="P43"/>
  <c r="AE41"/>
  <c r="AE42"/>
  <c r="AE43"/>
  <c r="AJ41"/>
  <c r="AJ42"/>
  <c r="AJ43"/>
  <c r="AT41"/>
  <c r="AV41" s="1"/>
  <c r="AW41" s="1"/>
  <c r="AT42"/>
  <c r="AV42" s="1"/>
  <c r="AW42" s="1"/>
  <c r="AT43"/>
  <c r="AV43" s="1"/>
  <c r="AW43" s="1"/>
  <c r="P40"/>
  <c r="AE40"/>
  <c r="AJ40"/>
  <c r="AT40"/>
  <c r="AV40" s="1"/>
  <c r="AW40" s="1"/>
  <c r="B10"/>
  <c r="AL2" i="27"/>
  <c r="AL3"/>
  <c r="AL4"/>
  <c r="AL5"/>
  <c r="AH2"/>
  <c r="B14"/>
  <c r="B12"/>
  <c r="P39" i="9"/>
  <c r="AE39"/>
  <c r="AJ39"/>
  <c r="AT39"/>
  <c r="P38"/>
  <c r="AE38"/>
  <c r="AJ38"/>
  <c r="AT38"/>
  <c r="P37"/>
  <c r="AE37"/>
  <c r="AJ37"/>
  <c r="AT37"/>
  <c r="P36"/>
  <c r="AE36"/>
  <c r="AJ36"/>
  <c r="AT36"/>
  <c r="P35"/>
  <c r="AE35"/>
  <c r="AJ35"/>
  <c r="AT35"/>
  <c r="B9"/>
  <c r="B8" i="27"/>
  <c r="A4" i="28"/>
  <c r="C4"/>
  <c r="A197" i="24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A196"/>
  <c r="C196"/>
  <c r="K2" i="9"/>
  <c r="B7" i="27"/>
  <c r="P18" i="9"/>
  <c r="AE18"/>
  <c r="AJ18"/>
  <c r="AT18"/>
  <c r="P17"/>
  <c r="AE17"/>
  <c r="AJ17"/>
  <c r="AT17"/>
  <c r="P16"/>
  <c r="AE16"/>
  <c r="AJ16"/>
  <c r="AT16"/>
  <c r="P15"/>
  <c r="AE15"/>
  <c r="AJ15"/>
  <c r="AT15"/>
  <c r="P14"/>
  <c r="AE14"/>
  <c r="AJ14"/>
  <c r="AT14"/>
  <c r="P13"/>
  <c r="AE13"/>
  <c r="AJ13"/>
  <c r="AT13"/>
  <c r="P12"/>
  <c r="AE12"/>
  <c r="AJ12"/>
  <c r="AT12"/>
  <c r="P11"/>
  <c r="AE11"/>
  <c r="AJ11"/>
  <c r="AT11"/>
  <c r="B6"/>
  <c r="AQ2" i="27"/>
  <c r="AP2"/>
  <c r="AO2"/>
  <c r="AS2" i="29"/>
  <c r="AR2"/>
  <c r="AP2"/>
  <c r="AH2"/>
  <c r="AG2" s="1"/>
  <c r="X2"/>
  <c r="Y2"/>
  <c r="U2"/>
  <c r="T2"/>
  <c r="D2"/>
  <c r="D3" s="1"/>
  <c r="J3" s="1"/>
  <c r="A2"/>
  <c r="A3"/>
  <c r="C3"/>
  <c r="AV2"/>
  <c r="C2"/>
  <c r="BA2" i="28"/>
  <c r="AZ2"/>
  <c r="AY2"/>
  <c r="AM2"/>
  <c r="AL2"/>
  <c r="AK2"/>
  <c r="AJ2"/>
  <c r="AG2"/>
  <c r="X2"/>
  <c r="Y2"/>
  <c r="T2"/>
  <c r="U2"/>
  <c r="R2" i="19"/>
  <c r="R3"/>
  <c r="R4"/>
  <c r="A2" i="28"/>
  <c r="A3"/>
  <c r="C2"/>
  <c r="C3"/>
  <c r="BS2" i="9"/>
  <c r="BS3"/>
  <c r="BX2"/>
  <c r="BX3" s="1"/>
  <c r="BX4" s="1"/>
  <c r="CE2"/>
  <c r="CG2"/>
  <c r="P2" i="19"/>
  <c r="P3"/>
  <c r="P4"/>
  <c r="S2"/>
  <c r="S3" s="1"/>
  <c r="S4" s="1"/>
  <c r="AG2" i="27"/>
  <c r="AK2"/>
  <c r="B2"/>
  <c r="B3"/>
  <c r="B4"/>
  <c r="B5"/>
  <c r="B6"/>
  <c r="K2"/>
  <c r="A2"/>
  <c r="M6"/>
  <c r="BK2" i="9"/>
  <c r="BJ2"/>
  <c r="BD2"/>
  <c r="BD3" s="1"/>
  <c r="BD4" s="1"/>
  <c r="BD5" s="1"/>
  <c r="BD6" s="1"/>
  <c r="BC3"/>
  <c r="BC4"/>
  <c r="BC5"/>
  <c r="BC6"/>
  <c r="BC2"/>
  <c r="AT2"/>
  <c r="AT3"/>
  <c r="AV3" s="1"/>
  <c r="AW3" s="1"/>
  <c r="AT4"/>
  <c r="AT5"/>
  <c r="AT6"/>
  <c r="AT7"/>
  <c r="AV7" s="1"/>
  <c r="AW7" s="1"/>
  <c r="AT8"/>
  <c r="AT9"/>
  <c r="AV9" s="1"/>
  <c r="AW9" s="1"/>
  <c r="AT10"/>
  <c r="AV10" s="1"/>
  <c r="AW10" s="1"/>
  <c r="AJ2"/>
  <c r="AJ3"/>
  <c r="AL3" s="1"/>
  <c r="AJ4"/>
  <c r="AJ5"/>
  <c r="AJ6"/>
  <c r="AJ7"/>
  <c r="AJ8"/>
  <c r="AJ9"/>
  <c r="AJ10"/>
  <c r="AE5"/>
  <c r="AE3"/>
  <c r="AE8"/>
  <c r="AE10"/>
  <c r="P2"/>
  <c r="P3"/>
  <c r="P4"/>
  <c r="P5"/>
  <c r="P6"/>
  <c r="P7"/>
  <c r="P8"/>
  <c r="P9"/>
  <c r="P10"/>
  <c r="B2"/>
  <c r="B3"/>
  <c r="B4"/>
  <c r="B5"/>
  <c r="A2"/>
  <c r="C2" i="19"/>
  <c r="C3"/>
  <c r="Z23" i="28" s="1"/>
  <c r="C4" i="19"/>
  <c r="C5"/>
  <c r="C6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A2" i="1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C2"/>
  <c r="C3" s="1"/>
  <c r="B2"/>
  <c r="E2" i="28" s="1"/>
  <c r="B3" i="14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A2" i="2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E3" i="31"/>
  <c r="E4"/>
  <c r="AB32" i="27" l="1"/>
  <c r="AI32"/>
  <c r="DC11" i="9"/>
  <c r="AB28" i="27"/>
  <c r="AK28" s="1"/>
  <c r="AB31"/>
  <c r="AB30"/>
  <c r="AB27"/>
  <c r="AB29"/>
  <c r="DC6" i="9"/>
  <c r="DC10"/>
  <c r="DC7"/>
  <c r="DC9"/>
  <c r="DC5"/>
  <c r="DC8"/>
  <c r="AI30" i="27"/>
  <c r="AI31"/>
  <c r="AI29"/>
  <c r="AI28"/>
  <c r="AI26"/>
  <c r="AI27"/>
  <c r="AB26"/>
  <c r="AB25"/>
  <c r="AV63" i="28"/>
  <c r="AH26" i="27"/>
  <c r="AH24"/>
  <c r="AH25"/>
  <c r="AV62" i="28"/>
  <c r="AI25" i="27"/>
  <c r="AB24"/>
  <c r="AI23"/>
  <c r="AI24"/>
  <c r="AY62" i="28"/>
  <c r="AZ61"/>
  <c r="AZ59"/>
  <c r="AZ57"/>
  <c r="AZ55"/>
  <c r="AZ53"/>
  <c r="Z24"/>
  <c r="BA14"/>
  <c r="AY61"/>
  <c r="AY59"/>
  <c r="AY57"/>
  <c r="AY55"/>
  <c r="AY53"/>
  <c r="Z25"/>
  <c r="AZ60"/>
  <c r="AZ56"/>
  <c r="AZ52"/>
  <c r="BA53"/>
  <c r="AZ14"/>
  <c r="Z27"/>
  <c r="BA63"/>
  <c r="BA60"/>
  <c r="BA58"/>
  <c r="BA56"/>
  <c r="BA54"/>
  <c r="BA52"/>
  <c r="AZ63"/>
  <c r="AZ58"/>
  <c r="AZ54"/>
  <c r="AY63"/>
  <c r="AY58"/>
  <c r="AY56"/>
  <c r="AY54"/>
  <c r="AY52"/>
  <c r="BA62"/>
  <c r="AZ62"/>
  <c r="BA61"/>
  <c r="BA59"/>
  <c r="BA57"/>
  <c r="BA55"/>
  <c r="Z26"/>
  <c r="Z28"/>
  <c r="AB23" i="27"/>
  <c r="AH23"/>
  <c r="AB21"/>
  <c r="AB22"/>
  <c r="AB20"/>
  <c r="AV14" i="28"/>
  <c r="AH21" i="27"/>
  <c r="AV56" i="28"/>
  <c r="M28"/>
  <c r="AV60"/>
  <c r="AV61"/>
  <c r="AV53"/>
  <c r="M25"/>
  <c r="AV58"/>
  <c r="M26"/>
  <c r="AV57"/>
  <c r="M5"/>
  <c r="AH20" i="27"/>
  <c r="AV55" i="28"/>
  <c r="AV52"/>
  <c r="AH22" i="27"/>
  <c r="M23" i="28"/>
  <c r="AV54"/>
  <c r="AV59"/>
  <c r="M27"/>
  <c r="M24"/>
  <c r="AI22" i="27"/>
  <c r="AI21"/>
  <c r="AI20"/>
  <c r="AB17"/>
  <c r="AB18"/>
  <c r="AB16"/>
  <c r="AB19"/>
  <c r="AH16"/>
  <c r="M22" i="28"/>
  <c r="V22" s="1"/>
  <c r="T22" s="1"/>
  <c r="M18"/>
  <c r="V18" s="1"/>
  <c r="T18" s="1"/>
  <c r="M15"/>
  <c r="AA15" s="1"/>
  <c r="M20"/>
  <c r="AB20" s="1"/>
  <c r="AH17" i="27"/>
  <c r="AV43" i="28"/>
  <c r="AV50"/>
  <c r="AV45"/>
  <c r="AV41"/>
  <c r="M19"/>
  <c r="AA19" s="1"/>
  <c r="M16"/>
  <c r="V16" s="1"/>
  <c r="T16" s="1"/>
  <c r="AV48"/>
  <c r="AV40"/>
  <c r="AH18" i="27"/>
  <c r="M17" i="28"/>
  <c r="V17" s="1"/>
  <c r="T17" s="1"/>
  <c r="AV49"/>
  <c r="M21"/>
  <c r="V21" s="1"/>
  <c r="T21" s="1"/>
  <c r="AV47"/>
  <c r="AH19" i="27"/>
  <c r="AV44" i="28"/>
  <c r="M14"/>
  <c r="V14" s="1"/>
  <c r="T14" s="1"/>
  <c r="AV51"/>
  <c r="AV46"/>
  <c r="AV42"/>
  <c r="AY51"/>
  <c r="AZ50"/>
  <c r="BA50"/>
  <c r="Z22"/>
  <c r="AY50"/>
  <c r="Z21"/>
  <c r="BA51"/>
  <c r="AZ51"/>
  <c r="AI18" i="27"/>
  <c r="AI19"/>
  <c r="AI16"/>
  <c r="AI17"/>
  <c r="AB15"/>
  <c r="AG15" s="1"/>
  <c r="AB14"/>
  <c r="AG14" s="1"/>
  <c r="BA49" i="28"/>
  <c r="AZ49"/>
  <c r="AY49"/>
  <c r="Z20"/>
  <c r="AY47"/>
  <c r="AZ44"/>
  <c r="BA41"/>
  <c r="BA46"/>
  <c r="AY44"/>
  <c r="AZ41"/>
  <c r="AZ46"/>
  <c r="BA43"/>
  <c r="AY41"/>
  <c r="BA48"/>
  <c r="AY46"/>
  <c r="AZ43"/>
  <c r="BA40"/>
  <c r="AZ48"/>
  <c r="BA45"/>
  <c r="AY43"/>
  <c r="AZ40"/>
  <c r="AZ47"/>
  <c r="AY42"/>
  <c r="AY48"/>
  <c r="AZ45"/>
  <c r="BA42"/>
  <c r="AY40"/>
  <c r="BA47"/>
  <c r="AY45"/>
  <c r="AZ42"/>
  <c r="BA44"/>
  <c r="Z19"/>
  <c r="Z18"/>
  <c r="Z17"/>
  <c r="Z16"/>
  <c r="Z15"/>
  <c r="Z14"/>
  <c r="AZ37"/>
  <c r="BA32"/>
  <c r="AZ38"/>
  <c r="Z13"/>
  <c r="BA39"/>
  <c r="AZ35"/>
  <c r="AZ39"/>
  <c r="BA36"/>
  <c r="AZ36"/>
  <c r="BA37"/>
  <c r="BA38"/>
  <c r="AY38"/>
  <c r="BA35"/>
  <c r="AY37"/>
  <c r="AY39"/>
  <c r="AY32"/>
  <c r="AH15" i="27"/>
  <c r="AI15"/>
  <c r="AV32" i="28"/>
  <c r="M13"/>
  <c r="AV37"/>
  <c r="M12"/>
  <c r="AV36"/>
  <c r="AV38"/>
  <c r="AV39"/>
  <c r="AV35"/>
  <c r="M11"/>
  <c r="M10"/>
  <c r="AC10" s="1"/>
  <c r="AV33"/>
  <c r="AH14" i="27"/>
  <c r="AV34" i="28"/>
  <c r="AI13" i="27"/>
  <c r="AI14"/>
  <c r="AB13"/>
  <c r="Z10" i="28"/>
  <c r="AZ33"/>
  <c r="AY30"/>
  <c r="BA28"/>
  <c r="BA23"/>
  <c r="AZ20"/>
  <c r="AY17"/>
  <c r="BA15"/>
  <c r="BA29"/>
  <c r="AZ21"/>
  <c r="BA30"/>
  <c r="BA25"/>
  <c r="AZ22"/>
  <c r="BA17"/>
  <c r="AY33"/>
  <c r="BA31"/>
  <c r="AZ28"/>
  <c r="BA26"/>
  <c r="AZ23"/>
  <c r="BA18"/>
  <c r="AZ15"/>
  <c r="AY31"/>
  <c r="BA24"/>
  <c r="AZ31"/>
  <c r="AZ26"/>
  <c r="AY23"/>
  <c r="BA21"/>
  <c r="AZ18"/>
  <c r="AY15"/>
  <c r="BA16"/>
  <c r="AY34"/>
  <c r="AY29"/>
  <c r="AZ27"/>
  <c r="AY24"/>
  <c r="BA22"/>
  <c r="AZ19"/>
  <c r="BA33"/>
  <c r="AZ30"/>
  <c r="AZ25"/>
  <c r="AY22"/>
  <c r="BA20"/>
  <c r="AZ17"/>
  <c r="BA34"/>
  <c r="AY26"/>
  <c r="AY18"/>
  <c r="AZ34"/>
  <c r="AZ29"/>
  <c r="BA27"/>
  <c r="AZ24"/>
  <c r="AY21"/>
  <c r="BA19"/>
  <c r="AZ16"/>
  <c r="AY27"/>
  <c r="AY19"/>
  <c r="AH13" i="27"/>
  <c r="AB11"/>
  <c r="AB9"/>
  <c r="AB12"/>
  <c r="AB10"/>
  <c r="AV10" i="28"/>
  <c r="AV11"/>
  <c r="AV9"/>
  <c r="AV28"/>
  <c r="AV30"/>
  <c r="AV31"/>
  <c r="AV29"/>
  <c r="M9"/>
  <c r="AV12"/>
  <c r="AH11" i="27"/>
  <c r="M6" i="28"/>
  <c r="AV18"/>
  <c r="M8"/>
  <c r="AV21"/>
  <c r="M7"/>
  <c r="AV26"/>
  <c r="AV24"/>
  <c r="AV20"/>
  <c r="AH10" i="27"/>
  <c r="AV27" i="28"/>
  <c r="AV25"/>
  <c r="AV23"/>
  <c r="AV19"/>
  <c r="AV15"/>
  <c r="M4"/>
  <c r="AV22"/>
  <c r="AH12" i="27"/>
  <c r="AV17" i="28"/>
  <c r="AH9" i="27"/>
  <c r="AV16" i="28"/>
  <c r="AV13"/>
  <c r="AI11" i="27"/>
  <c r="AI12"/>
  <c r="AI10"/>
  <c r="AI9"/>
  <c r="G4" i="19"/>
  <c r="BA12" i="28"/>
  <c r="BA10"/>
  <c r="AZ12"/>
  <c r="AZ10"/>
  <c r="AY12"/>
  <c r="BA11"/>
  <c r="BA9"/>
  <c r="BA13"/>
  <c r="AZ13"/>
  <c r="AZ11"/>
  <c r="AZ9"/>
  <c r="AY13"/>
  <c r="AY11"/>
  <c r="AY9"/>
  <c r="AH7" i="27"/>
  <c r="DO3" i="9"/>
  <c r="DO2"/>
  <c r="AH6" i="27"/>
  <c r="AH8"/>
  <c r="AH5"/>
  <c r="DC2" i="9"/>
  <c r="DC4"/>
  <c r="DC3"/>
  <c r="AV4"/>
  <c r="AW4" s="1"/>
  <c r="AV5"/>
  <c r="AW5" s="1"/>
  <c r="AU7"/>
  <c r="AU4"/>
  <c r="AU6"/>
  <c r="AU5"/>
  <c r="AV2"/>
  <c r="AW2" s="1"/>
  <c r="AU3"/>
  <c r="AU2"/>
  <c r="AV6"/>
  <c r="AW6" s="1"/>
  <c r="AV14"/>
  <c r="AW14" s="1"/>
  <c r="AV22"/>
  <c r="AW22" s="1"/>
  <c r="AV38"/>
  <c r="AW38" s="1"/>
  <c r="AV54"/>
  <c r="AW54" s="1"/>
  <c r="AV62"/>
  <c r="AW62" s="1"/>
  <c r="AU15"/>
  <c r="AU23"/>
  <c r="AU31"/>
  <c r="AU39"/>
  <c r="AU47"/>
  <c r="AU55"/>
  <c r="AU63"/>
  <c r="AV35"/>
  <c r="AW35" s="1"/>
  <c r="AU20"/>
  <c r="AU36"/>
  <c r="AU60"/>
  <c r="AV26"/>
  <c r="AW26" s="1"/>
  <c r="AU51"/>
  <c r="AV23"/>
  <c r="AW23" s="1"/>
  <c r="AU24"/>
  <c r="AU64"/>
  <c r="AV13"/>
  <c r="AW13" s="1"/>
  <c r="AV21"/>
  <c r="AW21" s="1"/>
  <c r="AV37"/>
  <c r="AW37" s="1"/>
  <c r="AV53"/>
  <c r="AW53" s="1"/>
  <c r="AV61"/>
  <c r="AW61" s="1"/>
  <c r="AU14"/>
  <c r="AU22"/>
  <c r="AU30"/>
  <c r="AU38"/>
  <c r="AU46"/>
  <c r="AU54"/>
  <c r="AU62"/>
  <c r="AV19"/>
  <c r="AW19" s="1"/>
  <c r="AU12"/>
  <c r="AU28"/>
  <c r="AU44"/>
  <c r="AU68"/>
  <c r="AU11"/>
  <c r="AU19"/>
  <c r="AU27"/>
  <c r="AU43"/>
  <c r="AU59"/>
  <c r="AV39"/>
  <c r="AW39" s="1"/>
  <c r="AU40"/>
  <c r="AV12"/>
  <c r="AW12" s="1"/>
  <c r="AV20"/>
  <c r="AW20" s="1"/>
  <c r="AV36"/>
  <c r="AW36" s="1"/>
  <c r="AV52"/>
  <c r="AW52" s="1"/>
  <c r="AU13"/>
  <c r="AU21"/>
  <c r="AU29"/>
  <c r="AU37"/>
  <c r="AU45"/>
  <c r="AU53"/>
  <c r="AU61"/>
  <c r="AV11"/>
  <c r="AW11" s="1"/>
  <c r="AV51"/>
  <c r="AW51" s="1"/>
  <c r="AU52"/>
  <c r="AV18"/>
  <c r="AW18" s="1"/>
  <c r="AU35"/>
  <c r="AU67"/>
  <c r="AV63"/>
  <c r="AW63" s="1"/>
  <c r="AU48"/>
  <c r="AV17"/>
  <c r="AW17" s="1"/>
  <c r="AV25"/>
  <c r="AW25" s="1"/>
  <c r="AU10"/>
  <c r="AU18"/>
  <c r="AU26"/>
  <c r="AU34"/>
  <c r="AU42"/>
  <c r="AU50"/>
  <c r="AU58"/>
  <c r="AU66"/>
  <c r="AV8"/>
  <c r="AW8" s="1"/>
  <c r="AV16"/>
  <c r="AW16" s="1"/>
  <c r="AV24"/>
  <c r="AW24" s="1"/>
  <c r="AV64"/>
  <c r="AW64" s="1"/>
  <c r="AU9"/>
  <c r="AU17"/>
  <c r="AU25"/>
  <c r="AU33"/>
  <c r="AU41"/>
  <c r="AU49"/>
  <c r="AU57"/>
  <c r="AU65"/>
  <c r="AV15"/>
  <c r="AW15" s="1"/>
  <c r="AV55"/>
  <c r="AW55" s="1"/>
  <c r="AU8"/>
  <c r="AU16"/>
  <c r="AU32"/>
  <c r="AU56"/>
  <c r="AB8" i="27"/>
  <c r="AB6"/>
  <c r="AI6"/>
  <c r="AK33" i="9"/>
  <c r="AK29"/>
  <c r="AK32"/>
  <c r="AK30"/>
  <c r="AK31"/>
  <c r="AK28"/>
  <c r="AK27"/>
  <c r="AK34"/>
  <c r="AG19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G54" s="1"/>
  <c r="AG55" s="1"/>
  <c r="AG56" s="1"/>
  <c r="AG57" s="1"/>
  <c r="AG58" s="1"/>
  <c r="AG59" s="1"/>
  <c r="AG60" s="1"/>
  <c r="AG61" s="1"/>
  <c r="AG62" s="1"/>
  <c r="AG63" s="1"/>
  <c r="AG64" s="1"/>
  <c r="AG65" s="1"/>
  <c r="AG66" s="1"/>
  <c r="AG67" s="1"/>
  <c r="AG68" s="1"/>
  <c r="AH19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H51" s="1"/>
  <c r="AH52" s="1"/>
  <c r="AH53" s="1"/>
  <c r="AH54" s="1"/>
  <c r="AH55" s="1"/>
  <c r="AH56" s="1"/>
  <c r="AH57" s="1"/>
  <c r="AH58" s="1"/>
  <c r="AH59" s="1"/>
  <c r="AH60" s="1"/>
  <c r="AH61" s="1"/>
  <c r="AH62" s="1"/>
  <c r="AH63" s="1"/>
  <c r="AH64" s="1"/>
  <c r="AH65" s="1"/>
  <c r="AH66" s="1"/>
  <c r="AH67" s="1"/>
  <c r="AH68" s="1"/>
  <c r="AK24"/>
  <c r="AK23"/>
  <c r="AK22"/>
  <c r="AK21"/>
  <c r="AK25"/>
  <c r="AK20"/>
  <c r="AK19"/>
  <c r="AK26"/>
  <c r="AI19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I54" s="1"/>
  <c r="AI55" s="1"/>
  <c r="AI56" s="1"/>
  <c r="AI57" s="1"/>
  <c r="AI58" s="1"/>
  <c r="AI59" s="1"/>
  <c r="AI60" s="1"/>
  <c r="AI61" s="1"/>
  <c r="AI62" s="1"/>
  <c r="AI63" s="1"/>
  <c r="AI64" s="1"/>
  <c r="AI65" s="1"/>
  <c r="AI66" s="1"/>
  <c r="AI67" s="1"/>
  <c r="AI68" s="1"/>
  <c r="AI8" i="27"/>
  <c r="AK67" i="9"/>
  <c r="AK66"/>
  <c r="AK68"/>
  <c r="AK65"/>
  <c r="AK64"/>
  <c r="AK63"/>
  <c r="AK62"/>
  <c r="AK57"/>
  <c r="AK59"/>
  <c r="AK61"/>
  <c r="J6" i="31"/>
  <c r="AI3" i="27"/>
  <c r="AI4"/>
  <c r="AI7"/>
  <c r="AI5"/>
  <c r="AK58" i="9"/>
  <c r="AK60"/>
  <c r="AK56"/>
  <c r="AK55"/>
  <c r="AK54"/>
  <c r="AK53"/>
  <c r="AK52"/>
  <c r="AK51"/>
  <c r="AK50"/>
  <c r="AH4" i="27"/>
  <c r="AH3"/>
  <c r="AB2" i="9"/>
  <c r="AK49"/>
  <c r="AK48"/>
  <c r="AK47"/>
  <c r="AK45"/>
  <c r="AK46"/>
  <c r="AK44"/>
  <c r="AK43"/>
  <c r="AK41"/>
  <c r="AK42"/>
  <c r="AK40"/>
  <c r="AK38"/>
  <c r="AI2" i="27"/>
  <c r="AE2"/>
  <c r="Y6"/>
  <c r="Y2"/>
  <c r="Y3"/>
  <c r="Y4"/>
  <c r="Y5"/>
  <c r="AZ8" i="28"/>
  <c r="AY8"/>
  <c r="AY6"/>
  <c r="AY4"/>
  <c r="Z2"/>
  <c r="BA3"/>
  <c r="BA8"/>
  <c r="BA4"/>
  <c r="AY7"/>
  <c r="BA5"/>
  <c r="AZ7"/>
  <c r="AY3"/>
  <c r="BA7"/>
  <c r="AC2"/>
  <c r="AZ3"/>
  <c r="AZ6"/>
  <c r="AB2"/>
  <c r="AZ4"/>
  <c r="BA6"/>
  <c r="AA2"/>
  <c r="AZ5"/>
  <c r="AK39" i="9"/>
  <c r="AK37"/>
  <c r="AK36"/>
  <c r="AK35"/>
  <c r="J2" i="28"/>
  <c r="J3"/>
  <c r="AV8"/>
  <c r="AV6"/>
  <c r="J4"/>
  <c r="AV7"/>
  <c r="J2" i="29"/>
  <c r="Y7" i="27"/>
  <c r="AK18" i="9"/>
  <c r="AK16"/>
  <c r="AK17"/>
  <c r="AK15"/>
  <c r="AK14"/>
  <c r="AK12"/>
  <c r="AK13"/>
  <c r="AK11"/>
  <c r="BY2"/>
  <c r="BZ2"/>
  <c r="M3" i="29"/>
  <c r="Y3" s="1"/>
  <c r="AI2"/>
  <c r="AE2"/>
  <c r="V2"/>
  <c r="Z2"/>
  <c r="AC2"/>
  <c r="AB2"/>
  <c r="AA2"/>
  <c r="AV5" i="28"/>
  <c r="F5" i="9"/>
  <c r="E2" i="29"/>
  <c r="E3"/>
  <c r="AV4" i="28"/>
  <c r="AV3"/>
  <c r="AS2"/>
  <c r="AV2"/>
  <c r="AE2"/>
  <c r="AH2"/>
  <c r="V2"/>
  <c r="M3"/>
  <c r="E3"/>
  <c r="CH2" i="9"/>
  <c r="T3" i="19"/>
  <c r="T4"/>
  <c r="AB4" i="27"/>
  <c r="AB3"/>
  <c r="M3"/>
  <c r="M5"/>
  <c r="M4"/>
  <c r="E4"/>
  <c r="E3"/>
  <c r="E5"/>
  <c r="E6"/>
  <c r="BE6" i="9"/>
  <c r="AL4"/>
  <c r="AL5" s="1"/>
  <c r="AL6" s="1"/>
  <c r="AL7" s="1"/>
  <c r="AL8" s="1"/>
  <c r="AL9" s="1"/>
  <c r="AL10" s="1"/>
  <c r="AL11" s="1"/>
  <c r="AM3"/>
  <c r="AK10"/>
  <c r="AK9"/>
  <c r="AK3"/>
  <c r="AK2"/>
  <c r="AK4"/>
  <c r="AK6"/>
  <c r="AK7"/>
  <c r="AK8"/>
  <c r="AK5"/>
  <c r="AB3"/>
  <c r="BE3"/>
  <c r="BE5"/>
  <c r="M2"/>
  <c r="F4"/>
  <c r="F3"/>
  <c r="D2" i="19"/>
  <c r="N2" s="1"/>
  <c r="D3" i="14"/>
  <c r="C4"/>
  <c r="C5" s="1"/>
  <c r="C6" s="1"/>
  <c r="E14" i="27" s="1"/>
  <c r="B4" i="25"/>
  <c r="E3"/>
  <c r="E2"/>
  <c r="AE9" i="9"/>
  <c r="AE7"/>
  <c r="C27" i="21"/>
  <c r="C28"/>
  <c r="C29"/>
  <c r="C30"/>
  <c r="C31"/>
  <c r="C32"/>
  <c r="C33"/>
  <c r="C34"/>
  <c r="C35"/>
  <c r="D27"/>
  <c r="D28"/>
  <c r="D29"/>
  <c r="D30"/>
  <c r="D31"/>
  <c r="D32"/>
  <c r="D33"/>
  <c r="D34"/>
  <c r="D35"/>
  <c r="H27"/>
  <c r="H28"/>
  <c r="H29"/>
  <c r="H30"/>
  <c r="H31"/>
  <c r="H32"/>
  <c r="H33"/>
  <c r="H34"/>
  <c r="H35"/>
  <c r="J27"/>
  <c r="J28"/>
  <c r="J29"/>
  <c r="J30"/>
  <c r="J31"/>
  <c r="J32"/>
  <c r="J33"/>
  <c r="J34"/>
  <c r="J35"/>
  <c r="C2"/>
  <c r="D2"/>
  <c r="H2"/>
  <c r="J2"/>
  <c r="C8"/>
  <c r="D8"/>
  <c r="H8"/>
  <c r="J8"/>
  <c r="C13"/>
  <c r="D13"/>
  <c r="H13"/>
  <c r="J13"/>
  <c r="C10"/>
  <c r="C11"/>
  <c r="C12"/>
  <c r="C14"/>
  <c r="C15"/>
  <c r="C16"/>
  <c r="C17"/>
  <c r="C18"/>
  <c r="C19"/>
  <c r="C20"/>
  <c r="C21"/>
  <c r="D10"/>
  <c r="D11"/>
  <c r="D12"/>
  <c r="D14"/>
  <c r="D15"/>
  <c r="D16"/>
  <c r="D17"/>
  <c r="D18"/>
  <c r="D19"/>
  <c r="D20"/>
  <c r="D21"/>
  <c r="H10"/>
  <c r="H11"/>
  <c r="H12"/>
  <c r="H14"/>
  <c r="H15"/>
  <c r="H16"/>
  <c r="H17"/>
  <c r="H18"/>
  <c r="H19"/>
  <c r="H20"/>
  <c r="H21"/>
  <c r="J10"/>
  <c r="J11"/>
  <c r="J12"/>
  <c r="J14"/>
  <c r="J15"/>
  <c r="J16"/>
  <c r="J17"/>
  <c r="J18"/>
  <c r="J19"/>
  <c r="J20"/>
  <c r="J21"/>
  <c r="AE4" i="9"/>
  <c r="AE6"/>
  <c r="AE32" i="27" l="1"/>
  <c r="AK32"/>
  <c r="AG32"/>
  <c r="AG28"/>
  <c r="AK30"/>
  <c r="AG30"/>
  <c r="AK27"/>
  <c r="AG27"/>
  <c r="AK29"/>
  <c r="AG29"/>
  <c r="AK31"/>
  <c r="AG31"/>
  <c r="AE29"/>
  <c r="AE31"/>
  <c r="AE30"/>
  <c r="AE28"/>
  <c r="AE27"/>
  <c r="AK26"/>
  <c r="AG26"/>
  <c r="AK25"/>
  <c r="AG25"/>
  <c r="AE26"/>
  <c r="AE25"/>
  <c r="AK24"/>
  <c r="AG24"/>
  <c r="AE24"/>
  <c r="AK23"/>
  <c r="AG23"/>
  <c r="AE23"/>
  <c r="AK21"/>
  <c r="AG21"/>
  <c r="AK22"/>
  <c r="AG22"/>
  <c r="AK20"/>
  <c r="AG20"/>
  <c r="Y26" i="28"/>
  <c r="AC26"/>
  <c r="V26"/>
  <c r="T26" s="1"/>
  <c r="AB26"/>
  <c r="AA26"/>
  <c r="U26"/>
  <c r="Y27"/>
  <c r="AB27"/>
  <c r="AA27"/>
  <c r="AC27"/>
  <c r="V27"/>
  <c r="T27" s="1"/>
  <c r="U27"/>
  <c r="U5"/>
  <c r="AC5"/>
  <c r="V5"/>
  <c r="T5" s="1"/>
  <c r="AB5"/>
  <c r="AA5"/>
  <c r="Y5"/>
  <c r="Y28"/>
  <c r="AB28"/>
  <c r="U28"/>
  <c r="V28"/>
  <c r="T28" s="1"/>
  <c r="AC28"/>
  <c r="AA28"/>
  <c r="Y24"/>
  <c r="AC24"/>
  <c r="U24"/>
  <c r="V24"/>
  <c r="T24" s="1"/>
  <c r="AB24"/>
  <c r="AA24"/>
  <c r="Y25"/>
  <c r="AB25"/>
  <c r="AC25"/>
  <c r="U25"/>
  <c r="V25"/>
  <c r="T25" s="1"/>
  <c r="AA25"/>
  <c r="Y23"/>
  <c r="AB23"/>
  <c r="AA23"/>
  <c r="V23"/>
  <c r="T23" s="1"/>
  <c r="AC23"/>
  <c r="U23"/>
  <c r="AE21" i="27"/>
  <c r="AE22"/>
  <c r="AE20"/>
  <c r="AK18"/>
  <c r="AG18"/>
  <c r="AK19"/>
  <c r="AG19"/>
  <c r="AK16"/>
  <c r="AG16"/>
  <c r="AK17"/>
  <c r="AG17"/>
  <c r="AA17" i="28"/>
  <c r="AB19"/>
  <c r="AC17"/>
  <c r="AB17"/>
  <c r="AB14"/>
  <c r="AA14"/>
  <c r="AC14"/>
  <c r="AC20"/>
  <c r="AB16"/>
  <c r="AB15"/>
  <c r="AC15"/>
  <c r="AB22"/>
  <c r="U21"/>
  <c r="Y21"/>
  <c r="Y18"/>
  <c r="U18"/>
  <c r="Y20"/>
  <c r="U20"/>
  <c r="Y14"/>
  <c r="U14"/>
  <c r="AC22"/>
  <c r="AC16"/>
  <c r="AA20"/>
  <c r="U19"/>
  <c r="Y19"/>
  <c r="Y15"/>
  <c r="U15"/>
  <c r="AA22"/>
  <c r="AC18"/>
  <c r="AE19" i="27"/>
  <c r="AA18" i="28"/>
  <c r="V20"/>
  <c r="T20" s="1"/>
  <c r="V15"/>
  <c r="T15" s="1"/>
  <c r="AA21"/>
  <c r="Y22"/>
  <c r="U22"/>
  <c r="Y16"/>
  <c r="U16"/>
  <c r="Y17"/>
  <c r="U17"/>
  <c r="AC21"/>
  <c r="AA16"/>
  <c r="AC19"/>
  <c r="AB18"/>
  <c r="V19"/>
  <c r="T19" s="1"/>
  <c r="AB21"/>
  <c r="AE18" i="27"/>
  <c r="AE17"/>
  <c r="AE16"/>
  <c r="AK15"/>
  <c r="AK14"/>
  <c r="AE15"/>
  <c r="AB10" i="28"/>
  <c r="Y12"/>
  <c r="AA12"/>
  <c r="AB12"/>
  <c r="U12"/>
  <c r="AC12"/>
  <c r="V12"/>
  <c r="T12" s="1"/>
  <c r="Y13"/>
  <c r="V13"/>
  <c r="T13" s="1"/>
  <c r="U13"/>
  <c r="AB13"/>
  <c r="AA13"/>
  <c r="AC13"/>
  <c r="Y11"/>
  <c r="V11"/>
  <c r="T11" s="1"/>
  <c r="U11"/>
  <c r="AC11"/>
  <c r="AA11"/>
  <c r="AB11"/>
  <c r="Y10"/>
  <c r="U10"/>
  <c r="V10"/>
  <c r="T10" s="1"/>
  <c r="AE14" i="27"/>
  <c r="AK13"/>
  <c r="AG13"/>
  <c r="AE13"/>
  <c r="AK11"/>
  <c r="AG11"/>
  <c r="AK12"/>
  <c r="AG12"/>
  <c r="AK10"/>
  <c r="AG10"/>
  <c r="AK9"/>
  <c r="AG9"/>
  <c r="Y9" i="28"/>
  <c r="V9"/>
  <c r="T9" s="1"/>
  <c r="AC9"/>
  <c r="U9"/>
  <c r="AA9"/>
  <c r="AB9"/>
  <c r="Y8"/>
  <c r="AB8"/>
  <c r="AC8"/>
  <c r="AA8"/>
  <c r="V8"/>
  <c r="T8" s="1"/>
  <c r="U8"/>
  <c r="Y6"/>
  <c r="AC6"/>
  <c r="AB6"/>
  <c r="AA6"/>
  <c r="V6"/>
  <c r="T6" s="1"/>
  <c r="U6"/>
  <c r="AE11" i="27"/>
  <c r="Y7" i="28"/>
  <c r="V7"/>
  <c r="T7" s="1"/>
  <c r="AB7"/>
  <c r="U7"/>
  <c r="AC7"/>
  <c r="AA7"/>
  <c r="AE12" i="27"/>
  <c r="Y4" i="28"/>
  <c r="AC4"/>
  <c r="V4"/>
  <c r="T4" s="1"/>
  <c r="AB4"/>
  <c r="U4"/>
  <c r="AA4"/>
  <c r="AE10" i="27"/>
  <c r="AE9"/>
  <c r="W2" i="28"/>
  <c r="S2"/>
  <c r="G5" i="19"/>
  <c r="D3"/>
  <c r="AS7" i="28"/>
  <c r="AS6"/>
  <c r="AS9"/>
  <c r="AS3"/>
  <c r="AS8"/>
  <c r="AS5"/>
  <c r="AS4"/>
  <c r="AE6" i="27"/>
  <c r="AK8"/>
  <c r="AG8"/>
  <c r="AK6"/>
  <c r="AG6"/>
  <c r="AE8"/>
  <c r="C3" i="9"/>
  <c r="C5"/>
  <c r="C4"/>
  <c r="R8" s="1"/>
  <c r="J7" i="31"/>
  <c r="AE5" i="27"/>
  <c r="AE3"/>
  <c r="AE7"/>
  <c r="Z2" i="9"/>
  <c r="AA2"/>
  <c r="AA3" s="1"/>
  <c r="AE4" i="27"/>
  <c r="Z3" i="9"/>
  <c r="C7" i="14"/>
  <c r="C8" s="1"/>
  <c r="C9" s="1"/>
  <c r="C10" s="1"/>
  <c r="E6" i="28" s="1"/>
  <c r="E8" i="27"/>
  <c r="E7"/>
  <c r="A7" s="1"/>
  <c r="E4" i="28"/>
  <c r="F6" i="9"/>
  <c r="A6" s="1"/>
  <c r="M7" i="27"/>
  <c r="Y8"/>
  <c r="M11" i="9"/>
  <c r="AM11"/>
  <c r="AL12"/>
  <c r="A3"/>
  <c r="U3" i="29"/>
  <c r="S2"/>
  <c r="W2"/>
  <c r="AB3"/>
  <c r="AC3"/>
  <c r="V3"/>
  <c r="T3" s="1"/>
  <c r="AA3"/>
  <c r="Y3" i="28"/>
  <c r="AC3"/>
  <c r="U3"/>
  <c r="AA3"/>
  <c r="AB3"/>
  <c r="V3"/>
  <c r="S3" s="1"/>
  <c r="BE4" i="9"/>
  <c r="AK3" i="27"/>
  <c r="AG3"/>
  <c r="AK4"/>
  <c r="AG4"/>
  <c r="K5"/>
  <c r="K6"/>
  <c r="K4"/>
  <c r="K3"/>
  <c r="A4"/>
  <c r="A3"/>
  <c r="A5"/>
  <c r="A6"/>
  <c r="AM4" i="9"/>
  <c r="AD3"/>
  <c r="M3"/>
  <c r="A5"/>
  <c r="A4"/>
  <c r="D4" i="14"/>
  <c r="D5" s="1"/>
  <c r="D6" s="1"/>
  <c r="AY3" i="9"/>
  <c r="AY4"/>
  <c r="AN3"/>
  <c r="H37" i="14"/>
  <c r="H34"/>
  <c r="H20"/>
  <c r="H42"/>
  <c r="I29"/>
  <c r="H29"/>
  <c r="H3"/>
  <c r="H4"/>
  <c r="H5"/>
  <c r="H6"/>
  <c r="H43"/>
  <c r="H32"/>
  <c r="H33"/>
  <c r="H35"/>
  <c r="H36"/>
  <c r="H7"/>
  <c r="H10"/>
  <c r="H11"/>
  <c r="H13"/>
  <c r="H14"/>
  <c r="H15"/>
  <c r="H21"/>
  <c r="H12"/>
  <c r="H22"/>
  <c r="H23"/>
  <c r="H9"/>
  <c r="H24"/>
  <c r="H27"/>
  <c r="H28"/>
  <c r="H25"/>
  <c r="H8"/>
  <c r="H18"/>
  <c r="H30"/>
  <c r="H31"/>
  <c r="H19"/>
  <c r="H26"/>
  <c r="H16"/>
  <c r="H39"/>
  <c r="H40"/>
  <c r="H41"/>
  <c r="H38"/>
  <c r="H17"/>
  <c r="C10" i="3"/>
  <c r="D10"/>
  <c r="E10"/>
  <c r="F10"/>
  <c r="G10"/>
  <c r="H10"/>
  <c r="I10"/>
  <c r="J10"/>
  <c r="J3" i="21"/>
  <c r="J4"/>
  <c r="J5"/>
  <c r="J6"/>
  <c r="J7"/>
  <c r="J9"/>
  <c r="J22"/>
  <c r="J23"/>
  <c r="J24"/>
  <c r="J25"/>
  <c r="J26"/>
  <c r="J36"/>
  <c r="J37"/>
  <c r="J38"/>
  <c r="J39"/>
  <c r="J40"/>
  <c r="B24" i="1"/>
  <c r="F24" s="1"/>
  <c r="B25"/>
  <c r="H25" s="1"/>
  <c r="B26"/>
  <c r="F26" s="1"/>
  <c r="B27"/>
  <c r="F27" s="1"/>
  <c r="C24"/>
  <c r="E24" s="1"/>
  <c r="C25"/>
  <c r="E25" s="1"/>
  <c r="C26"/>
  <c r="E26" s="1"/>
  <c r="C27"/>
  <c r="E27" s="1"/>
  <c r="G27" s="1"/>
  <c r="D24"/>
  <c r="D25"/>
  <c r="D26"/>
  <c r="D27"/>
  <c r="B10"/>
  <c r="H10" s="1"/>
  <c r="C10"/>
  <c r="E10" s="1"/>
  <c r="D10"/>
  <c r="B19"/>
  <c r="H19" s="1"/>
  <c r="B20"/>
  <c r="F20" s="1"/>
  <c r="B21"/>
  <c r="H21" s="1"/>
  <c r="C19"/>
  <c r="E19" s="1"/>
  <c r="C20"/>
  <c r="E20" s="1"/>
  <c r="C21"/>
  <c r="E21" s="1"/>
  <c r="I21" s="1"/>
  <c r="D19"/>
  <c r="D20"/>
  <c r="D21"/>
  <c r="F21"/>
  <c r="B12"/>
  <c r="H12" s="1"/>
  <c r="B13"/>
  <c r="F13" s="1"/>
  <c r="B14"/>
  <c r="H14" s="1"/>
  <c r="B15"/>
  <c r="F15" s="1"/>
  <c r="B16"/>
  <c r="H16" s="1"/>
  <c r="B17"/>
  <c r="H17" s="1"/>
  <c r="B18"/>
  <c r="F18" s="1"/>
  <c r="C12"/>
  <c r="E12" s="1"/>
  <c r="I12" s="1"/>
  <c r="C13"/>
  <c r="E13" s="1"/>
  <c r="C14"/>
  <c r="E14" s="1"/>
  <c r="C15"/>
  <c r="E15" s="1"/>
  <c r="C16"/>
  <c r="E16" s="1"/>
  <c r="C17"/>
  <c r="E17" s="1"/>
  <c r="C18"/>
  <c r="E18" s="1"/>
  <c r="I18" s="1"/>
  <c r="D12"/>
  <c r="D13"/>
  <c r="D14"/>
  <c r="D15"/>
  <c r="D16"/>
  <c r="D17"/>
  <c r="D18"/>
  <c r="B11"/>
  <c r="H11" s="1"/>
  <c r="C11"/>
  <c r="E11" s="1"/>
  <c r="I11" s="1"/>
  <c r="D11"/>
  <c r="B9"/>
  <c r="H9" s="1"/>
  <c r="C9"/>
  <c r="E9" s="1"/>
  <c r="D9"/>
  <c r="B8"/>
  <c r="H8" s="1"/>
  <c r="C8"/>
  <c r="E8" s="1"/>
  <c r="D8"/>
  <c r="S5" i="28" l="1"/>
  <c r="S28"/>
  <c r="S27"/>
  <c r="S26"/>
  <c r="S25"/>
  <c r="S24"/>
  <c r="S23"/>
  <c r="Z3" i="29"/>
  <c r="X3" s="1"/>
  <c r="S22" i="28"/>
  <c r="S21"/>
  <c r="S20"/>
  <c r="S19"/>
  <c r="S18"/>
  <c r="S17"/>
  <c r="S16"/>
  <c r="S15"/>
  <c r="S14"/>
  <c r="S13"/>
  <c r="S12"/>
  <c r="S11"/>
  <c r="S10"/>
  <c r="S9"/>
  <c r="S8"/>
  <c r="S6"/>
  <c r="S7"/>
  <c r="S4"/>
  <c r="G6" i="19"/>
  <c r="Z3" i="28"/>
  <c r="N3" i="19"/>
  <c r="AY5" i="28"/>
  <c r="AF9" i="9"/>
  <c r="AF10" s="1"/>
  <c r="AF11" s="1"/>
  <c r="AF4"/>
  <c r="AF5" s="1"/>
  <c r="AB5" s="1"/>
  <c r="D4" i="19"/>
  <c r="D5"/>
  <c r="N5" s="1"/>
  <c r="AS10" i="28"/>
  <c r="C11" i="14"/>
  <c r="E12" i="27"/>
  <c r="F9" i="9"/>
  <c r="F10"/>
  <c r="AC3"/>
  <c r="R9"/>
  <c r="R7"/>
  <c r="E3"/>
  <c r="K3" s="1"/>
  <c r="R5"/>
  <c r="AX5" s="1"/>
  <c r="R4"/>
  <c r="AX4" s="1"/>
  <c r="R6"/>
  <c r="AX6" s="1"/>
  <c r="R3"/>
  <c r="AX3" s="1"/>
  <c r="E4"/>
  <c r="K4" s="1"/>
  <c r="C6"/>
  <c r="J8" i="31"/>
  <c r="A8" i="27"/>
  <c r="K8"/>
  <c r="M8"/>
  <c r="Y12"/>
  <c r="K7"/>
  <c r="D7" i="14"/>
  <c r="D8" s="1"/>
  <c r="D9" s="1"/>
  <c r="D10" s="1"/>
  <c r="R10" i="9"/>
  <c r="AN11"/>
  <c r="AY11"/>
  <c r="AD11"/>
  <c r="AM12"/>
  <c r="AL13"/>
  <c r="S3" i="29"/>
  <c r="T3" i="28"/>
  <c r="AM5" i="9"/>
  <c r="E5"/>
  <c r="K5" s="1"/>
  <c r="M4"/>
  <c r="AN4"/>
  <c r="AD4"/>
  <c r="K10" i="3"/>
  <c r="I27" i="1"/>
  <c r="J27"/>
  <c r="I26"/>
  <c r="G26"/>
  <c r="J26"/>
  <c r="J25"/>
  <c r="G25"/>
  <c r="I25"/>
  <c r="H26"/>
  <c r="F25"/>
  <c r="J24"/>
  <c r="G24"/>
  <c r="I24"/>
  <c r="H27"/>
  <c r="H24"/>
  <c r="I10"/>
  <c r="G10"/>
  <c r="J10"/>
  <c r="F16"/>
  <c r="H20"/>
  <c r="F10"/>
  <c r="F19"/>
  <c r="F14"/>
  <c r="H18"/>
  <c r="G19"/>
  <c r="I19"/>
  <c r="J19"/>
  <c r="I20"/>
  <c r="J20"/>
  <c r="G20"/>
  <c r="G15"/>
  <c r="J15"/>
  <c r="I15"/>
  <c r="G21"/>
  <c r="J21"/>
  <c r="F17"/>
  <c r="H13"/>
  <c r="J14"/>
  <c r="G14"/>
  <c r="I14"/>
  <c r="F12"/>
  <c r="J12"/>
  <c r="G12"/>
  <c r="G16"/>
  <c r="I16"/>
  <c r="J16"/>
  <c r="I17"/>
  <c r="J17"/>
  <c r="G17"/>
  <c r="G13"/>
  <c r="I13"/>
  <c r="J13"/>
  <c r="G18"/>
  <c r="H15"/>
  <c r="J18"/>
  <c r="G11"/>
  <c r="J11"/>
  <c r="F11"/>
  <c r="I9"/>
  <c r="G9"/>
  <c r="J9"/>
  <c r="F9"/>
  <c r="F8"/>
  <c r="J8"/>
  <c r="I8"/>
  <c r="G8"/>
  <c r="W3" i="29" l="1"/>
  <c r="N4" i="19"/>
  <c r="W3" i="28"/>
  <c r="G7" i="19"/>
  <c r="AB4" i="9"/>
  <c r="AB9"/>
  <c r="AB10"/>
  <c r="X3" i="28"/>
  <c r="AF6" i="9"/>
  <c r="AF7" s="1"/>
  <c r="AS11" i="28"/>
  <c r="C12" i="14"/>
  <c r="C13" s="1"/>
  <c r="C14" s="1"/>
  <c r="C15" s="1"/>
  <c r="C16" s="1"/>
  <c r="C17" s="1"/>
  <c r="C18" s="1"/>
  <c r="C19" s="1"/>
  <c r="C20" s="1"/>
  <c r="C21" s="1"/>
  <c r="C22" s="1"/>
  <c r="E7" i="28" s="1"/>
  <c r="F11" i="9"/>
  <c r="AF12"/>
  <c r="AB11"/>
  <c r="D11" i="14"/>
  <c r="J9" i="31"/>
  <c r="M12" i="27"/>
  <c r="E6" i="9"/>
  <c r="K6" s="1"/>
  <c r="R11"/>
  <c r="AX11" s="1"/>
  <c r="R18"/>
  <c r="AX18" s="1"/>
  <c r="R17"/>
  <c r="AX17" s="1"/>
  <c r="R13"/>
  <c r="AX13" s="1"/>
  <c r="R16"/>
  <c r="AX16" s="1"/>
  <c r="R14"/>
  <c r="AX14" s="1"/>
  <c r="R15"/>
  <c r="AX15" s="1"/>
  <c r="R12"/>
  <c r="AX12" s="1"/>
  <c r="AN12"/>
  <c r="AY12"/>
  <c r="AD12"/>
  <c r="M12"/>
  <c r="AM13"/>
  <c r="AL14"/>
  <c r="AM6"/>
  <c r="AY5"/>
  <c r="M5"/>
  <c r="D6" i="19"/>
  <c r="AX10" i="9"/>
  <c r="AN5"/>
  <c r="AD5"/>
  <c r="C394" i="3"/>
  <c r="D394"/>
  <c r="E394"/>
  <c r="F394"/>
  <c r="G394"/>
  <c r="H394"/>
  <c r="I394"/>
  <c r="J394"/>
  <c r="Z4" i="9" l="1"/>
  <c r="N6" i="19"/>
  <c r="AS12" i="28"/>
  <c r="G8" i="19"/>
  <c r="Z5" i="9"/>
  <c r="AA4"/>
  <c r="AA5" s="1"/>
  <c r="AC5" s="1"/>
  <c r="AB6"/>
  <c r="Z6" s="1"/>
  <c r="D12" i="14"/>
  <c r="C23"/>
  <c r="C24" s="1"/>
  <c r="C25" s="1"/>
  <c r="C26" s="1"/>
  <c r="C27" s="1"/>
  <c r="E8" i="28" s="1"/>
  <c r="E15" i="27"/>
  <c r="F13" i="9"/>
  <c r="F12"/>
  <c r="E17" i="27"/>
  <c r="AF13" i="9"/>
  <c r="AB12"/>
  <c r="AF8"/>
  <c r="AB8" s="1"/>
  <c r="AB7"/>
  <c r="J10" i="31"/>
  <c r="Y15" i="27"/>
  <c r="M15"/>
  <c r="M13" i="9"/>
  <c r="M14" i="27"/>
  <c r="Y14"/>
  <c r="AB5"/>
  <c r="AN13" i="9"/>
  <c r="AY13"/>
  <c r="AD13"/>
  <c r="AM14"/>
  <c r="AL15"/>
  <c r="AM7"/>
  <c r="M6"/>
  <c r="D7" i="19"/>
  <c r="AX7" i="9"/>
  <c r="AX9"/>
  <c r="AX8"/>
  <c r="AY6"/>
  <c r="AN6"/>
  <c r="AD6"/>
  <c r="K394" i="3"/>
  <c r="C393"/>
  <c r="D393"/>
  <c r="E393"/>
  <c r="F393"/>
  <c r="G393"/>
  <c r="H393"/>
  <c r="I393"/>
  <c r="J393"/>
  <c r="C386"/>
  <c r="C387"/>
  <c r="C388"/>
  <c r="C389"/>
  <c r="C390"/>
  <c r="C391"/>
  <c r="C392"/>
  <c r="D386"/>
  <c r="D387"/>
  <c r="D388"/>
  <c r="D389"/>
  <c r="D390"/>
  <c r="D391"/>
  <c r="D392"/>
  <c r="E386"/>
  <c r="E387"/>
  <c r="E388"/>
  <c r="E389"/>
  <c r="E390"/>
  <c r="E391"/>
  <c r="E392"/>
  <c r="F386"/>
  <c r="F387"/>
  <c r="F388"/>
  <c r="F389"/>
  <c r="F390"/>
  <c r="F391"/>
  <c r="F392"/>
  <c r="G386"/>
  <c r="G387"/>
  <c r="G388"/>
  <c r="G389"/>
  <c r="G390"/>
  <c r="G391"/>
  <c r="G392"/>
  <c r="H386"/>
  <c r="H387"/>
  <c r="H388"/>
  <c r="H389"/>
  <c r="H390"/>
  <c r="H391"/>
  <c r="H392"/>
  <c r="I386"/>
  <c r="I387"/>
  <c r="I388"/>
  <c r="I389"/>
  <c r="I390"/>
  <c r="I391"/>
  <c r="I392"/>
  <c r="J386"/>
  <c r="J387"/>
  <c r="J388"/>
  <c r="J389"/>
  <c r="J390"/>
  <c r="J391"/>
  <c r="J392"/>
  <c r="C385"/>
  <c r="D385"/>
  <c r="E385"/>
  <c r="F385"/>
  <c r="G385"/>
  <c r="H385"/>
  <c r="I385"/>
  <c r="J385"/>
  <c r="C384"/>
  <c r="D384"/>
  <c r="E384"/>
  <c r="F384"/>
  <c r="G384"/>
  <c r="H384"/>
  <c r="I384"/>
  <c r="J384"/>
  <c r="N7" i="19" l="1"/>
  <c r="AS30" i="28"/>
  <c r="AS31"/>
  <c r="AS28"/>
  <c r="AS29"/>
  <c r="AS24"/>
  <c r="AS27"/>
  <c r="AS26"/>
  <c r="AS21"/>
  <c r="AS25"/>
  <c r="AS22"/>
  <c r="AS23"/>
  <c r="AS19"/>
  <c r="AS20"/>
  <c r="AS13"/>
  <c r="AS16"/>
  <c r="AS15"/>
  <c r="AS17"/>
  <c r="AS18"/>
  <c r="G9" i="19"/>
  <c r="AC4" i="9"/>
  <c r="AA6"/>
  <c r="AC6" s="1"/>
  <c r="Z7"/>
  <c r="Z10"/>
  <c r="AF14"/>
  <c r="AB13"/>
  <c r="Z11"/>
  <c r="D13" i="14"/>
  <c r="C28"/>
  <c r="C29" s="1"/>
  <c r="C30" s="1"/>
  <c r="C31" s="1"/>
  <c r="C32" s="1"/>
  <c r="E5" i="28" s="1"/>
  <c r="F15" i="9"/>
  <c r="E20" i="27"/>
  <c r="E18"/>
  <c r="F14" i="9"/>
  <c r="Z9"/>
  <c r="Z12"/>
  <c r="Z8"/>
  <c r="J11" i="31"/>
  <c r="M17" i="27"/>
  <c r="Y17"/>
  <c r="AB7"/>
  <c r="AG5"/>
  <c r="AK5"/>
  <c r="AN14" i="9"/>
  <c r="AY14"/>
  <c r="AD14"/>
  <c r="M14"/>
  <c r="AM15"/>
  <c r="AL16"/>
  <c r="AM8"/>
  <c r="M7"/>
  <c r="D8" i="19"/>
  <c r="AY7" i="9"/>
  <c r="AN7"/>
  <c r="AD7"/>
  <c r="K393" i="3"/>
  <c r="K392"/>
  <c r="K391"/>
  <c r="K390"/>
  <c r="K389"/>
  <c r="K388"/>
  <c r="K387"/>
  <c r="K386"/>
  <c r="K385"/>
  <c r="K384"/>
  <c r="C2" i="2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A2"/>
  <c r="D2" s="1"/>
  <c r="N8" i="19" l="1"/>
  <c r="AS38" i="28"/>
  <c r="AS39"/>
  <c r="AS36"/>
  <c r="AS37"/>
  <c r="AS35"/>
  <c r="AS33"/>
  <c r="AS34"/>
  <c r="G10" i="19"/>
  <c r="AA7" i="9"/>
  <c r="AA8" s="1"/>
  <c r="AA9" s="1"/>
  <c r="AA10" s="1"/>
  <c r="AA11" s="1"/>
  <c r="AA12" s="1"/>
  <c r="AC12" s="1"/>
  <c r="AF15"/>
  <c r="AB14"/>
  <c r="D14" i="14"/>
  <c r="Z13" i="9"/>
  <c r="C33" i="14"/>
  <c r="C34" s="1"/>
  <c r="C35" s="1"/>
  <c r="C36" s="1"/>
  <c r="C37" s="1"/>
  <c r="C38" s="1"/>
  <c r="C39" s="1"/>
  <c r="C40" s="1"/>
  <c r="C41" s="1"/>
  <c r="C42" s="1"/>
  <c r="C43" s="1"/>
  <c r="F8" i="9"/>
  <c r="E10" i="27"/>
  <c r="E9"/>
  <c r="F7" i="9"/>
  <c r="J12" i="31"/>
  <c r="AG7" i="27"/>
  <c r="AK7"/>
  <c r="M15" i="9"/>
  <c r="AD15"/>
  <c r="AN15"/>
  <c r="AY15"/>
  <c r="AM16"/>
  <c r="AL17"/>
  <c r="AM9"/>
  <c r="AM10"/>
  <c r="M8"/>
  <c r="D9" i="19"/>
  <c r="AN8" i="9"/>
  <c r="M9"/>
  <c r="AD8"/>
  <c r="AY8"/>
  <c r="E2" i="26"/>
  <c r="F2" s="1"/>
  <c r="G2" s="1"/>
  <c r="A3"/>
  <c r="A4" s="1"/>
  <c r="A5"/>
  <c r="D4"/>
  <c r="D3"/>
  <c r="A44" i="27" l="1"/>
  <c r="K44"/>
  <c r="Z14" i="9"/>
  <c r="A40" i="27"/>
  <c r="K43"/>
  <c r="A42"/>
  <c r="K41"/>
  <c r="K40"/>
  <c r="K42"/>
  <c r="A41"/>
  <c r="A43"/>
  <c r="K38"/>
  <c r="A37"/>
  <c r="A38"/>
  <c r="A39"/>
  <c r="K37"/>
  <c r="K39"/>
  <c r="A36"/>
  <c r="K36"/>
  <c r="A35"/>
  <c r="K35"/>
  <c r="A34"/>
  <c r="K34"/>
  <c r="K32"/>
  <c r="A33"/>
  <c r="A32"/>
  <c r="K33"/>
  <c r="N9" i="19"/>
  <c r="A31" i="27"/>
  <c r="K31"/>
  <c r="K30"/>
  <c r="A30"/>
  <c r="A29"/>
  <c r="A28"/>
  <c r="K28"/>
  <c r="K29"/>
  <c r="K27"/>
  <c r="A27"/>
  <c r="A26"/>
  <c r="K26"/>
  <c r="K25"/>
  <c r="A25"/>
  <c r="A24"/>
  <c r="K22"/>
  <c r="A22"/>
  <c r="A23"/>
  <c r="K23"/>
  <c r="K24"/>
  <c r="A21"/>
  <c r="K21"/>
  <c r="A19"/>
  <c r="K19"/>
  <c r="K16"/>
  <c r="A16"/>
  <c r="K13"/>
  <c r="A13"/>
  <c r="A11"/>
  <c r="K11"/>
  <c r="G11" i="19"/>
  <c r="AA13" i="9"/>
  <c r="AA14" s="1"/>
  <c r="AC8"/>
  <c r="AC11"/>
  <c r="AC7"/>
  <c r="C8"/>
  <c r="A14"/>
  <c r="A10"/>
  <c r="C10"/>
  <c r="C12"/>
  <c r="R54" s="1"/>
  <c r="AX54" s="1"/>
  <c r="A11"/>
  <c r="C14"/>
  <c r="A7"/>
  <c r="A12"/>
  <c r="C13"/>
  <c r="C15"/>
  <c r="C11"/>
  <c r="A13"/>
  <c r="C9"/>
  <c r="A15"/>
  <c r="A8"/>
  <c r="A9"/>
  <c r="C7"/>
  <c r="AF16"/>
  <c r="AB15"/>
  <c r="D15" i="14"/>
  <c r="A10" i="27"/>
  <c r="A12"/>
  <c r="K15"/>
  <c r="K18"/>
  <c r="K10"/>
  <c r="A17"/>
  <c r="A18"/>
  <c r="K12"/>
  <c r="K20"/>
  <c r="A15"/>
  <c r="A14"/>
  <c r="A20"/>
  <c r="K9"/>
  <c r="K17"/>
  <c r="A9"/>
  <c r="K14"/>
  <c r="J13" i="31"/>
  <c r="M16" i="9"/>
  <c r="AY16"/>
  <c r="AN16"/>
  <c r="AD16"/>
  <c r="AM17"/>
  <c r="AL18"/>
  <c r="AL19" s="1"/>
  <c r="AC10"/>
  <c r="AC9"/>
  <c r="D10" i="19"/>
  <c r="AD9" i="9"/>
  <c r="AN9"/>
  <c r="AY9"/>
  <c r="E3" i="26"/>
  <c r="F3" s="1"/>
  <c r="G3" s="1"/>
  <c r="E4"/>
  <c r="F4" s="1"/>
  <c r="G4" s="1"/>
  <c r="A6"/>
  <c r="D5"/>
  <c r="E2" i="31"/>
  <c r="AY14" i="28" l="1"/>
  <c r="Z5"/>
  <c r="G12" i="19"/>
  <c r="AC13" i="9"/>
  <c r="R55"/>
  <c r="AX55" s="1"/>
  <c r="R52"/>
  <c r="AX52" s="1"/>
  <c r="E12"/>
  <c r="K12" s="1"/>
  <c r="R53"/>
  <c r="AX53" s="1"/>
  <c r="R51"/>
  <c r="AX51" s="1"/>
  <c r="K6" i="31"/>
  <c r="K7"/>
  <c r="K5"/>
  <c r="K4"/>
  <c r="K3"/>
  <c r="K2"/>
  <c r="L2" s="1"/>
  <c r="M2" s="1"/>
  <c r="K8"/>
  <c r="K9"/>
  <c r="K10"/>
  <c r="K11"/>
  <c r="K12"/>
  <c r="D16" i="14"/>
  <c r="R28" i="9"/>
  <c r="AX28" s="1"/>
  <c r="R34"/>
  <c r="AX34" s="1"/>
  <c r="R33"/>
  <c r="AX33" s="1"/>
  <c r="E8"/>
  <c r="K8" s="1"/>
  <c r="R30"/>
  <c r="AX30" s="1"/>
  <c r="R29"/>
  <c r="AX29" s="1"/>
  <c r="R32"/>
  <c r="AX32" s="1"/>
  <c r="R31"/>
  <c r="AX31" s="1"/>
  <c r="R27"/>
  <c r="AX27" s="1"/>
  <c r="R26"/>
  <c r="AX26" s="1"/>
  <c r="R19"/>
  <c r="AX19" s="1"/>
  <c r="R23"/>
  <c r="AX23" s="1"/>
  <c r="E7"/>
  <c r="K7" s="1"/>
  <c r="R22"/>
  <c r="AX22" s="1"/>
  <c r="R20"/>
  <c r="AX20" s="1"/>
  <c r="R25"/>
  <c r="AX25" s="1"/>
  <c r="R24"/>
  <c r="AX24" s="1"/>
  <c r="R21"/>
  <c r="AX21" s="1"/>
  <c r="K13" i="31"/>
  <c r="Z15" i="9"/>
  <c r="R40"/>
  <c r="AX40" s="1"/>
  <c r="E10"/>
  <c r="R43"/>
  <c r="AX43" s="1"/>
  <c r="R44"/>
  <c r="AX44" s="1"/>
  <c r="R42"/>
  <c r="AX42" s="1"/>
  <c r="R41"/>
  <c r="AX41" s="1"/>
  <c r="AA15"/>
  <c r="AC14"/>
  <c r="R38"/>
  <c r="AX38" s="1"/>
  <c r="R39"/>
  <c r="AX39" s="1"/>
  <c r="R35"/>
  <c r="AX35" s="1"/>
  <c r="R36"/>
  <c r="AX36" s="1"/>
  <c r="R37"/>
  <c r="AX37" s="1"/>
  <c r="E9"/>
  <c r="AF34"/>
  <c r="AF35" s="1"/>
  <c r="N10" i="19"/>
  <c r="AF24" i="9"/>
  <c r="AB24" s="1"/>
  <c r="AF25"/>
  <c r="AB25" s="1"/>
  <c r="AF17"/>
  <c r="AB16"/>
  <c r="R47"/>
  <c r="AX47" s="1"/>
  <c r="R49"/>
  <c r="AX49" s="1"/>
  <c r="R48"/>
  <c r="AX48" s="1"/>
  <c r="R50"/>
  <c r="AX50" s="1"/>
  <c r="R46"/>
  <c r="AX46" s="1"/>
  <c r="R45"/>
  <c r="AX45" s="1"/>
  <c r="E11"/>
  <c r="AF26"/>
  <c r="AF27" s="1"/>
  <c r="AB27" s="1"/>
  <c r="AL20"/>
  <c r="AM19"/>
  <c r="E13"/>
  <c r="K13" s="1"/>
  <c r="R59"/>
  <c r="AX59" s="1"/>
  <c r="R58"/>
  <c r="AX58" s="1"/>
  <c r="R57"/>
  <c r="AX57" s="1"/>
  <c r="R56"/>
  <c r="AX56" s="1"/>
  <c r="R60"/>
  <c r="AX60" s="1"/>
  <c r="AD18"/>
  <c r="J14" i="31"/>
  <c r="K14" s="1"/>
  <c r="AM18" i="9"/>
  <c r="AN17"/>
  <c r="AY17"/>
  <c r="AD17"/>
  <c r="M17"/>
  <c r="M10"/>
  <c r="AY10"/>
  <c r="D11" i="19"/>
  <c r="AN10" i="9"/>
  <c r="AD10"/>
  <c r="E5" i="26"/>
  <c r="F5" s="1"/>
  <c r="G5" s="1"/>
  <c r="A7"/>
  <c r="D6"/>
  <c r="C383" i="3"/>
  <c r="D383"/>
  <c r="E383"/>
  <c r="F383"/>
  <c r="G383"/>
  <c r="H383"/>
  <c r="I383"/>
  <c r="J383"/>
  <c r="C382"/>
  <c r="D382"/>
  <c r="E382"/>
  <c r="F382"/>
  <c r="G382"/>
  <c r="H382"/>
  <c r="I382"/>
  <c r="J382"/>
  <c r="C381"/>
  <c r="D381"/>
  <c r="E381"/>
  <c r="F381"/>
  <c r="G381"/>
  <c r="H381"/>
  <c r="I381"/>
  <c r="J381"/>
  <c r="C380"/>
  <c r="D380"/>
  <c r="E380"/>
  <c r="F380"/>
  <c r="G380"/>
  <c r="H380"/>
  <c r="I380"/>
  <c r="J380"/>
  <c r="C379"/>
  <c r="D379"/>
  <c r="E379"/>
  <c r="F379"/>
  <c r="G379"/>
  <c r="H379"/>
  <c r="I379"/>
  <c r="J379"/>
  <c r="C378"/>
  <c r="D378"/>
  <c r="E378"/>
  <c r="F378"/>
  <c r="G378"/>
  <c r="H378"/>
  <c r="I378"/>
  <c r="J378"/>
  <c r="C377"/>
  <c r="D377"/>
  <c r="E377"/>
  <c r="F377"/>
  <c r="G377"/>
  <c r="H377"/>
  <c r="I377"/>
  <c r="J377"/>
  <c r="C376"/>
  <c r="D376"/>
  <c r="E376"/>
  <c r="F376"/>
  <c r="G376"/>
  <c r="H376"/>
  <c r="I376"/>
  <c r="J376"/>
  <c r="C375"/>
  <c r="D375"/>
  <c r="E375"/>
  <c r="F375"/>
  <c r="G375"/>
  <c r="H375"/>
  <c r="I375"/>
  <c r="J375"/>
  <c r="C374"/>
  <c r="D374"/>
  <c r="E374"/>
  <c r="F374"/>
  <c r="G374"/>
  <c r="H374"/>
  <c r="I374"/>
  <c r="J374"/>
  <c r="C373"/>
  <c r="D373"/>
  <c r="E373"/>
  <c r="F373"/>
  <c r="G373"/>
  <c r="H373"/>
  <c r="I373"/>
  <c r="J373"/>
  <c r="C337"/>
  <c r="D337"/>
  <c r="E337"/>
  <c r="F337"/>
  <c r="G337"/>
  <c r="H337"/>
  <c r="I337"/>
  <c r="J337"/>
  <c r="C372"/>
  <c r="D372"/>
  <c r="E372"/>
  <c r="F372"/>
  <c r="G372"/>
  <c r="H372"/>
  <c r="I372"/>
  <c r="J372"/>
  <c r="C371"/>
  <c r="D371"/>
  <c r="E371"/>
  <c r="F371"/>
  <c r="G371"/>
  <c r="H371"/>
  <c r="I371"/>
  <c r="J371"/>
  <c r="C370"/>
  <c r="D370"/>
  <c r="E370"/>
  <c r="F370"/>
  <c r="G370"/>
  <c r="H370"/>
  <c r="I370"/>
  <c r="J370"/>
  <c r="C369"/>
  <c r="D369"/>
  <c r="E369"/>
  <c r="F369"/>
  <c r="G369"/>
  <c r="H369"/>
  <c r="I369"/>
  <c r="J369"/>
  <c r="C368"/>
  <c r="D368"/>
  <c r="E368"/>
  <c r="F368"/>
  <c r="G368"/>
  <c r="H368"/>
  <c r="I368"/>
  <c r="J368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C364"/>
  <c r="D364"/>
  <c r="E364"/>
  <c r="F364"/>
  <c r="G364"/>
  <c r="H364"/>
  <c r="I364"/>
  <c r="J364"/>
  <c r="C363"/>
  <c r="D363"/>
  <c r="E363"/>
  <c r="F363"/>
  <c r="G363"/>
  <c r="H363"/>
  <c r="I363"/>
  <c r="J363"/>
  <c r="C362"/>
  <c r="D362"/>
  <c r="E362"/>
  <c r="F362"/>
  <c r="G362"/>
  <c r="H362"/>
  <c r="I362"/>
  <c r="J362"/>
  <c r="C358"/>
  <c r="D358"/>
  <c r="E358"/>
  <c r="F358"/>
  <c r="G358"/>
  <c r="H358"/>
  <c r="I358"/>
  <c r="J358"/>
  <c r="C361"/>
  <c r="D361"/>
  <c r="E361"/>
  <c r="F361"/>
  <c r="G361"/>
  <c r="H361"/>
  <c r="I361"/>
  <c r="J361"/>
  <c r="C360"/>
  <c r="D360"/>
  <c r="E360"/>
  <c r="F360"/>
  <c r="G360"/>
  <c r="H360"/>
  <c r="I360"/>
  <c r="J360"/>
  <c r="C359"/>
  <c r="D359"/>
  <c r="E359"/>
  <c r="F359"/>
  <c r="G359"/>
  <c r="H359"/>
  <c r="I359"/>
  <c r="J359"/>
  <c r="C357"/>
  <c r="D357"/>
  <c r="E357"/>
  <c r="F357"/>
  <c r="G357"/>
  <c r="H357"/>
  <c r="I357"/>
  <c r="J357"/>
  <c r="C356"/>
  <c r="D356"/>
  <c r="E356"/>
  <c r="F356"/>
  <c r="G356"/>
  <c r="H356"/>
  <c r="I356"/>
  <c r="J356"/>
  <c r="C355"/>
  <c r="D355"/>
  <c r="E355"/>
  <c r="F355"/>
  <c r="G355"/>
  <c r="H355"/>
  <c r="I355"/>
  <c r="J355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1"/>
  <c r="D351"/>
  <c r="E351"/>
  <c r="F351"/>
  <c r="G351"/>
  <c r="H351"/>
  <c r="I351"/>
  <c r="J351"/>
  <c r="C350"/>
  <c r="D350"/>
  <c r="E350"/>
  <c r="F350"/>
  <c r="G350"/>
  <c r="H350"/>
  <c r="I350"/>
  <c r="J350"/>
  <c r="C349"/>
  <c r="D349"/>
  <c r="E349"/>
  <c r="F349"/>
  <c r="G349"/>
  <c r="H349"/>
  <c r="I349"/>
  <c r="J349"/>
  <c r="C345"/>
  <c r="D345"/>
  <c r="E345"/>
  <c r="F345"/>
  <c r="G345"/>
  <c r="H345"/>
  <c r="I345"/>
  <c r="J345"/>
  <c r="C348"/>
  <c r="D348"/>
  <c r="E348"/>
  <c r="F348"/>
  <c r="G348"/>
  <c r="H348"/>
  <c r="I348"/>
  <c r="J348"/>
  <c r="C347"/>
  <c r="D347"/>
  <c r="E347"/>
  <c r="F347"/>
  <c r="G347"/>
  <c r="H347"/>
  <c r="I347"/>
  <c r="J347"/>
  <c r="C346"/>
  <c r="D346"/>
  <c r="E346"/>
  <c r="F346"/>
  <c r="G346"/>
  <c r="H346"/>
  <c r="I346"/>
  <c r="J346"/>
  <c r="C341"/>
  <c r="C342"/>
  <c r="C343"/>
  <c r="C344"/>
  <c r="D341"/>
  <c r="D342"/>
  <c r="D343"/>
  <c r="D344"/>
  <c r="E341"/>
  <c r="E342"/>
  <c r="E343"/>
  <c r="E344"/>
  <c r="F341"/>
  <c r="F342"/>
  <c r="F343"/>
  <c r="F344"/>
  <c r="G341"/>
  <c r="G342"/>
  <c r="G343"/>
  <c r="G344"/>
  <c r="H341"/>
  <c r="H342"/>
  <c r="H343"/>
  <c r="H344"/>
  <c r="I341"/>
  <c r="I342"/>
  <c r="I343"/>
  <c r="I344"/>
  <c r="J341"/>
  <c r="J342"/>
  <c r="J343"/>
  <c r="J344"/>
  <c r="C340"/>
  <c r="D340"/>
  <c r="E340"/>
  <c r="F340"/>
  <c r="G340"/>
  <c r="H340"/>
  <c r="I340"/>
  <c r="J340"/>
  <c r="C339"/>
  <c r="D339"/>
  <c r="E339"/>
  <c r="F339"/>
  <c r="G339"/>
  <c r="H339"/>
  <c r="I339"/>
  <c r="J339"/>
  <c r="C338"/>
  <c r="D338"/>
  <c r="E338"/>
  <c r="F338"/>
  <c r="G338"/>
  <c r="H338"/>
  <c r="I338"/>
  <c r="J338"/>
  <c r="C336"/>
  <c r="D336"/>
  <c r="E336"/>
  <c r="F336"/>
  <c r="G336"/>
  <c r="H336"/>
  <c r="I336"/>
  <c r="J336"/>
  <c r="C335"/>
  <c r="D335"/>
  <c r="E335"/>
  <c r="F335"/>
  <c r="G335"/>
  <c r="H335"/>
  <c r="I335"/>
  <c r="J335"/>
  <c r="C334"/>
  <c r="D334"/>
  <c r="E334"/>
  <c r="F334"/>
  <c r="G334"/>
  <c r="H334"/>
  <c r="I334"/>
  <c r="J334"/>
  <c r="C330"/>
  <c r="D330"/>
  <c r="E330"/>
  <c r="F330"/>
  <c r="G330"/>
  <c r="H330"/>
  <c r="I330"/>
  <c r="J330"/>
  <c r="C331"/>
  <c r="D331"/>
  <c r="E331"/>
  <c r="F331"/>
  <c r="G331"/>
  <c r="H331"/>
  <c r="I331"/>
  <c r="J331"/>
  <c r="C333"/>
  <c r="D333"/>
  <c r="E333"/>
  <c r="F333"/>
  <c r="G333"/>
  <c r="H333"/>
  <c r="I333"/>
  <c r="J333"/>
  <c r="C332"/>
  <c r="D332"/>
  <c r="E332"/>
  <c r="F332"/>
  <c r="G332"/>
  <c r="H332"/>
  <c r="I332"/>
  <c r="J332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C32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C310"/>
  <c r="D310"/>
  <c r="E310"/>
  <c r="F310"/>
  <c r="G310"/>
  <c r="H310"/>
  <c r="I310"/>
  <c r="J310"/>
  <c r="B37" i="1"/>
  <c r="H37" s="1"/>
  <c r="C37"/>
  <c r="E37" s="1"/>
  <c r="D37"/>
  <c r="C309" i="3"/>
  <c r="D309"/>
  <c r="E309"/>
  <c r="F309"/>
  <c r="G309"/>
  <c r="H309"/>
  <c r="I309"/>
  <c r="J309"/>
  <c r="C304"/>
  <c r="D304"/>
  <c r="E304"/>
  <c r="F304"/>
  <c r="G304"/>
  <c r="H304"/>
  <c r="I304"/>
  <c r="J304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5"/>
  <c r="D305"/>
  <c r="E305"/>
  <c r="F305"/>
  <c r="G305"/>
  <c r="H305"/>
  <c r="I305"/>
  <c r="J305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C300"/>
  <c r="D300"/>
  <c r="E300"/>
  <c r="F300"/>
  <c r="G300"/>
  <c r="H300"/>
  <c r="I300"/>
  <c r="J300"/>
  <c r="C251"/>
  <c r="D251"/>
  <c r="E251"/>
  <c r="F251"/>
  <c r="G251"/>
  <c r="H251"/>
  <c r="I251"/>
  <c r="J251"/>
  <c r="C255"/>
  <c r="D255"/>
  <c r="E255"/>
  <c r="F255"/>
  <c r="G255"/>
  <c r="H255"/>
  <c r="I255"/>
  <c r="J255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C292"/>
  <c r="D292"/>
  <c r="E292"/>
  <c r="F292"/>
  <c r="G292"/>
  <c r="H292"/>
  <c r="I292"/>
  <c r="J292"/>
  <c r="B32" i="1"/>
  <c r="H32" s="1"/>
  <c r="C32"/>
  <c r="E32" s="1"/>
  <c r="D32"/>
  <c r="C291" i="3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C283"/>
  <c r="D283"/>
  <c r="E283"/>
  <c r="F283"/>
  <c r="G283"/>
  <c r="H283"/>
  <c r="I283"/>
  <c r="J283"/>
  <c r="B31" i="1"/>
  <c r="H31" s="1"/>
  <c r="C31"/>
  <c r="E31" s="1"/>
  <c r="D31"/>
  <c r="C282" i="3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C276"/>
  <c r="D276"/>
  <c r="E276"/>
  <c r="F276"/>
  <c r="G276"/>
  <c r="H276"/>
  <c r="I276"/>
  <c r="J276"/>
  <c r="P2" i="31"/>
  <c r="N2"/>
  <c r="N11" i="19" l="1"/>
  <c r="G14"/>
  <c r="G13"/>
  <c r="D13"/>
  <c r="L4" i="31"/>
  <c r="M4" s="1"/>
  <c r="L3"/>
  <c r="M3" s="1"/>
  <c r="L6"/>
  <c r="M6" s="1"/>
  <c r="AB26" i="9"/>
  <c r="AF28"/>
  <c r="AF29" s="1"/>
  <c r="L13" i="31"/>
  <c r="M13" s="1"/>
  <c r="O2"/>
  <c r="L10"/>
  <c r="M10" s="1"/>
  <c r="K11" i="9"/>
  <c r="BZ4"/>
  <c r="BZ3"/>
  <c r="AF18"/>
  <c r="AB17"/>
  <c r="BY4"/>
  <c r="K9"/>
  <c r="L11" i="31"/>
  <c r="M11" s="1"/>
  <c r="AA16" i="9"/>
  <c r="AC15"/>
  <c r="L12" i="31"/>
  <c r="M12" s="1"/>
  <c r="L14"/>
  <c r="M14" s="1"/>
  <c r="L7"/>
  <c r="M7" s="1"/>
  <c r="L5"/>
  <c r="M5" s="1"/>
  <c r="K10" i="9"/>
  <c r="BY3"/>
  <c r="D17" i="14"/>
  <c r="AF36" i="9"/>
  <c r="AB35"/>
  <c r="Z16"/>
  <c r="L8" i="31"/>
  <c r="M8" s="1"/>
  <c r="L9"/>
  <c r="M9" s="1"/>
  <c r="AL21" i="9"/>
  <c r="AM20"/>
  <c r="M18"/>
  <c r="AN18"/>
  <c r="AY18"/>
  <c r="E14"/>
  <c r="K14" s="1"/>
  <c r="R61"/>
  <c r="AX61" s="1"/>
  <c r="R63"/>
  <c r="AX63" s="1"/>
  <c r="R64"/>
  <c r="AX64" s="1"/>
  <c r="R62"/>
  <c r="AX62" s="1"/>
  <c r="J15" i="31"/>
  <c r="K15" s="1"/>
  <c r="L15" s="1"/>
  <c r="D12" i="19"/>
  <c r="E6" i="26"/>
  <c r="F6" s="1"/>
  <c r="G6" s="1"/>
  <c r="A8"/>
  <c r="D7"/>
  <c r="K383" i="3"/>
  <c r="K382"/>
  <c r="K381"/>
  <c r="K379"/>
  <c r="K380"/>
  <c r="K378"/>
  <c r="K377"/>
  <c r="K376"/>
  <c r="K375"/>
  <c r="K374"/>
  <c r="K373"/>
  <c r="K337"/>
  <c r="K369"/>
  <c r="K372"/>
  <c r="K371"/>
  <c r="K370"/>
  <c r="K368"/>
  <c r="K367"/>
  <c r="K366"/>
  <c r="K365"/>
  <c r="K364"/>
  <c r="K363"/>
  <c r="K362"/>
  <c r="K361"/>
  <c r="K358"/>
  <c r="K360"/>
  <c r="K359"/>
  <c r="K355"/>
  <c r="K357"/>
  <c r="K353"/>
  <c r="K356"/>
  <c r="K354"/>
  <c r="K352"/>
  <c r="K351"/>
  <c r="K350"/>
  <c r="K349"/>
  <c r="K345"/>
  <c r="K348"/>
  <c r="K347"/>
  <c r="K346"/>
  <c r="K341"/>
  <c r="K342"/>
  <c r="K344"/>
  <c r="K343"/>
  <c r="K340"/>
  <c r="K339"/>
  <c r="K338"/>
  <c r="K336"/>
  <c r="K335"/>
  <c r="K334"/>
  <c r="K330"/>
  <c r="K331"/>
  <c r="K333"/>
  <c r="K332"/>
  <c r="K329"/>
  <c r="K328"/>
  <c r="K327"/>
  <c r="K326"/>
  <c r="K325"/>
  <c r="K324"/>
  <c r="K323"/>
  <c r="K322"/>
  <c r="K321"/>
  <c r="K320"/>
  <c r="K319"/>
  <c r="K316"/>
  <c r="K318"/>
  <c r="K317"/>
  <c r="K315"/>
  <c r="K313"/>
  <c r="K314"/>
  <c r="K311"/>
  <c r="K312"/>
  <c r="K310"/>
  <c r="I37" i="1"/>
  <c r="J37"/>
  <c r="G37"/>
  <c r="F37"/>
  <c r="K309" i="3"/>
  <c r="K304"/>
  <c r="K308"/>
  <c r="K307"/>
  <c r="K305"/>
  <c r="K306"/>
  <c r="K303"/>
  <c r="K302"/>
  <c r="K301"/>
  <c r="K300"/>
  <c r="K251"/>
  <c r="K255"/>
  <c r="K299"/>
  <c r="K298"/>
  <c r="K297"/>
  <c r="K296"/>
  <c r="K295"/>
  <c r="K294"/>
  <c r="K293"/>
  <c r="K292"/>
  <c r="K291"/>
  <c r="F32" i="1"/>
  <c r="G32"/>
  <c r="J32"/>
  <c r="I32"/>
  <c r="K290" i="3"/>
  <c r="K289"/>
  <c r="K288"/>
  <c r="K287"/>
  <c r="K286"/>
  <c r="K285"/>
  <c r="K284"/>
  <c r="K283"/>
  <c r="I31" i="1"/>
  <c r="G31"/>
  <c r="J31"/>
  <c r="F31"/>
  <c r="K281" i="3"/>
  <c r="K282"/>
  <c r="K280"/>
  <c r="K279"/>
  <c r="K278"/>
  <c r="K277"/>
  <c r="K276"/>
  <c r="C270"/>
  <c r="C271"/>
  <c r="C272"/>
  <c r="C273"/>
  <c r="C274"/>
  <c r="C275"/>
  <c r="D270"/>
  <c r="D271"/>
  <c r="D272"/>
  <c r="D273"/>
  <c r="D274"/>
  <c r="D275"/>
  <c r="E270"/>
  <c r="E271"/>
  <c r="E272"/>
  <c r="E273"/>
  <c r="E274"/>
  <c r="E275"/>
  <c r="F270"/>
  <c r="F271"/>
  <c r="F272"/>
  <c r="F273"/>
  <c r="F274"/>
  <c r="F275"/>
  <c r="G270"/>
  <c r="G271"/>
  <c r="G272"/>
  <c r="G273"/>
  <c r="G274"/>
  <c r="G275"/>
  <c r="H270"/>
  <c r="H271"/>
  <c r="H272"/>
  <c r="H273"/>
  <c r="H274"/>
  <c r="H275"/>
  <c r="I270"/>
  <c r="I271"/>
  <c r="I272"/>
  <c r="I273"/>
  <c r="I274"/>
  <c r="I275"/>
  <c r="J270"/>
  <c r="J271"/>
  <c r="J272"/>
  <c r="J273"/>
  <c r="J274"/>
  <c r="J275"/>
  <c r="B30" i="1"/>
  <c r="F30" s="1"/>
  <c r="C30"/>
  <c r="E30" s="1"/>
  <c r="D30"/>
  <c r="C269" i="3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C258"/>
  <c r="D258"/>
  <c r="E258"/>
  <c r="F258"/>
  <c r="G258"/>
  <c r="H258"/>
  <c r="I258"/>
  <c r="J258"/>
  <c r="B36" i="1"/>
  <c r="H36" s="1"/>
  <c r="C36"/>
  <c r="E36" s="1"/>
  <c r="D36"/>
  <c r="D2"/>
  <c r="D3"/>
  <c r="D4"/>
  <c r="D5"/>
  <c r="D6"/>
  <c r="D7"/>
  <c r="D22"/>
  <c r="D23"/>
  <c r="D28"/>
  <c r="D29"/>
  <c r="D33"/>
  <c r="D34"/>
  <c r="D35"/>
  <c r="D38"/>
  <c r="D39"/>
  <c r="D40"/>
  <c r="D41"/>
  <c r="D42"/>
  <c r="C39" i="21"/>
  <c r="D43" i="1"/>
  <c r="D44"/>
  <c r="H40" i="21"/>
  <c r="C220" i="3"/>
  <c r="D220"/>
  <c r="E220"/>
  <c r="F220"/>
  <c r="G220"/>
  <c r="H220"/>
  <c r="I220"/>
  <c r="J220"/>
  <c r="C210"/>
  <c r="D210"/>
  <c r="E210"/>
  <c r="F210"/>
  <c r="G210"/>
  <c r="H210"/>
  <c r="I210"/>
  <c r="J210"/>
  <c r="H3" i="21"/>
  <c r="H4"/>
  <c r="H5"/>
  <c r="H6"/>
  <c r="H7"/>
  <c r="H9"/>
  <c r="H22"/>
  <c r="H23"/>
  <c r="H24"/>
  <c r="H25"/>
  <c r="H26"/>
  <c r="H36"/>
  <c r="H37"/>
  <c r="H38"/>
  <c r="H39"/>
  <c r="C257" i="3"/>
  <c r="D257"/>
  <c r="E257"/>
  <c r="F257"/>
  <c r="G257"/>
  <c r="H257"/>
  <c r="I257"/>
  <c r="J257"/>
  <c r="C256"/>
  <c r="D256"/>
  <c r="E256"/>
  <c r="F256"/>
  <c r="G256"/>
  <c r="H256"/>
  <c r="I256"/>
  <c r="J256"/>
  <c r="C254"/>
  <c r="D254"/>
  <c r="E254"/>
  <c r="F254"/>
  <c r="G254"/>
  <c r="H254"/>
  <c r="I254"/>
  <c r="J254"/>
  <c r="C253"/>
  <c r="D253"/>
  <c r="E253"/>
  <c r="F253"/>
  <c r="G253"/>
  <c r="H253"/>
  <c r="I253"/>
  <c r="J253"/>
  <c r="C252"/>
  <c r="D252"/>
  <c r="E252"/>
  <c r="F252"/>
  <c r="G252"/>
  <c r="H252"/>
  <c r="I252"/>
  <c r="J252"/>
  <c r="C250"/>
  <c r="D250"/>
  <c r="E250"/>
  <c r="F250"/>
  <c r="G250"/>
  <c r="H250"/>
  <c r="I250"/>
  <c r="J250"/>
  <c r="C249"/>
  <c r="D249"/>
  <c r="E249"/>
  <c r="F249"/>
  <c r="G249"/>
  <c r="H249"/>
  <c r="I249"/>
  <c r="J249"/>
  <c r="T4" i="25"/>
  <c r="S4"/>
  <c r="B7"/>
  <c r="B6"/>
  <c r="S3"/>
  <c r="S2"/>
  <c r="S1"/>
  <c r="N3" i="31"/>
  <c r="P6"/>
  <c r="P10"/>
  <c r="N14"/>
  <c r="P3"/>
  <c r="N11"/>
  <c r="N12"/>
  <c r="N6"/>
  <c r="P9"/>
  <c r="N10"/>
  <c r="N4"/>
  <c r="P11"/>
  <c r="N13"/>
  <c r="N5"/>
  <c r="N7"/>
  <c r="N8"/>
  <c r="N12" i="19" l="1"/>
  <c r="N13"/>
  <c r="AY10" i="28"/>
  <c r="Z4"/>
  <c r="X5" s="1"/>
  <c r="G15" i="19"/>
  <c r="O3" i="31"/>
  <c r="O4"/>
  <c r="O13"/>
  <c r="O6"/>
  <c r="AB28" i="9"/>
  <c r="O10" i="31"/>
  <c r="O11"/>
  <c r="O5"/>
  <c r="O12"/>
  <c r="O8"/>
  <c r="O7"/>
  <c r="Z17" i="9"/>
  <c r="D18" i="14"/>
  <c r="AA17" i="9"/>
  <c r="AC16"/>
  <c r="AF19"/>
  <c r="AB18"/>
  <c r="Z18" s="1"/>
  <c r="O3" i="27"/>
  <c r="AF37" i="9"/>
  <c r="AB36"/>
  <c r="AF30"/>
  <c r="AB29"/>
  <c r="AL22"/>
  <c r="AM21"/>
  <c r="E15"/>
  <c r="K15" s="1"/>
  <c r="R66"/>
  <c r="AX66" s="1"/>
  <c r="R68"/>
  <c r="AX68" s="1"/>
  <c r="R65"/>
  <c r="AX65" s="1"/>
  <c r="R67"/>
  <c r="AX67" s="1"/>
  <c r="AD35"/>
  <c r="AY35"/>
  <c r="AN35"/>
  <c r="M35"/>
  <c r="O14" i="31"/>
  <c r="M15"/>
  <c r="J16"/>
  <c r="D14" i="19"/>
  <c r="C40" i="21"/>
  <c r="E7" i="26"/>
  <c r="F7" s="1"/>
  <c r="G7" s="1"/>
  <c r="A9"/>
  <c r="D8"/>
  <c r="H30" i="1"/>
  <c r="K270" i="3"/>
  <c r="K273"/>
  <c r="K275"/>
  <c r="K274"/>
  <c r="K272"/>
  <c r="K271"/>
  <c r="I30" i="1"/>
  <c r="G30"/>
  <c r="J30"/>
  <c r="K269" i="3"/>
  <c r="K268"/>
  <c r="K267"/>
  <c r="K266"/>
  <c r="K265"/>
  <c r="K264"/>
  <c r="K263"/>
  <c r="K262"/>
  <c r="K261"/>
  <c r="K260"/>
  <c r="K259"/>
  <c r="K258"/>
  <c r="I36" i="1"/>
  <c r="G36"/>
  <c r="J36"/>
  <c r="F36"/>
  <c r="K220" i="3"/>
  <c r="K210"/>
  <c r="K257"/>
  <c r="K256"/>
  <c r="K254"/>
  <c r="K253"/>
  <c r="K252"/>
  <c r="K250"/>
  <c r="K249"/>
  <c r="C7" i="21"/>
  <c r="D7"/>
  <c r="C244" i="3"/>
  <c r="C245"/>
  <c r="D244"/>
  <c r="D245"/>
  <c r="E244"/>
  <c r="E245"/>
  <c r="F244"/>
  <c r="F245"/>
  <c r="G244"/>
  <c r="G245"/>
  <c r="H244"/>
  <c r="H245"/>
  <c r="I244"/>
  <c r="I245"/>
  <c r="J244"/>
  <c r="J245"/>
  <c r="C37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22"/>
  <c r="F22" s="1"/>
  <c r="B23"/>
  <c r="F23" s="1"/>
  <c r="B28"/>
  <c r="H28" s="1"/>
  <c r="B29"/>
  <c r="H29" s="1"/>
  <c r="B33"/>
  <c r="H33" s="1"/>
  <c r="B34"/>
  <c r="F34" s="1"/>
  <c r="B35"/>
  <c r="H35" s="1"/>
  <c r="B38"/>
  <c r="H38" s="1"/>
  <c r="B39"/>
  <c r="F39" s="1"/>
  <c r="B40"/>
  <c r="F40" s="1"/>
  <c r="B41"/>
  <c r="H41" s="1"/>
  <c r="B42"/>
  <c r="H42" s="1"/>
  <c r="B43"/>
  <c r="H43" s="1"/>
  <c r="B44"/>
  <c r="H44" s="1"/>
  <c r="C113" i="3"/>
  <c r="D113"/>
  <c r="E113"/>
  <c r="F113"/>
  <c r="G113"/>
  <c r="H113"/>
  <c r="I113"/>
  <c r="J113"/>
  <c r="C2" i="1"/>
  <c r="E2" s="1"/>
  <c r="C3" i="21"/>
  <c r="C4"/>
  <c r="C5"/>
  <c r="C6"/>
  <c r="C9"/>
  <c r="C22"/>
  <c r="C23"/>
  <c r="C24"/>
  <c r="C36"/>
  <c r="C37"/>
  <c r="C25"/>
  <c r="C38"/>
  <c r="C26"/>
  <c r="C142" i="3"/>
  <c r="D142"/>
  <c r="E142"/>
  <c r="F142"/>
  <c r="G142"/>
  <c r="H142"/>
  <c r="I142"/>
  <c r="J142"/>
  <c r="C129"/>
  <c r="D129"/>
  <c r="E129"/>
  <c r="F129"/>
  <c r="G129"/>
  <c r="H129"/>
  <c r="I129"/>
  <c r="J129"/>
  <c r="C233"/>
  <c r="D233"/>
  <c r="E233"/>
  <c r="F233"/>
  <c r="G233"/>
  <c r="H233"/>
  <c r="I233"/>
  <c r="J233"/>
  <c r="C4" i="1"/>
  <c r="E4" s="1"/>
  <c r="G4" s="1"/>
  <c r="C5"/>
  <c r="E5" s="1"/>
  <c r="C6"/>
  <c r="E6" s="1"/>
  <c r="C3"/>
  <c r="E3" s="1"/>
  <c r="C248" i="3"/>
  <c r="D248"/>
  <c r="E248"/>
  <c r="F248"/>
  <c r="G248"/>
  <c r="H248"/>
  <c r="I248"/>
  <c r="J248"/>
  <c r="C247"/>
  <c r="D247"/>
  <c r="E247"/>
  <c r="F247"/>
  <c r="G247"/>
  <c r="H247"/>
  <c r="I247"/>
  <c r="J247"/>
  <c r="C246"/>
  <c r="D246"/>
  <c r="E246"/>
  <c r="F246"/>
  <c r="G246"/>
  <c r="H246"/>
  <c r="I246"/>
  <c r="J246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4"/>
  <c r="D234"/>
  <c r="E234"/>
  <c r="F234"/>
  <c r="G234"/>
  <c r="H234"/>
  <c r="I234"/>
  <c r="J234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227"/>
  <c r="D227"/>
  <c r="E227"/>
  <c r="F227"/>
  <c r="G227"/>
  <c r="H227"/>
  <c r="I227"/>
  <c r="J227"/>
  <c r="C44" i="1"/>
  <c r="E44" s="1"/>
  <c r="C226" i="3"/>
  <c r="D226"/>
  <c r="E226"/>
  <c r="F226"/>
  <c r="G226"/>
  <c r="H226"/>
  <c r="I226"/>
  <c r="J226"/>
  <c r="C225"/>
  <c r="D225"/>
  <c r="E225"/>
  <c r="F225"/>
  <c r="G225"/>
  <c r="H225"/>
  <c r="I225"/>
  <c r="J225"/>
  <c r="C43" i="1"/>
  <c r="E43" s="1"/>
  <c r="G43" s="1"/>
  <c r="C7"/>
  <c r="E7" s="1"/>
  <c r="C22"/>
  <c r="E22" s="1"/>
  <c r="C23"/>
  <c r="E23" s="1"/>
  <c r="C28"/>
  <c r="E28" s="1"/>
  <c r="C29"/>
  <c r="E29" s="1"/>
  <c r="G29" s="1"/>
  <c r="C33"/>
  <c r="E33" s="1"/>
  <c r="C34"/>
  <c r="E34" s="1"/>
  <c r="C35"/>
  <c r="E35" s="1"/>
  <c r="C38"/>
  <c r="E38" s="1"/>
  <c r="D24" i="21" s="1"/>
  <c r="C39" i="1"/>
  <c r="E39" s="1"/>
  <c r="C40"/>
  <c r="E40" s="1"/>
  <c r="C41"/>
  <c r="E41" s="1"/>
  <c r="C42"/>
  <c r="E42" s="1"/>
  <c r="D25" i="21"/>
  <c r="D26"/>
  <c r="C221" i="3"/>
  <c r="C222"/>
  <c r="C223"/>
  <c r="C224"/>
  <c r="D221"/>
  <c r="D222"/>
  <c r="D223"/>
  <c r="D224"/>
  <c r="E221"/>
  <c r="E222"/>
  <c r="E223"/>
  <c r="E224"/>
  <c r="F221"/>
  <c r="F222"/>
  <c r="F223"/>
  <c r="F224"/>
  <c r="G221"/>
  <c r="G222"/>
  <c r="G223"/>
  <c r="G224"/>
  <c r="H221"/>
  <c r="H222"/>
  <c r="H223"/>
  <c r="H224"/>
  <c r="I221"/>
  <c r="I222"/>
  <c r="I223"/>
  <c r="I224"/>
  <c r="J221"/>
  <c r="J222"/>
  <c r="J223"/>
  <c r="J224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1"/>
  <c r="D211"/>
  <c r="E211"/>
  <c r="F211"/>
  <c r="G211"/>
  <c r="H211"/>
  <c r="I211"/>
  <c r="J211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81"/>
  <c r="D181"/>
  <c r="E181"/>
  <c r="F181"/>
  <c r="G181"/>
  <c r="H181"/>
  <c r="I181"/>
  <c r="J181"/>
  <c r="C178"/>
  <c r="D178"/>
  <c r="E178"/>
  <c r="F178"/>
  <c r="G178"/>
  <c r="H178"/>
  <c r="I178"/>
  <c r="J178"/>
  <c r="C180"/>
  <c r="D180"/>
  <c r="E180"/>
  <c r="F180"/>
  <c r="G180"/>
  <c r="H180"/>
  <c r="I180"/>
  <c r="J180"/>
  <c r="C179"/>
  <c r="D179"/>
  <c r="E179"/>
  <c r="F179"/>
  <c r="G179"/>
  <c r="H179"/>
  <c r="I179"/>
  <c r="J179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1"/>
  <c r="C11"/>
  <c r="D11"/>
  <c r="F11"/>
  <c r="G11"/>
  <c r="H11"/>
  <c r="I11"/>
  <c r="J11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P13" i="31"/>
  <c r="P4"/>
  <c r="P14"/>
  <c r="N9"/>
  <c r="P12"/>
  <c r="P5"/>
  <c r="P8"/>
  <c r="P7"/>
  <c r="N15"/>
  <c r="O9" l="1"/>
  <c r="O15" i="27" s="1"/>
  <c r="W5" i="28"/>
  <c r="N14" i="19"/>
  <c r="X4" i="28"/>
  <c r="W4"/>
  <c r="G16" i="19"/>
  <c r="O6" i="27"/>
  <c r="O5"/>
  <c r="O12"/>
  <c r="P10"/>
  <c r="D19" i="14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O7" i="27"/>
  <c r="AF20" i="9"/>
  <c r="AB19"/>
  <c r="AF38"/>
  <c r="AB37"/>
  <c r="O9" i="27"/>
  <c r="AA18" i="9"/>
  <c r="AC17"/>
  <c r="AF31"/>
  <c r="AB30"/>
  <c r="AM22"/>
  <c r="AL23"/>
  <c r="M36"/>
  <c r="AN36"/>
  <c r="AD36"/>
  <c r="AY36"/>
  <c r="M37"/>
  <c r="O15" i="31"/>
  <c r="J17"/>
  <c r="K16"/>
  <c r="L16" s="1"/>
  <c r="D15" i="19"/>
  <c r="G40" i="1"/>
  <c r="G42"/>
  <c r="E8" i="26"/>
  <c r="F8" s="1"/>
  <c r="G8" s="1"/>
  <c r="A10"/>
  <c r="D9"/>
  <c r="G34" i="1"/>
  <c r="M4" i="19"/>
  <c r="H6" i="1"/>
  <c r="F41"/>
  <c r="G28"/>
  <c r="D39" i="21"/>
  <c r="G39" i="1"/>
  <c r="D40" i="21"/>
  <c r="G35" i="1"/>
  <c r="D23" i="21"/>
  <c r="D38"/>
  <c r="G22" i="1"/>
  <c r="G7"/>
  <c r="D6" i="21"/>
  <c r="G23" i="1"/>
  <c r="D9" i="21"/>
  <c r="G6" i="1"/>
  <c r="D5" i="21"/>
  <c r="D37"/>
  <c r="G33" i="1"/>
  <c r="D22" i="21"/>
  <c r="E1" i="25" s="1"/>
  <c r="G3" i="1"/>
  <c r="D3" i="21"/>
  <c r="G41" i="1"/>
  <c r="D36" i="21"/>
  <c r="G5" i="1"/>
  <c r="D4" i="21"/>
  <c r="F3" i="1"/>
  <c r="F33"/>
  <c r="F42"/>
  <c r="F43"/>
  <c r="F5"/>
  <c r="H22"/>
  <c r="F4"/>
  <c r="F44"/>
  <c r="F28"/>
  <c r="H34"/>
  <c r="F29"/>
  <c r="H39"/>
  <c r="H40"/>
  <c r="H23"/>
  <c r="F35"/>
  <c r="F7"/>
  <c r="F38"/>
  <c r="K244" i="3"/>
  <c r="K245"/>
  <c r="K37"/>
  <c r="K62"/>
  <c r="K113"/>
  <c r="J2" i="1"/>
  <c r="I2"/>
  <c r="G2"/>
  <c r="G44"/>
  <c r="G38"/>
  <c r="I22"/>
  <c r="K142" i="3"/>
  <c r="K129"/>
  <c r="K233"/>
  <c r="I6" i="1"/>
  <c r="J6"/>
  <c r="I4"/>
  <c r="J4"/>
  <c r="J5"/>
  <c r="I5"/>
  <c r="J3"/>
  <c r="I3"/>
  <c r="K248" i="3"/>
  <c r="K247"/>
  <c r="K246"/>
  <c r="K243"/>
  <c r="K242"/>
  <c r="K241"/>
  <c r="I43" i="1"/>
  <c r="I38"/>
  <c r="I7"/>
  <c r="I39"/>
  <c r="K240" i="3"/>
  <c r="K239"/>
  <c r="J40" i="1"/>
  <c r="I40"/>
  <c r="J23"/>
  <c r="I23"/>
  <c r="J41"/>
  <c r="I41"/>
  <c r="J28"/>
  <c r="I28"/>
  <c r="I44"/>
  <c r="J44"/>
  <c r="I42"/>
  <c r="J42"/>
  <c r="J29"/>
  <c r="I29"/>
  <c r="I33"/>
  <c r="J33"/>
  <c r="I34"/>
  <c r="J43"/>
  <c r="J38"/>
  <c r="J7"/>
  <c r="J34"/>
  <c r="J35"/>
  <c r="I35"/>
  <c r="J39"/>
  <c r="J22"/>
  <c r="K237" i="3"/>
  <c r="K238"/>
  <c r="K236"/>
  <c r="K235"/>
  <c r="K234"/>
  <c r="K231"/>
  <c r="K232"/>
  <c r="K230"/>
  <c r="K228"/>
  <c r="K229"/>
  <c r="K227"/>
  <c r="K226"/>
  <c r="K225"/>
  <c r="K223"/>
  <c r="K221"/>
  <c r="K222"/>
  <c r="K224"/>
  <c r="K219"/>
  <c r="K218"/>
  <c r="K217"/>
  <c r="K216"/>
  <c r="K215"/>
  <c r="K214"/>
  <c r="K213"/>
  <c r="K212"/>
  <c r="K211"/>
  <c r="K209"/>
  <c r="K208"/>
  <c r="K207"/>
  <c r="K206"/>
  <c r="K205"/>
  <c r="K204"/>
  <c r="K203"/>
  <c r="K202"/>
  <c r="K201"/>
  <c r="K200"/>
  <c r="K199"/>
  <c r="K198"/>
  <c r="K197"/>
  <c r="K196"/>
  <c r="K194"/>
  <c r="K195"/>
  <c r="K193"/>
  <c r="K192"/>
  <c r="K191"/>
  <c r="K190"/>
  <c r="K189"/>
  <c r="K188"/>
  <c r="K187"/>
  <c r="K186"/>
  <c r="K185"/>
  <c r="K184"/>
  <c r="K183"/>
  <c r="K182"/>
  <c r="K181"/>
  <c r="K178"/>
  <c r="K180"/>
  <c r="K179"/>
  <c r="K177"/>
  <c r="K176"/>
  <c r="K175"/>
  <c r="K173"/>
  <c r="K174"/>
  <c r="K172"/>
  <c r="K171"/>
  <c r="K168"/>
  <c r="K169"/>
  <c r="K170"/>
  <c r="K167"/>
  <c r="K165"/>
  <c r="K166"/>
  <c r="K164"/>
  <c r="K163"/>
  <c r="K162"/>
  <c r="K161"/>
  <c r="K159"/>
  <c r="K160"/>
  <c r="K158"/>
  <c r="K157"/>
  <c r="K156"/>
  <c r="K155"/>
  <c r="K153"/>
  <c r="K154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9"/>
  <c r="K8"/>
  <c r="K7"/>
  <c r="K6"/>
  <c r="K5"/>
  <c r="K4"/>
  <c r="K3"/>
  <c r="K2"/>
  <c r="P15" i="31"/>
  <c r="P17" i="27" l="1"/>
  <c r="P20"/>
  <c r="P14"/>
  <c r="O18"/>
  <c r="N15" i="19"/>
  <c r="G17"/>
  <c r="AB20" i="9"/>
  <c r="AF21"/>
  <c r="AA19"/>
  <c r="AC19" s="1"/>
  <c r="AC18"/>
  <c r="Z19"/>
  <c r="AF39"/>
  <c r="AB38"/>
  <c r="AF32"/>
  <c r="AB31"/>
  <c r="AL24"/>
  <c r="AM23"/>
  <c r="AY37"/>
  <c r="AD37"/>
  <c r="AN37"/>
  <c r="M16" i="31"/>
  <c r="J18"/>
  <c r="K17"/>
  <c r="L17" s="1"/>
  <c r="D16" i="19"/>
  <c r="M8"/>
  <c r="M21"/>
  <c r="E9" i="26"/>
  <c r="F9" s="1"/>
  <c r="G9" s="1"/>
  <c r="A11"/>
  <c r="D10"/>
  <c r="M50" i="19"/>
  <c r="M39"/>
  <c r="M5"/>
  <c r="M32"/>
  <c r="M26"/>
  <c r="M6"/>
  <c r="M35"/>
  <c r="M15"/>
  <c r="M27"/>
  <c r="M3"/>
  <c r="B8" i="25"/>
  <c r="P16" i="31"/>
  <c r="N16" i="19" l="1"/>
  <c r="G18"/>
  <c r="Z20" i="9"/>
  <c r="AA20"/>
  <c r="AC20" s="1"/>
  <c r="AB21"/>
  <c r="AF22"/>
  <c r="AF40"/>
  <c r="AB39"/>
  <c r="AF33"/>
  <c r="AB32"/>
  <c r="AL25"/>
  <c r="AM24"/>
  <c r="AD38"/>
  <c r="AN38"/>
  <c r="AY38"/>
  <c r="M38"/>
  <c r="M17" i="31"/>
  <c r="J19"/>
  <c r="D17" i="19"/>
  <c r="E10" i="26"/>
  <c r="F10" s="1"/>
  <c r="G10" s="1"/>
  <c r="A12"/>
  <c r="D11"/>
  <c r="N16" i="31"/>
  <c r="N17"/>
  <c r="O16" l="1"/>
  <c r="G19" i="19"/>
  <c r="AF41" i="9"/>
  <c r="AB40"/>
  <c r="AA21"/>
  <c r="AC21" s="1"/>
  <c r="Z21"/>
  <c r="AB22"/>
  <c r="AF23"/>
  <c r="AB23" s="1"/>
  <c r="CA4"/>
  <c r="N17" i="19"/>
  <c r="CA3" i="9"/>
  <c r="AB34"/>
  <c r="AB33"/>
  <c r="AM25"/>
  <c r="AL26"/>
  <c r="AL27" s="1"/>
  <c r="M39"/>
  <c r="M40"/>
  <c r="AN39"/>
  <c r="AY39"/>
  <c r="AD39"/>
  <c r="O17" i="31"/>
  <c r="J20"/>
  <c r="D18" i="19"/>
  <c r="E11" i="26"/>
  <c r="F11" s="1"/>
  <c r="G11" s="1"/>
  <c r="A13"/>
  <c r="D12"/>
  <c r="P17" i="31"/>
  <c r="P44" i="27" l="1"/>
  <c r="N18" i="19"/>
  <c r="G20"/>
  <c r="Z23" i="9"/>
  <c r="Z32"/>
  <c r="Z25"/>
  <c r="AF42"/>
  <c r="AB41"/>
  <c r="Z41" s="1"/>
  <c r="AA22"/>
  <c r="AC22" s="1"/>
  <c r="Z29"/>
  <c r="Z28"/>
  <c r="Z24"/>
  <c r="Z27"/>
  <c r="Z30"/>
  <c r="Z22"/>
  <c r="Z31"/>
  <c r="Z26"/>
  <c r="Z38"/>
  <c r="Z34"/>
  <c r="AL28"/>
  <c r="AM27"/>
  <c r="Z33"/>
  <c r="Z36"/>
  <c r="Z39"/>
  <c r="Z35"/>
  <c r="Z37"/>
  <c r="Z40"/>
  <c r="AM26"/>
  <c r="AD40"/>
  <c r="AY40"/>
  <c r="AN40"/>
  <c r="M41"/>
  <c r="J21" i="31"/>
  <c r="D19" i="19"/>
  <c r="M58"/>
  <c r="E12" i="26"/>
  <c r="F12"/>
  <c r="G12" s="1"/>
  <c r="A14"/>
  <c r="D13"/>
  <c r="N19" i="19" l="1"/>
  <c r="G21"/>
  <c r="AF43" i="9"/>
  <c r="AB42"/>
  <c r="AA23"/>
  <c r="AL29"/>
  <c r="AM28"/>
  <c r="AY41"/>
  <c r="AD41"/>
  <c r="AN41"/>
  <c r="J22" i="31"/>
  <c r="D20" i="19"/>
  <c r="E13" i="26"/>
  <c r="F13" s="1"/>
  <c r="G13" s="1"/>
  <c r="A15"/>
  <c r="D14"/>
  <c r="N20" i="19" l="1"/>
  <c r="G22"/>
  <c r="AF44" i="9"/>
  <c r="AB43"/>
  <c r="Z43" s="1"/>
  <c r="Z42"/>
  <c r="AA24"/>
  <c r="AC23"/>
  <c r="AL30"/>
  <c r="AM29"/>
  <c r="AN42"/>
  <c r="AY42"/>
  <c r="AD42"/>
  <c r="M42"/>
  <c r="J23" i="31"/>
  <c r="D21" i="19"/>
  <c r="E14" i="26"/>
  <c r="F14" s="1"/>
  <c r="G14" s="1"/>
  <c r="A16"/>
  <c r="D15"/>
  <c r="N21" i="19" l="1"/>
  <c r="Z6" i="28"/>
  <c r="AY16"/>
  <c r="G23" i="19"/>
  <c r="AA25" i="9"/>
  <c r="AC24"/>
  <c r="AF45"/>
  <c r="AB44"/>
  <c r="Z44" s="1"/>
  <c r="AL31"/>
  <c r="AM30"/>
  <c r="AN43"/>
  <c r="AD43"/>
  <c r="AY43"/>
  <c r="M43"/>
  <c r="J24" i="31"/>
  <c r="D22" i="19"/>
  <c r="E15" i="26"/>
  <c r="F15" s="1"/>
  <c r="G15" s="1"/>
  <c r="A17"/>
  <c r="D16"/>
  <c r="N22" i="19" l="1"/>
  <c r="X6" i="28"/>
  <c r="W6"/>
  <c r="G24" i="19"/>
  <c r="AA26" i="9"/>
  <c r="AC25"/>
  <c r="AF46"/>
  <c r="AB45"/>
  <c r="Z45" s="1"/>
  <c r="AL32"/>
  <c r="AM31"/>
  <c r="AY44"/>
  <c r="AD44"/>
  <c r="AN44"/>
  <c r="M44"/>
  <c r="J25" i="31"/>
  <c r="D23" i="19"/>
  <c r="M56"/>
  <c r="E16" i="26"/>
  <c r="F16" s="1"/>
  <c r="G16" s="1"/>
  <c r="A18"/>
  <c r="D17"/>
  <c r="M7" i="19"/>
  <c r="G25" l="1"/>
  <c r="AA27" i="9"/>
  <c r="AC26"/>
  <c r="AF47"/>
  <c r="AB46"/>
  <c r="Z46" s="1"/>
  <c r="AF50"/>
  <c r="AF49"/>
  <c r="AB49" s="1"/>
  <c r="N23" i="19"/>
  <c r="AL33" i="9"/>
  <c r="AM32"/>
  <c r="AY45"/>
  <c r="AD45"/>
  <c r="CB4"/>
  <c r="AN45"/>
  <c r="CB3"/>
  <c r="M45"/>
  <c r="J26" i="31"/>
  <c r="D24" i="19"/>
  <c r="M55"/>
  <c r="E17" i="26"/>
  <c r="F17" s="1"/>
  <c r="G17" s="1"/>
  <c r="A19"/>
  <c r="D18"/>
  <c r="M16" i="19"/>
  <c r="M44"/>
  <c r="N24" l="1"/>
  <c r="G26"/>
  <c r="AA28" i="9"/>
  <c r="AC27"/>
  <c r="AF51"/>
  <c r="AB50"/>
  <c r="AF48"/>
  <c r="AB48" s="1"/>
  <c r="AB47"/>
  <c r="AM33"/>
  <c r="AL34"/>
  <c r="AD46"/>
  <c r="AY46"/>
  <c r="AN46"/>
  <c r="M46"/>
  <c r="J27" i="31"/>
  <c r="D25" i="19"/>
  <c r="E18" i="26"/>
  <c r="F18" s="1"/>
  <c r="G18" s="1"/>
  <c r="A20"/>
  <c r="D19"/>
  <c r="M17" i="19"/>
  <c r="N25" l="1"/>
  <c r="G27"/>
  <c r="Z50" i="9"/>
  <c r="AF52"/>
  <c r="AB51"/>
  <c r="Z48"/>
  <c r="AA29"/>
  <c r="AC28"/>
  <c r="Z47"/>
  <c r="Z49"/>
  <c r="AM34"/>
  <c r="AL35"/>
  <c r="AD47"/>
  <c r="AN47"/>
  <c r="AY47"/>
  <c r="M47"/>
  <c r="J28" i="31"/>
  <c r="D26" i="19"/>
  <c r="E19" i="26"/>
  <c r="F19" s="1"/>
  <c r="G19" s="1"/>
  <c r="A21"/>
  <c r="D20"/>
  <c r="M18" i="19"/>
  <c r="N26" l="1"/>
  <c r="G28"/>
  <c r="AF53" i="9"/>
  <c r="AB52"/>
  <c r="Z51"/>
  <c r="AA30"/>
  <c r="AC29"/>
  <c r="AL36"/>
  <c r="AM35"/>
  <c r="AD48"/>
  <c r="AY48"/>
  <c r="AN48"/>
  <c r="M48"/>
  <c r="J29" i="31"/>
  <c r="D27" i="19"/>
  <c r="M52"/>
  <c r="E20" i="26"/>
  <c r="F20" s="1"/>
  <c r="G20" s="1"/>
  <c r="A22"/>
  <c r="D21"/>
  <c r="M46" i="19"/>
  <c r="M23"/>
  <c r="M19"/>
  <c r="M20"/>
  <c r="M22"/>
  <c r="M40"/>
  <c r="M42"/>
  <c r="M41"/>
  <c r="M43"/>
  <c r="M25"/>
  <c r="M37"/>
  <c r="M38"/>
  <c r="M28"/>
  <c r="M29"/>
  <c r="M34"/>
  <c r="M30"/>
  <c r="M33"/>
  <c r="M24"/>
  <c r="N27" l="1"/>
  <c r="Z7" i="28"/>
  <c r="AY20"/>
  <c r="G29" i="19"/>
  <c r="AA31" i="9"/>
  <c r="AC30"/>
  <c r="AF54"/>
  <c r="AB53"/>
  <c r="Z53" s="1"/>
  <c r="Z52"/>
  <c r="AL37"/>
  <c r="AM36"/>
  <c r="AY49"/>
  <c r="AD49"/>
  <c r="AN49"/>
  <c r="M49"/>
  <c r="J30" i="31"/>
  <c r="D28" i="19"/>
  <c r="M45"/>
  <c r="M51"/>
  <c r="E21" i="26"/>
  <c r="F21" s="1"/>
  <c r="G21" s="1"/>
  <c r="A23"/>
  <c r="D22"/>
  <c r="N28" i="19" l="1"/>
  <c r="X7" i="28"/>
  <c r="W7"/>
  <c r="G30" i="19"/>
  <c r="AA32" i="9"/>
  <c r="AC31"/>
  <c r="AF55"/>
  <c r="AB54"/>
  <c r="Z54" s="1"/>
  <c r="AL38"/>
  <c r="AM37"/>
  <c r="AY50"/>
  <c r="AN50"/>
  <c r="AD50"/>
  <c r="M50"/>
  <c r="J31" i="31"/>
  <c r="D29" i="19"/>
  <c r="M57"/>
  <c r="E22" i="26"/>
  <c r="F22" s="1"/>
  <c r="G22" s="1"/>
  <c r="A24"/>
  <c r="D23"/>
  <c r="N29" i="19" l="1"/>
  <c r="G31"/>
  <c r="AF56" i="9"/>
  <c r="AB55"/>
  <c r="Z55" s="1"/>
  <c r="AA33"/>
  <c r="AC32"/>
  <c r="AL39"/>
  <c r="AM38"/>
  <c r="AY51"/>
  <c r="AN51"/>
  <c r="AD51"/>
  <c r="M51"/>
  <c r="J32" i="31"/>
  <c r="D30" i="19"/>
  <c r="M31"/>
  <c r="E23" i="26"/>
  <c r="F23" s="1"/>
  <c r="G23" s="1"/>
  <c r="A25"/>
  <c r="D24"/>
  <c r="N30" i="19" l="1"/>
  <c r="G32"/>
  <c r="AA34" i="9"/>
  <c r="AC33"/>
  <c r="AF57"/>
  <c r="AB56"/>
  <c r="Z56" s="1"/>
  <c r="AL40"/>
  <c r="AM39"/>
  <c r="AD52"/>
  <c r="AN52"/>
  <c r="AY52"/>
  <c r="M52"/>
  <c r="J33" i="31"/>
  <c r="D31" i="19"/>
  <c r="M36"/>
  <c r="E24" i="26"/>
  <c r="F24" s="1"/>
  <c r="G24" s="1"/>
  <c r="A26"/>
  <c r="D25"/>
  <c r="N31" i="19" l="1"/>
  <c r="G33"/>
  <c r="AF58" i="9"/>
  <c r="AB57"/>
  <c r="Z57" s="1"/>
  <c r="AA35"/>
  <c r="AC34"/>
  <c r="AL41"/>
  <c r="AM40"/>
  <c r="AY53"/>
  <c r="AN53"/>
  <c r="AD53"/>
  <c r="M53"/>
  <c r="J34" i="31"/>
  <c r="D32" i="19"/>
  <c r="M59"/>
  <c r="E25" i="26"/>
  <c r="F25" s="1"/>
  <c r="G25" s="1"/>
  <c r="A27"/>
  <c r="D26"/>
  <c r="N32" i="19" l="1"/>
  <c r="Z8" i="28"/>
  <c r="AY25"/>
  <c r="G34" i="19"/>
  <c r="AC35" i="9"/>
  <c r="AA36"/>
  <c r="AF59"/>
  <c r="AB58"/>
  <c r="Z58" s="1"/>
  <c r="AL42"/>
  <c r="AM41"/>
  <c r="AN54"/>
  <c r="AY54"/>
  <c r="AD54"/>
  <c r="M54"/>
  <c r="J35" i="31"/>
  <c r="D33" i="19"/>
  <c r="M54"/>
  <c r="E26" i="26"/>
  <c r="F26" s="1"/>
  <c r="G26" s="1"/>
  <c r="A28"/>
  <c r="D27"/>
  <c r="N33" i="19" l="1"/>
  <c r="X8" i="28"/>
  <c r="W8"/>
  <c r="G35" i="19"/>
  <c r="AC36" i="9"/>
  <c r="AA37"/>
  <c r="AF60"/>
  <c r="AB59"/>
  <c r="Z59" s="1"/>
  <c r="AL43"/>
  <c r="AM42"/>
  <c r="AD55"/>
  <c r="AY55"/>
  <c r="AN55"/>
  <c r="M55"/>
  <c r="J36" i="31"/>
  <c r="D34" i="19"/>
  <c r="M53"/>
  <c r="M9"/>
  <c r="E27" i="26"/>
  <c r="F27" s="1"/>
  <c r="G27" s="1"/>
  <c r="A29"/>
  <c r="D28"/>
  <c r="N34" i="19" l="1"/>
  <c r="G36"/>
  <c r="AA38" i="9"/>
  <c r="AC37"/>
  <c r="AF61"/>
  <c r="AB60"/>
  <c r="Z60" s="1"/>
  <c r="AL44"/>
  <c r="AM43"/>
  <c r="AN56"/>
  <c r="AY56"/>
  <c r="AD56"/>
  <c r="M56"/>
  <c r="J37" i="31"/>
  <c r="D35" i="19"/>
  <c r="M10"/>
  <c r="E28" i="26"/>
  <c r="F28" s="1"/>
  <c r="G28" s="1"/>
  <c r="A30"/>
  <c r="D29"/>
  <c r="N35" i="19" l="1"/>
  <c r="G37"/>
  <c r="AA39" i="9"/>
  <c r="AC38"/>
  <c r="AF62"/>
  <c r="AB61"/>
  <c r="Z61" s="1"/>
  <c r="AL45"/>
  <c r="AM44"/>
  <c r="AY57"/>
  <c r="AD57"/>
  <c r="AN57"/>
  <c r="M57"/>
  <c r="J38" i="31"/>
  <c r="D36" i="19"/>
  <c r="M11"/>
  <c r="E29" i="26"/>
  <c r="F29" s="1"/>
  <c r="G29" s="1"/>
  <c r="A31"/>
  <c r="D30"/>
  <c r="N36" i="19" l="1"/>
  <c r="G38"/>
  <c r="AC39" i="9"/>
  <c r="AA40"/>
  <c r="AF63"/>
  <c r="AB62"/>
  <c r="Z62" s="1"/>
  <c r="AL46"/>
  <c r="AM45"/>
  <c r="AN58"/>
  <c r="AD58"/>
  <c r="AY58"/>
  <c r="M58"/>
  <c r="J39" i="31"/>
  <c r="D37" i="19"/>
  <c r="AY60" i="28" s="1"/>
  <c r="M12" i="19"/>
  <c r="E30" i="26"/>
  <c r="F30" s="1"/>
  <c r="G30" s="1"/>
  <c r="A32"/>
  <c r="D31"/>
  <c r="N37" i="19" l="1"/>
  <c r="G39"/>
  <c r="AC40" i="9"/>
  <c r="AA41"/>
  <c r="AF64"/>
  <c r="AB63"/>
  <c r="Z63" s="1"/>
  <c r="AL47"/>
  <c r="AM46"/>
  <c r="AD59"/>
  <c r="AY59"/>
  <c r="AN59"/>
  <c r="M59"/>
  <c r="J40" i="31"/>
  <c r="D38" i="19"/>
  <c r="E31" i="26"/>
  <c r="F31" s="1"/>
  <c r="G31" s="1"/>
  <c r="A33"/>
  <c r="D32"/>
  <c r="N38" i="19" l="1"/>
  <c r="G40"/>
  <c r="AF65" i="9"/>
  <c r="AB64"/>
  <c r="Z64" s="1"/>
  <c r="AC41"/>
  <c r="AA42"/>
  <c r="AL48"/>
  <c r="AM47"/>
  <c r="AD60"/>
  <c r="AN60"/>
  <c r="AY60"/>
  <c r="M60"/>
  <c r="J41" i="31"/>
  <c r="D39" i="19"/>
  <c r="E32" i="26"/>
  <c r="F32" s="1"/>
  <c r="G32" s="1"/>
  <c r="A34"/>
  <c r="D33"/>
  <c r="N39" i="19" l="1"/>
  <c r="G41"/>
  <c r="AF66" i="9"/>
  <c r="AB65"/>
  <c r="Z65" s="1"/>
  <c r="AA43"/>
  <c r="AC42"/>
  <c r="AL49"/>
  <c r="AM48"/>
  <c r="AY61"/>
  <c r="AN61"/>
  <c r="AD61"/>
  <c r="M61"/>
  <c r="J42" i="31"/>
  <c r="D40" i="19"/>
  <c r="E33" i="26"/>
  <c r="F33" s="1"/>
  <c r="G33" s="1"/>
  <c r="A35"/>
  <c r="D34"/>
  <c r="N40" i="19" l="1"/>
  <c r="G42"/>
  <c r="AF67" i="9"/>
  <c r="AB66"/>
  <c r="Z66" s="1"/>
  <c r="AA44"/>
  <c r="AC43"/>
  <c r="AL50"/>
  <c r="AM49"/>
  <c r="AN62"/>
  <c r="AY62"/>
  <c r="AD62"/>
  <c r="M62"/>
  <c r="J43" i="31"/>
  <c r="D41" i="19"/>
  <c r="E34" i="26"/>
  <c r="F34" s="1"/>
  <c r="G34" s="1"/>
  <c r="A36"/>
  <c r="D35"/>
  <c r="N41" i="19" l="1"/>
  <c r="AY35" i="28"/>
  <c r="Z11"/>
  <c r="G43" i="19"/>
  <c r="AF68" i="9"/>
  <c r="AB67"/>
  <c r="Z67" s="1"/>
  <c r="AC44"/>
  <c r="AA45"/>
  <c r="AL51"/>
  <c r="AM50"/>
  <c r="AN63"/>
  <c r="AY63"/>
  <c r="AD63"/>
  <c r="M63"/>
  <c r="J44" i="31"/>
  <c r="D42" i="19"/>
  <c r="E35" i="26"/>
  <c r="F35" s="1"/>
  <c r="G35" s="1"/>
  <c r="A37"/>
  <c r="D36"/>
  <c r="AB68" i="9" l="1"/>
  <c r="Z68" s="1"/>
  <c r="N42" i="19"/>
  <c r="Z12" i="28"/>
  <c r="AY36"/>
  <c r="G44" i="19"/>
  <c r="AC45" i="9"/>
  <c r="AA46"/>
  <c r="AL52"/>
  <c r="AM51"/>
  <c r="AY64"/>
  <c r="AN64"/>
  <c r="AD64"/>
  <c r="M64"/>
  <c r="J45" i="31"/>
  <c r="D43" i="19"/>
  <c r="E36" i="26"/>
  <c r="F36" s="1"/>
  <c r="G36" s="1"/>
  <c r="A38"/>
  <c r="D37"/>
  <c r="N43" i="19" l="1"/>
  <c r="G45"/>
  <c r="AC46" i="9"/>
  <c r="AA47"/>
  <c r="AL53"/>
  <c r="AM52"/>
  <c r="AY65"/>
  <c r="AN65"/>
  <c r="AD65"/>
  <c r="M65"/>
  <c r="J46" i="31"/>
  <c r="D44" i="19"/>
  <c r="E37" i="26"/>
  <c r="F37" s="1"/>
  <c r="G37" s="1"/>
  <c r="A39"/>
  <c r="D38"/>
  <c r="AZ32" i="28" l="1"/>
  <c r="AA10"/>
  <c r="N44" i="19"/>
  <c r="Z9" i="28"/>
  <c r="X28" s="1"/>
  <c r="AY28"/>
  <c r="G46" i="19"/>
  <c r="AC47" i="9"/>
  <c r="AA48"/>
  <c r="AL54"/>
  <c r="AM53"/>
  <c r="AN66"/>
  <c r="AY66"/>
  <c r="AD66"/>
  <c r="M66"/>
  <c r="J47" i="31"/>
  <c r="D45" i="19"/>
  <c r="M48"/>
  <c r="M14"/>
  <c r="M47"/>
  <c r="M49"/>
  <c r="E38" i="26"/>
  <c r="F38" s="1"/>
  <c r="G38" s="1"/>
  <c r="A40"/>
  <c r="D39"/>
  <c r="W28" i="28" l="1"/>
  <c r="X27"/>
  <c r="W27"/>
  <c r="X26"/>
  <c r="W25"/>
  <c r="X25"/>
  <c r="W26"/>
  <c r="X24"/>
  <c r="X23"/>
  <c r="W24"/>
  <c r="X22"/>
  <c r="W23"/>
  <c r="N45" i="19"/>
  <c r="W22" i="28"/>
  <c r="X21"/>
  <c r="X20"/>
  <c r="W21"/>
  <c r="X19"/>
  <c r="W20"/>
  <c r="W19"/>
  <c r="X18"/>
  <c r="W18"/>
  <c r="X17"/>
  <c r="W16"/>
  <c r="X15"/>
  <c r="X16"/>
  <c r="W17"/>
  <c r="W14"/>
  <c r="X14"/>
  <c r="W15"/>
  <c r="W13"/>
  <c r="X12"/>
  <c r="X13"/>
  <c r="W12"/>
  <c r="X11"/>
  <c r="X10"/>
  <c r="W11"/>
  <c r="X9"/>
  <c r="W9"/>
  <c r="W10"/>
  <c r="G47" i="19"/>
  <c r="AC48" i="9"/>
  <c r="AA49"/>
  <c r="AL55"/>
  <c r="AM54"/>
  <c r="AN68"/>
  <c r="AD68"/>
  <c r="AY68"/>
  <c r="M68"/>
  <c r="AN67"/>
  <c r="AY67"/>
  <c r="AD67"/>
  <c r="M67"/>
  <c r="J48" i="31"/>
  <c r="D46" i="19"/>
  <c r="E39" i="26"/>
  <c r="F39" s="1"/>
  <c r="G39" s="1"/>
  <c r="A41"/>
  <c r="D40"/>
  <c r="N46" i="19" l="1"/>
  <c r="G48"/>
  <c r="AC49" i="9"/>
  <c r="AA50"/>
  <c r="AL56"/>
  <c r="AM55"/>
  <c r="J49" i="31"/>
  <c r="D47" i="19"/>
  <c r="E40" i="26"/>
  <c r="F40" s="1"/>
  <c r="G40" s="1"/>
  <c r="A42"/>
  <c r="D42" s="1"/>
  <c r="D41"/>
  <c r="N47" i="19" l="1"/>
  <c r="G49"/>
  <c r="AA51" i="9"/>
  <c r="AC50"/>
  <c r="AL57"/>
  <c r="AM56"/>
  <c r="J50" i="31"/>
  <c r="D48" i="19"/>
  <c r="E42" i="26"/>
  <c r="F42" s="1"/>
  <c r="G42" s="1"/>
  <c r="E41"/>
  <c r="F41" s="1"/>
  <c r="G41" s="1"/>
  <c r="N48" i="19" l="1"/>
  <c r="G50"/>
  <c r="AC51" i="9"/>
  <c r="AA52"/>
  <c r="AL58"/>
  <c r="AM57"/>
  <c r="J51" i="31"/>
  <c r="D49" i="19"/>
  <c r="N49" l="1"/>
  <c r="G51"/>
  <c r="AC52" i="9"/>
  <c r="AA53"/>
  <c r="AL59"/>
  <c r="AM58"/>
  <c r="J52" i="31"/>
  <c r="D50" i="19"/>
  <c r="N50" l="1"/>
  <c r="G52"/>
  <c r="AC53" i="9"/>
  <c r="AA54"/>
  <c r="AL60"/>
  <c r="AM59"/>
  <c r="J53" i="31"/>
  <c r="D51" i="19"/>
  <c r="N51" l="1"/>
  <c r="G53"/>
  <c r="AC54" i="9"/>
  <c r="AA55"/>
  <c r="AL61"/>
  <c r="AM60"/>
  <c r="J54" i="31"/>
  <c r="D52" i="19"/>
  <c r="N52" l="1"/>
  <c r="G54"/>
  <c r="AA56" i="9"/>
  <c r="AC55"/>
  <c r="AL62"/>
  <c r="AM61"/>
  <c r="J55" i="31"/>
  <c r="D53" i="19"/>
  <c r="N53" l="1"/>
  <c r="G55"/>
  <c r="AC56" i="9"/>
  <c r="AA57"/>
  <c r="AL63"/>
  <c r="AM62"/>
  <c r="J56" i="31"/>
  <c r="D54" i="19"/>
  <c r="N54" l="1"/>
  <c r="G56"/>
  <c r="AC57" i="9"/>
  <c r="AA58"/>
  <c r="AL64"/>
  <c r="AM63"/>
  <c r="J57" i="31"/>
  <c r="D55" i="19"/>
  <c r="N55" l="1"/>
  <c r="G57"/>
  <c r="AC58" i="9"/>
  <c r="AA59"/>
  <c r="AL65"/>
  <c r="AM64"/>
  <c r="J58" i="31"/>
  <c r="D56" i="19"/>
  <c r="N56" l="1"/>
  <c r="G59"/>
  <c r="G58"/>
  <c r="AC59" i="9"/>
  <c r="AA60"/>
  <c r="AL66"/>
  <c r="AM65"/>
  <c r="J59" i="31"/>
  <c r="D57" i="19"/>
  <c r="N57" l="1"/>
  <c r="AC60" i="9"/>
  <c r="AA61"/>
  <c r="AL67"/>
  <c r="AM66"/>
  <c r="J60" i="31"/>
  <c r="D58" i="19"/>
  <c r="D59"/>
  <c r="N59" l="1"/>
  <c r="N58"/>
  <c r="AC61" i="9"/>
  <c r="AA62"/>
  <c r="AL68"/>
  <c r="AM67"/>
  <c r="J61" i="31"/>
  <c r="B9" i="25"/>
  <c r="K5"/>
  <c r="E5" i="31"/>
  <c r="G5" i="25"/>
  <c r="N5"/>
  <c r="L5"/>
  <c r="J5"/>
  <c r="Q5"/>
  <c r="I5"/>
  <c r="D5"/>
  <c r="H5"/>
  <c r="O5"/>
  <c r="M5"/>
  <c r="C5"/>
  <c r="P5"/>
  <c r="F5"/>
  <c r="E5"/>
  <c r="AM68" i="9" l="1"/>
  <c r="R9" i="25"/>
  <c r="Q9"/>
  <c r="P9"/>
  <c r="M9"/>
  <c r="L9"/>
  <c r="O9"/>
  <c r="N9"/>
  <c r="K18" i="3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AC62" i="9"/>
  <c r="AA63"/>
  <c r="K61" i="31"/>
  <c r="J62"/>
  <c r="K9" i="25"/>
  <c r="J9"/>
  <c r="I9"/>
  <c r="G9"/>
  <c r="H9"/>
  <c r="F9"/>
  <c r="E9"/>
  <c r="D9"/>
  <c r="B10"/>
  <c r="L10" l="1"/>
  <c r="R10"/>
  <c r="P10"/>
  <c r="O10"/>
  <c r="N10"/>
  <c r="M10"/>
  <c r="Q10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AC63" i="9"/>
  <c r="AA64"/>
  <c r="L30" i="31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K10" i="25"/>
  <c r="J10"/>
  <c r="I10"/>
  <c r="G10"/>
  <c r="H10"/>
  <c r="N31" i="31"/>
  <c r="P19"/>
  <c r="N23"/>
  <c r="P30"/>
  <c r="P23"/>
  <c r="N18"/>
  <c r="P18"/>
  <c r="P51"/>
  <c r="N54"/>
  <c r="P33"/>
  <c r="P21"/>
  <c r="P59"/>
  <c r="P54"/>
  <c r="N19"/>
  <c r="N45"/>
  <c r="P26"/>
  <c r="C10" i="25"/>
  <c r="N37" i="31"/>
  <c r="P53"/>
  <c r="N51"/>
  <c r="B11" i="25"/>
  <c r="P39" i="31"/>
  <c r="P31"/>
  <c r="P25"/>
  <c r="P27"/>
  <c r="P43"/>
  <c r="N34"/>
  <c r="N55"/>
  <c r="N59"/>
  <c r="N27"/>
  <c r="P56"/>
  <c r="P50"/>
  <c r="P24"/>
  <c r="D10" i="25"/>
  <c r="P20" i="31"/>
  <c r="N56"/>
  <c r="P28"/>
  <c r="N25"/>
  <c r="P58"/>
  <c r="N53"/>
  <c r="N39"/>
  <c r="P52"/>
  <c r="P37"/>
  <c r="N52"/>
  <c r="P41"/>
  <c r="E10" i="25"/>
  <c r="N50" i="31"/>
  <c r="P60"/>
  <c r="P35"/>
  <c r="P42"/>
  <c r="P47"/>
  <c r="N21"/>
  <c r="P46"/>
  <c r="N30"/>
  <c r="N28"/>
  <c r="P45"/>
  <c r="P49"/>
  <c r="N29"/>
  <c r="P22"/>
  <c r="N32"/>
  <c r="N26"/>
  <c r="N61"/>
  <c r="P36"/>
  <c r="N46"/>
  <c r="P40"/>
  <c r="N48"/>
  <c r="N60"/>
  <c r="N42"/>
  <c r="P44"/>
  <c r="N35"/>
  <c r="P57"/>
  <c r="P38"/>
  <c r="R11" i="25" l="1"/>
  <c r="Q11"/>
  <c r="N11"/>
  <c r="O11"/>
  <c r="M11"/>
  <c r="L11"/>
  <c r="P11"/>
  <c r="O21" i="31"/>
  <c r="O42"/>
  <c r="O55"/>
  <c r="O52"/>
  <c r="O34"/>
  <c r="O56"/>
  <c r="O18"/>
  <c r="O48"/>
  <c r="O53"/>
  <c r="O27"/>
  <c r="O31"/>
  <c r="O45"/>
  <c r="O35"/>
  <c r="O25"/>
  <c r="O54"/>
  <c r="O23"/>
  <c r="O26"/>
  <c r="O50"/>
  <c r="O32"/>
  <c r="O19"/>
  <c r="O37"/>
  <c r="O39"/>
  <c r="O51"/>
  <c r="O59"/>
  <c r="O29"/>
  <c r="O60"/>
  <c r="O30"/>
  <c r="O46"/>
  <c r="O28"/>
  <c r="AC64" i="9"/>
  <c r="AA65"/>
  <c r="O61" i="31"/>
  <c r="M62"/>
  <c r="K63"/>
  <c r="L63" s="1"/>
  <c r="J64"/>
  <c r="K11" i="25"/>
  <c r="J11"/>
  <c r="I11"/>
  <c r="F11"/>
  <c r="H11"/>
  <c r="D11"/>
  <c r="N36" i="31"/>
  <c r="E11" i="25"/>
  <c r="P29" i="31"/>
  <c r="N57"/>
  <c r="N62"/>
  <c r="N24"/>
  <c r="P32"/>
  <c r="P34"/>
  <c r="N43"/>
  <c r="N33"/>
  <c r="N20"/>
  <c r="N47"/>
  <c r="P48"/>
  <c r="B12" i="25"/>
  <c r="N58" i="31"/>
  <c r="P61"/>
  <c r="C11" i="25"/>
  <c r="N22" i="31"/>
  <c r="N41"/>
  <c r="N40"/>
  <c r="N38"/>
  <c r="N49"/>
  <c r="N44"/>
  <c r="P55"/>
  <c r="O8" i="27" l="1"/>
  <c r="O49" i="31"/>
  <c r="O22"/>
  <c r="M12" i="25"/>
  <c r="R12"/>
  <c r="N12"/>
  <c r="L12"/>
  <c r="O12"/>
  <c r="P12"/>
  <c r="Q12"/>
  <c r="O24" i="31"/>
  <c r="O40"/>
  <c r="O36"/>
  <c r="O47"/>
  <c r="O58"/>
  <c r="O38"/>
  <c r="O57"/>
  <c r="O41"/>
  <c r="O44"/>
  <c r="O33"/>
  <c r="O43"/>
  <c r="O20"/>
  <c r="AC65" i="9"/>
  <c r="AA66"/>
  <c r="O62" i="31"/>
  <c r="M63"/>
  <c r="K64"/>
  <c r="L64" s="1"/>
  <c r="J65"/>
  <c r="K12" i="25"/>
  <c r="J12"/>
  <c r="I12"/>
  <c r="H12"/>
  <c r="F12"/>
  <c r="B13"/>
  <c r="D12"/>
  <c r="E12"/>
  <c r="P62" i="31"/>
  <c r="C12" i="25"/>
  <c r="N63" i="31"/>
  <c r="O13" i="25" l="1"/>
  <c r="Q13"/>
  <c r="R13"/>
  <c r="L13"/>
  <c r="M13"/>
  <c r="N13"/>
  <c r="P13"/>
  <c r="AC66" i="9"/>
  <c r="AA67"/>
  <c r="O63" i="31"/>
  <c r="M64"/>
  <c r="K65"/>
  <c r="L65" s="1"/>
  <c r="J66"/>
  <c r="J13" i="25"/>
  <c r="K13"/>
  <c r="I13"/>
  <c r="H13"/>
  <c r="F13"/>
  <c r="G13"/>
  <c r="E13"/>
  <c r="B14"/>
  <c r="D13"/>
  <c r="P64" i="31"/>
  <c r="C13" i="25"/>
  <c r="P63" i="31"/>
  <c r="N14" i="25" l="1"/>
  <c r="L14"/>
  <c r="O14"/>
  <c r="Q14"/>
  <c r="R14"/>
  <c r="M14"/>
  <c r="P14"/>
  <c r="AC67" i="9"/>
  <c r="AA68"/>
  <c r="M65" i="31"/>
  <c r="K66"/>
  <c r="L66" s="1"/>
  <c r="J67"/>
  <c r="J14" i="25"/>
  <c r="K14"/>
  <c r="I14"/>
  <c r="H14"/>
  <c r="F14"/>
  <c r="G14"/>
  <c r="N64" i="31"/>
  <c r="B15" i="25"/>
  <c r="D14"/>
  <c r="E14"/>
  <c r="C14"/>
  <c r="N65" i="31"/>
  <c r="AC68" i="9" l="1"/>
  <c r="M15" i="25"/>
  <c r="Q15"/>
  <c r="O15"/>
  <c r="N15"/>
  <c r="R15"/>
  <c r="L15"/>
  <c r="P15"/>
  <c r="O64" i="31"/>
  <c r="O65"/>
  <c r="M66"/>
  <c r="K67"/>
  <c r="L67" s="1"/>
  <c r="J68"/>
  <c r="J15" i="25"/>
  <c r="K15"/>
  <c r="I15"/>
  <c r="F15"/>
  <c r="H15"/>
  <c r="G15"/>
  <c r="P65" i="31"/>
  <c r="D15" i="25"/>
  <c r="C15"/>
  <c r="B16"/>
  <c r="E15"/>
  <c r="N66" i="31"/>
  <c r="O16" i="25" l="1"/>
  <c r="N16"/>
  <c r="P16"/>
  <c r="M16"/>
  <c r="Q16"/>
  <c r="R16"/>
  <c r="L16"/>
  <c r="O66" i="31"/>
  <c r="M67"/>
  <c r="K68"/>
  <c r="L68" s="1"/>
  <c r="J69"/>
  <c r="K16" i="25"/>
  <c r="J16"/>
  <c r="I16"/>
  <c r="G16"/>
  <c r="H16"/>
  <c r="P66" i="31"/>
  <c r="D16" i="25"/>
  <c r="E16"/>
  <c r="C16"/>
  <c r="B17"/>
  <c r="N67" i="31"/>
  <c r="L17" i="25" l="1"/>
  <c r="R17"/>
  <c r="O17"/>
  <c r="N17"/>
  <c r="M17"/>
  <c r="P17"/>
  <c r="Q17"/>
  <c r="O67" i="31"/>
  <c r="M68"/>
  <c r="K69"/>
  <c r="L69" s="1"/>
  <c r="J70"/>
  <c r="J17" i="25"/>
  <c r="K17"/>
  <c r="I17"/>
  <c r="H17"/>
  <c r="G17"/>
  <c r="P67" i="31"/>
  <c r="D17" i="25"/>
  <c r="E17"/>
  <c r="C17"/>
  <c r="B18"/>
  <c r="N68" i="31"/>
  <c r="Q18" i="25" l="1"/>
  <c r="R18"/>
  <c r="K18"/>
  <c r="L18"/>
  <c r="M18"/>
  <c r="J18"/>
  <c r="P18"/>
  <c r="N18"/>
  <c r="O18"/>
  <c r="O68" i="31"/>
  <c r="M69"/>
  <c r="K70"/>
  <c r="L70" s="1"/>
  <c r="J71"/>
  <c r="I18" i="25"/>
  <c r="G18"/>
  <c r="H18"/>
  <c r="P68" i="31"/>
  <c r="E18" i="25"/>
  <c r="C18"/>
  <c r="D18"/>
  <c r="B19"/>
  <c r="N69" i="31"/>
  <c r="Q19" i="25" l="1"/>
  <c r="P19"/>
  <c r="R19"/>
  <c r="J19"/>
  <c r="L19"/>
  <c r="O19"/>
  <c r="K19"/>
  <c r="N19"/>
  <c r="M19"/>
  <c r="O69" i="31"/>
  <c r="M70"/>
  <c r="K71"/>
  <c r="L71" s="1"/>
  <c r="J72"/>
  <c r="I19" i="25"/>
  <c r="H19"/>
  <c r="G19"/>
  <c r="E19"/>
  <c r="D19"/>
  <c r="P69" i="31"/>
  <c r="B20" i="25"/>
  <c r="C19"/>
  <c r="N70" i="31"/>
  <c r="L20" i="25" l="1"/>
  <c r="Q20"/>
  <c r="R20"/>
  <c r="O20"/>
  <c r="P20"/>
  <c r="N20"/>
  <c r="J20"/>
  <c r="M20"/>
  <c r="K20"/>
  <c r="O70" i="31"/>
  <c r="M71"/>
  <c r="K72"/>
  <c r="L72" s="1"/>
  <c r="J73"/>
  <c r="I20" i="25"/>
  <c r="H20"/>
  <c r="G20"/>
  <c r="E20"/>
  <c r="B21"/>
  <c r="P70" i="31"/>
  <c r="C20" i="25"/>
  <c r="D20"/>
  <c r="N71" i="31"/>
  <c r="O21" i="25" l="1"/>
  <c r="N21"/>
  <c r="L21"/>
  <c r="R21"/>
  <c r="P21"/>
  <c r="J21"/>
  <c r="Q21"/>
  <c r="M21"/>
  <c r="K21"/>
  <c r="O71" i="31"/>
  <c r="M72"/>
  <c r="K73"/>
  <c r="L73" s="1"/>
  <c r="J74"/>
  <c r="I21" i="25"/>
  <c r="G21"/>
  <c r="F21"/>
  <c r="H21"/>
  <c r="D21"/>
  <c r="E21"/>
  <c r="P71" i="31"/>
  <c r="C21" i="25"/>
  <c r="B22"/>
  <c r="N72" i="31"/>
  <c r="N22" i="25" l="1"/>
  <c r="O22"/>
  <c r="J22"/>
  <c r="P22"/>
  <c r="Q22"/>
  <c r="K22"/>
  <c r="R22"/>
  <c r="M22"/>
  <c r="L22"/>
  <c r="O72" i="31"/>
  <c r="M73"/>
  <c r="K74"/>
  <c r="L74" s="1"/>
  <c r="J75"/>
  <c r="I22" i="25"/>
  <c r="H22"/>
  <c r="G22"/>
  <c r="E22"/>
  <c r="B23"/>
  <c r="D22"/>
  <c r="P72" i="31"/>
  <c r="C22" i="25"/>
  <c r="N73" i="31"/>
  <c r="N23" i="25" l="1"/>
  <c r="M23"/>
  <c r="O23"/>
  <c r="K23"/>
  <c r="J23"/>
  <c r="L23"/>
  <c r="R23"/>
  <c r="Q23"/>
  <c r="P23"/>
  <c r="O73" i="31"/>
  <c r="M74"/>
  <c r="K75"/>
  <c r="L75" s="1"/>
  <c r="J76"/>
  <c r="I23" i="25"/>
  <c r="H23"/>
  <c r="G23"/>
  <c r="P73" i="31"/>
  <c r="E23" i="25"/>
  <c r="B24"/>
  <c r="C23"/>
  <c r="D23"/>
  <c r="N74" i="31"/>
  <c r="O24" i="25" l="1"/>
  <c r="M24"/>
  <c r="J24"/>
  <c r="N24"/>
  <c r="P24"/>
  <c r="L24"/>
  <c r="R24"/>
  <c r="Q24"/>
  <c r="K24"/>
  <c r="O74" i="31"/>
  <c r="M75"/>
  <c r="K76"/>
  <c r="L76" s="1"/>
  <c r="J77"/>
  <c r="H24" i="25"/>
  <c r="I24"/>
  <c r="G24"/>
  <c r="F24"/>
  <c r="E24"/>
  <c r="P74" i="31"/>
  <c r="C24" i="25"/>
  <c r="B25"/>
  <c r="D24"/>
  <c r="N75" i="31"/>
  <c r="O25" i="25" l="1"/>
  <c r="M25"/>
  <c r="Q25"/>
  <c r="N25"/>
  <c r="K25"/>
  <c r="R25"/>
  <c r="J25"/>
  <c r="L25"/>
  <c r="P25"/>
  <c r="O75" i="31"/>
  <c r="M76"/>
  <c r="K77"/>
  <c r="L77" s="1"/>
  <c r="J78"/>
  <c r="I25" i="25"/>
  <c r="H25"/>
  <c r="G25"/>
  <c r="B26"/>
  <c r="E25"/>
  <c r="C25"/>
  <c r="P75" i="31"/>
  <c r="D25" i="25"/>
  <c r="N76" i="31"/>
  <c r="Q26" i="25" l="1"/>
  <c r="R26"/>
  <c r="N26"/>
  <c r="O26"/>
  <c r="M26"/>
  <c r="L26"/>
  <c r="P26"/>
  <c r="J26"/>
  <c r="K26"/>
  <c r="O76" i="31"/>
  <c r="M77"/>
  <c r="K78"/>
  <c r="L78" s="1"/>
  <c r="J79"/>
  <c r="H26" i="25"/>
  <c r="I26"/>
  <c r="G26"/>
  <c r="E26"/>
  <c r="P76" i="31"/>
  <c r="D26" i="25"/>
  <c r="B27"/>
  <c r="C26"/>
  <c r="N77" i="31"/>
  <c r="M27" i="25" l="1"/>
  <c r="N27"/>
  <c r="K27"/>
  <c r="R27"/>
  <c r="P27"/>
  <c r="J27"/>
  <c r="O27"/>
  <c r="L27"/>
  <c r="Q27"/>
  <c r="O77" i="31"/>
  <c r="M78"/>
  <c r="K79"/>
  <c r="L79" s="1"/>
  <c r="J80"/>
  <c r="I27" i="25"/>
  <c r="H27"/>
  <c r="C27"/>
  <c r="P77" i="31"/>
  <c r="D27" i="25"/>
  <c r="E27"/>
  <c r="B28"/>
  <c r="N78" i="31"/>
  <c r="O28" i="25" l="1"/>
  <c r="M28"/>
  <c r="R28"/>
  <c r="J28"/>
  <c r="N28"/>
  <c r="K28"/>
  <c r="L28"/>
  <c r="P28"/>
  <c r="Q28"/>
  <c r="O78" i="31"/>
  <c r="M79"/>
  <c r="K80"/>
  <c r="L80" s="1"/>
  <c r="J81"/>
  <c r="I28" i="25"/>
  <c r="H28"/>
  <c r="B29"/>
  <c r="E28"/>
  <c r="C28"/>
  <c r="P78" i="31"/>
  <c r="D28" i="25"/>
  <c r="N79" i="31"/>
  <c r="O29" i="25" l="1"/>
  <c r="P29"/>
  <c r="J29"/>
  <c r="R29"/>
  <c r="K29"/>
  <c r="M29"/>
  <c r="L29"/>
  <c r="N29"/>
  <c r="Q29"/>
  <c r="O79" i="31"/>
  <c r="M80"/>
  <c r="K81"/>
  <c r="L81" s="1"/>
  <c r="J82"/>
  <c r="I29" i="25"/>
  <c r="H29"/>
  <c r="C29"/>
  <c r="D29"/>
  <c r="P79" i="31"/>
  <c r="B30" i="25"/>
  <c r="E29"/>
  <c r="N80" i="31"/>
  <c r="N30" i="25" l="1"/>
  <c r="Q30"/>
  <c r="K30"/>
  <c r="O30"/>
  <c r="J30"/>
  <c r="R30"/>
  <c r="M30"/>
  <c r="P30"/>
  <c r="L30"/>
  <c r="O80" i="31"/>
  <c r="M81"/>
  <c r="K82"/>
  <c r="L82" s="1"/>
  <c r="J83"/>
  <c r="I30" i="25"/>
  <c r="H30"/>
  <c r="B31"/>
  <c r="P80" i="31"/>
  <c r="E30" i="25"/>
  <c r="C30"/>
  <c r="D30"/>
  <c r="N81" i="31"/>
  <c r="O31" i="25" l="1"/>
  <c r="Q31"/>
  <c r="L31"/>
  <c r="P31"/>
  <c r="N31"/>
  <c r="M31"/>
  <c r="R31"/>
  <c r="J31"/>
  <c r="K31"/>
  <c r="O81" i="31"/>
  <c r="M82"/>
  <c r="K83"/>
  <c r="L83" s="1"/>
  <c r="J84"/>
  <c r="I31" i="25"/>
  <c r="H31"/>
  <c r="B32"/>
  <c r="P81" i="31"/>
  <c r="C31" i="25"/>
  <c r="E31"/>
  <c r="D31"/>
  <c r="N82" i="31"/>
  <c r="M32" i="25" l="1"/>
  <c r="J32"/>
  <c r="Q32"/>
  <c r="K32"/>
  <c r="O32"/>
  <c r="L32"/>
  <c r="R32"/>
  <c r="P32"/>
  <c r="N32"/>
  <c r="O82" i="31"/>
  <c r="M83"/>
  <c r="K84"/>
  <c r="L84" s="1"/>
  <c r="J85"/>
  <c r="H32" i="25"/>
  <c r="I32"/>
  <c r="C32"/>
  <c r="D32"/>
  <c r="P82" i="31"/>
  <c r="B33" i="25"/>
  <c r="E32"/>
  <c r="N83" i="31"/>
  <c r="M33" i="25" l="1"/>
  <c r="K33"/>
  <c r="Q33"/>
  <c r="L33"/>
  <c r="J33"/>
  <c r="R33"/>
  <c r="P33"/>
  <c r="O33"/>
  <c r="N33"/>
  <c r="O83" i="31"/>
  <c r="M84"/>
  <c r="K85"/>
  <c r="L85" s="1"/>
  <c r="J86"/>
  <c r="I33" i="25"/>
  <c r="H33"/>
  <c r="D33"/>
  <c r="B34"/>
  <c r="P83" i="31"/>
  <c r="E33" i="25"/>
  <c r="C33"/>
  <c r="N84" i="31"/>
  <c r="N34" i="25" l="1"/>
  <c r="R34"/>
  <c r="J34"/>
  <c r="L34"/>
  <c r="Q34"/>
  <c r="P34"/>
  <c r="M34"/>
  <c r="K34"/>
  <c r="O34"/>
  <c r="O84" i="31"/>
  <c r="M85"/>
  <c r="K86"/>
  <c r="L86" s="1"/>
  <c r="J87"/>
  <c r="H34" i="25"/>
  <c r="I34"/>
  <c r="D34"/>
  <c r="P84" i="31"/>
  <c r="C34" i="25"/>
  <c r="B35"/>
  <c r="E34"/>
  <c r="N85" i="31"/>
  <c r="Q35" i="25" l="1"/>
  <c r="J35"/>
  <c r="R35"/>
  <c r="P35"/>
  <c r="O35"/>
  <c r="K35"/>
  <c r="N35"/>
  <c r="L35"/>
  <c r="M35"/>
  <c r="O85" i="31"/>
  <c r="M86"/>
  <c r="K87"/>
  <c r="L87" s="1"/>
  <c r="J88"/>
  <c r="H35" i="25"/>
  <c r="I35"/>
  <c r="P85" i="31"/>
  <c r="D35" i="25"/>
  <c r="E35"/>
  <c r="C35"/>
  <c r="B36"/>
  <c r="N86" i="31"/>
  <c r="J36" i="25" l="1"/>
  <c r="O36"/>
  <c r="M36"/>
  <c r="R36"/>
  <c r="L36"/>
  <c r="N36"/>
  <c r="P36"/>
  <c r="K36"/>
  <c r="Q36"/>
  <c r="O86" i="31"/>
  <c r="M87"/>
  <c r="K88"/>
  <c r="L88" s="1"/>
  <c r="J89"/>
  <c r="H36" i="25"/>
  <c r="I36"/>
  <c r="P86" i="31"/>
  <c r="D36" i="25"/>
  <c r="C36"/>
  <c r="B37"/>
  <c r="E36"/>
  <c r="N87" i="31"/>
  <c r="K37" i="25" l="1"/>
  <c r="O37"/>
  <c r="M37"/>
  <c r="R37"/>
  <c r="N37"/>
  <c r="J37"/>
  <c r="P37"/>
  <c r="Q37"/>
  <c r="L37"/>
  <c r="O87" i="31"/>
  <c r="M88"/>
  <c r="K89"/>
  <c r="L89" s="1"/>
  <c r="J90"/>
  <c r="H37" i="25"/>
  <c r="I37"/>
  <c r="P87" i="31"/>
  <c r="B38" i="25"/>
  <c r="C37"/>
  <c r="D37"/>
  <c r="E37"/>
  <c r="N88" i="31"/>
  <c r="Q38" i="25" l="1"/>
  <c r="L38"/>
  <c r="P38"/>
  <c r="O38"/>
  <c r="N38"/>
  <c r="R38"/>
  <c r="K38"/>
  <c r="M38"/>
  <c r="J38"/>
  <c r="O88" i="31"/>
  <c r="M89"/>
  <c r="K90"/>
  <c r="L90" s="1"/>
  <c r="J91"/>
  <c r="I38" i="25"/>
  <c r="H38"/>
  <c r="D38"/>
  <c r="E38"/>
  <c r="P88" i="31"/>
  <c r="B39" i="25"/>
  <c r="C38"/>
  <c r="N89" i="31"/>
  <c r="O39" i="25" l="1"/>
  <c r="P39"/>
  <c r="N39"/>
  <c r="M39"/>
  <c r="K39"/>
  <c r="J39"/>
  <c r="R39"/>
  <c r="L39"/>
  <c r="Q39"/>
  <c r="O89" i="31"/>
  <c r="M90"/>
  <c r="K91"/>
  <c r="L91" s="1"/>
  <c r="J92"/>
  <c r="H39" i="25"/>
  <c r="I39"/>
  <c r="B40"/>
  <c r="D39"/>
  <c r="C39"/>
  <c r="E39"/>
  <c r="P89" i="31"/>
  <c r="N90"/>
  <c r="P40" i="25" l="1"/>
  <c r="O40"/>
  <c r="Q40"/>
  <c r="J40"/>
  <c r="N40"/>
  <c r="R40"/>
  <c r="K40"/>
  <c r="M40"/>
  <c r="L40"/>
  <c r="O90" i="31"/>
  <c r="M91"/>
  <c r="K92"/>
  <c r="L92" s="1"/>
  <c r="J93"/>
  <c r="H40" i="25"/>
  <c r="I40"/>
  <c r="D40"/>
  <c r="B41"/>
  <c r="C40"/>
  <c r="E40"/>
  <c r="P90" i="31"/>
  <c r="N91"/>
  <c r="K41" i="25" l="1"/>
  <c r="J41"/>
  <c r="Q41"/>
  <c r="N41"/>
  <c r="R41"/>
  <c r="P41"/>
  <c r="M41"/>
  <c r="L41"/>
  <c r="O41"/>
  <c r="O91" i="31"/>
  <c r="M92"/>
  <c r="K93"/>
  <c r="L93" s="1"/>
  <c r="J94"/>
  <c r="H41" i="25"/>
  <c r="I41"/>
  <c r="D41"/>
  <c r="E41"/>
  <c r="C41"/>
  <c r="B42"/>
  <c r="P91" i="31"/>
  <c r="N92"/>
  <c r="J42" i="25" l="1"/>
  <c r="R42"/>
  <c r="K42"/>
  <c r="O42"/>
  <c r="N42"/>
  <c r="M42"/>
  <c r="L42"/>
  <c r="P42"/>
  <c r="Q42"/>
  <c r="O92" i="31"/>
  <c r="M93"/>
  <c r="K94"/>
  <c r="L94" s="1"/>
  <c r="J95"/>
  <c r="I42" i="25"/>
  <c r="H42"/>
  <c r="D42"/>
  <c r="B43"/>
  <c r="E42"/>
  <c r="C42"/>
  <c r="P92" i="31"/>
  <c r="N93"/>
  <c r="J43" i="25" l="1"/>
  <c r="Q43"/>
  <c r="R43"/>
  <c r="K43"/>
  <c r="N43"/>
  <c r="O43"/>
  <c r="M43"/>
  <c r="L43"/>
  <c r="P43"/>
  <c r="O93" i="31"/>
  <c r="M94"/>
  <c r="K95"/>
  <c r="L95" s="1"/>
  <c r="J96"/>
  <c r="H43" i="25"/>
  <c r="I43"/>
  <c r="C43"/>
  <c r="B44"/>
  <c r="E43"/>
  <c r="D43"/>
  <c r="P93" i="31"/>
  <c r="N94"/>
  <c r="K44" i="25" l="1"/>
  <c r="N44"/>
  <c r="R44"/>
  <c r="M44"/>
  <c r="O44"/>
  <c r="Q44"/>
  <c r="L44"/>
  <c r="J44"/>
  <c r="P44"/>
  <c r="O94" i="31"/>
  <c r="M95"/>
  <c r="K96"/>
  <c r="L96" s="1"/>
  <c r="J97"/>
  <c r="I44" i="25"/>
  <c r="H44"/>
  <c r="E44"/>
  <c r="D44"/>
  <c r="C44"/>
  <c r="B45"/>
  <c r="P94" i="31"/>
  <c r="N95"/>
  <c r="J45" i="25" l="1"/>
  <c r="K45"/>
  <c r="O45"/>
  <c r="R45"/>
  <c r="N45"/>
  <c r="Q45"/>
  <c r="L45"/>
  <c r="P45"/>
  <c r="M45"/>
  <c r="O95" i="31"/>
  <c r="M96"/>
  <c r="K97"/>
  <c r="L97" s="1"/>
  <c r="J98"/>
  <c r="I45" i="25"/>
  <c r="H45"/>
  <c r="D45"/>
  <c r="E45"/>
  <c r="C45"/>
  <c r="B46"/>
  <c r="P95" i="31"/>
  <c r="N96"/>
  <c r="J46" i="25" l="1"/>
  <c r="K46"/>
  <c r="L46"/>
  <c r="O46"/>
  <c r="N46"/>
  <c r="R46"/>
  <c r="Q46"/>
  <c r="P46"/>
  <c r="M46"/>
  <c r="O96" i="31"/>
  <c r="M97"/>
  <c r="K98"/>
  <c r="L98" s="1"/>
  <c r="J99"/>
  <c r="H46" i="25"/>
  <c r="I46"/>
  <c r="B47"/>
  <c r="C46"/>
  <c r="E46"/>
  <c r="D46"/>
  <c r="P96" i="31"/>
  <c r="N97"/>
  <c r="K47" i="25" l="1"/>
  <c r="M47"/>
  <c r="J47"/>
  <c r="P47"/>
  <c r="L47"/>
  <c r="R47"/>
  <c r="N47"/>
  <c r="O47"/>
  <c r="Q47"/>
  <c r="O97" i="31"/>
  <c r="M98"/>
  <c r="K99"/>
  <c r="L99" s="1"/>
  <c r="J100"/>
  <c r="I47" i="25"/>
  <c r="H47"/>
  <c r="E47"/>
  <c r="C47"/>
  <c r="B48"/>
  <c r="D47"/>
  <c r="P97" i="31"/>
  <c r="N98"/>
  <c r="K48" i="25" l="1"/>
  <c r="J48"/>
  <c r="P48"/>
  <c r="O48"/>
  <c r="L48"/>
  <c r="R48"/>
  <c r="N48"/>
  <c r="M48"/>
  <c r="Q48"/>
  <c r="O98" i="31"/>
  <c r="M99"/>
  <c r="K100"/>
  <c r="L100" s="1"/>
  <c r="J101"/>
  <c r="I48" i="25"/>
  <c r="H48"/>
  <c r="C48"/>
  <c r="B49"/>
  <c r="E48"/>
  <c r="D48"/>
  <c r="P98" i="31"/>
  <c r="N99"/>
  <c r="O49" i="25" l="1"/>
  <c r="M49"/>
  <c r="R49"/>
  <c r="J49"/>
  <c r="K49"/>
  <c r="L49"/>
  <c r="N49"/>
  <c r="Q49"/>
  <c r="P49"/>
  <c r="O99" i="31"/>
  <c r="M100"/>
  <c r="K101"/>
  <c r="L101" s="1"/>
  <c r="J102"/>
  <c r="I49" i="25"/>
  <c r="H49"/>
  <c r="B50"/>
  <c r="D49"/>
  <c r="E49"/>
  <c r="C49"/>
  <c r="P99" i="31"/>
  <c r="N100"/>
  <c r="K50" i="25" l="1"/>
  <c r="R50"/>
  <c r="M50"/>
  <c r="P50"/>
  <c r="N50"/>
  <c r="O50"/>
  <c r="Q50"/>
  <c r="J50"/>
  <c r="L50"/>
  <c r="O100" i="31"/>
  <c r="M101"/>
  <c r="K102"/>
  <c r="L102" s="1"/>
  <c r="J103"/>
  <c r="H50" i="25"/>
  <c r="I50"/>
  <c r="D50"/>
  <c r="B51"/>
  <c r="E50"/>
  <c r="C50"/>
  <c r="P100" i="31"/>
  <c r="N101"/>
  <c r="L51" i="25" l="1"/>
  <c r="O51"/>
  <c r="M51"/>
  <c r="Q51"/>
  <c r="J51"/>
  <c r="P51"/>
  <c r="K51"/>
  <c r="N51"/>
  <c r="R51"/>
  <c r="O101" i="31"/>
  <c r="M102"/>
  <c r="K103"/>
  <c r="L103" s="1"/>
  <c r="J104"/>
  <c r="H51" i="25"/>
  <c r="I51"/>
  <c r="D51"/>
  <c r="B52"/>
  <c r="E51"/>
  <c r="C51"/>
  <c r="G51"/>
  <c r="P101" i="31"/>
  <c r="N102"/>
  <c r="K52" i="25" l="1"/>
  <c r="L52"/>
  <c r="J52"/>
  <c r="Q52"/>
  <c r="M52"/>
  <c r="P52"/>
  <c r="O52"/>
  <c r="N52"/>
  <c r="R52"/>
  <c r="O102" i="31"/>
  <c r="M103"/>
  <c r="K104"/>
  <c r="L104" s="1"/>
  <c r="J105"/>
  <c r="H52" i="25"/>
  <c r="I52"/>
  <c r="B53"/>
  <c r="E52"/>
  <c r="C52"/>
  <c r="G52"/>
  <c r="F52"/>
  <c r="D52"/>
  <c r="P102" i="31"/>
  <c r="N103"/>
  <c r="O53" i="25" l="1"/>
  <c r="P53"/>
  <c r="Q53"/>
  <c r="J53"/>
  <c r="L53"/>
  <c r="K53"/>
  <c r="N53"/>
  <c r="M53"/>
  <c r="R53"/>
  <c r="O103" i="31"/>
  <c r="M104"/>
  <c r="K105"/>
  <c r="L105" s="1"/>
  <c r="J106"/>
  <c r="H53" i="25"/>
  <c r="I53"/>
  <c r="C53"/>
  <c r="G53"/>
  <c r="F53"/>
  <c r="B54"/>
  <c r="E53"/>
  <c r="D53"/>
  <c r="P103" i="31"/>
  <c r="N104"/>
  <c r="P54" i="25" l="1"/>
  <c r="N54"/>
  <c r="K54"/>
  <c r="M54"/>
  <c r="O54"/>
  <c r="J54"/>
  <c r="Q54"/>
  <c r="L54"/>
  <c r="R54"/>
  <c r="O104" i="31"/>
  <c r="M105"/>
  <c r="K106"/>
  <c r="L106" s="1"/>
  <c r="J107"/>
  <c r="H54" i="25"/>
  <c r="I54"/>
  <c r="G54"/>
  <c r="C54"/>
  <c r="E54"/>
  <c r="F54"/>
  <c r="B55"/>
  <c r="D54"/>
  <c r="P104" i="31"/>
  <c r="N105"/>
  <c r="N55" i="25" l="1"/>
  <c r="J55"/>
  <c r="P55"/>
  <c r="L55"/>
  <c r="Q55"/>
  <c r="O55"/>
  <c r="M55"/>
  <c r="K55"/>
  <c r="R55"/>
  <c r="O105" i="31"/>
  <c r="M106"/>
  <c r="K107"/>
  <c r="L107" s="1"/>
  <c r="J108"/>
  <c r="I55" i="25"/>
  <c r="H55"/>
  <c r="E55"/>
  <c r="B56"/>
  <c r="G55"/>
  <c r="D55"/>
  <c r="F55"/>
  <c r="C55"/>
  <c r="P105" i="31"/>
  <c r="N106"/>
  <c r="Q56" i="25" l="1"/>
  <c r="P56"/>
  <c r="O56"/>
  <c r="N56"/>
  <c r="M56"/>
  <c r="K56"/>
  <c r="L56"/>
  <c r="J56"/>
  <c r="R56"/>
  <c r="O106" i="31"/>
  <c r="M107"/>
  <c r="K108"/>
  <c r="L108" s="1"/>
  <c r="J109"/>
  <c r="I56" i="25"/>
  <c r="H56"/>
  <c r="B57"/>
  <c r="G56"/>
  <c r="E56"/>
  <c r="C56"/>
  <c r="F56"/>
  <c r="D56"/>
  <c r="P106" i="31"/>
  <c r="N107"/>
  <c r="K57" i="25" l="1"/>
  <c r="O57"/>
  <c r="J57"/>
  <c r="Q57"/>
  <c r="P57"/>
  <c r="M57"/>
  <c r="L57"/>
  <c r="N57"/>
  <c r="R57"/>
  <c r="O107" i="31"/>
  <c r="M108"/>
  <c r="K109"/>
  <c r="L109" s="1"/>
  <c r="J110"/>
  <c r="H57" i="25"/>
  <c r="I57"/>
  <c r="C57"/>
  <c r="B58"/>
  <c r="G57"/>
  <c r="D57"/>
  <c r="F57"/>
  <c r="E57"/>
  <c r="P107" i="31"/>
  <c r="N108"/>
  <c r="J58" i="25" l="1"/>
  <c r="K58"/>
  <c r="P58"/>
  <c r="O58"/>
  <c r="N58"/>
  <c r="L58"/>
  <c r="M58"/>
  <c r="Q58"/>
  <c r="R58"/>
  <c r="O108" i="31"/>
  <c r="M109"/>
  <c r="K110"/>
  <c r="L110" s="1"/>
  <c r="J111"/>
  <c r="I58" i="25"/>
  <c r="H58"/>
  <c r="B59"/>
  <c r="C58"/>
  <c r="G58"/>
  <c r="F58"/>
  <c r="E58"/>
  <c r="D58"/>
  <c r="P108" i="31"/>
  <c r="N109"/>
  <c r="N59" i="25" l="1"/>
  <c r="K59"/>
  <c r="L59"/>
  <c r="J59"/>
  <c r="Q59"/>
  <c r="O59"/>
  <c r="M59"/>
  <c r="P59"/>
  <c r="R59"/>
  <c r="O109" i="31"/>
  <c r="M110"/>
  <c r="K111"/>
  <c r="L111" s="1"/>
  <c r="J112"/>
  <c r="H59" i="25"/>
  <c r="I59"/>
  <c r="C59"/>
  <c r="F59"/>
  <c r="E59"/>
  <c r="B60"/>
  <c r="G59"/>
  <c r="D59"/>
  <c r="P109" i="31"/>
  <c r="N110"/>
  <c r="N60" i="25" l="1"/>
  <c r="M60"/>
  <c r="L60"/>
  <c r="Q60"/>
  <c r="P60"/>
  <c r="J60"/>
  <c r="K60"/>
  <c r="O60"/>
  <c r="R60"/>
  <c r="O110" i="31"/>
  <c r="M111"/>
  <c r="K112"/>
  <c r="L112" s="1"/>
  <c r="J113"/>
  <c r="H60" i="25"/>
  <c r="I60"/>
  <c r="F60"/>
  <c r="G60"/>
  <c r="B61"/>
  <c r="D60"/>
  <c r="C60"/>
  <c r="E60"/>
  <c r="P110" i="31"/>
  <c r="N111"/>
  <c r="M61" i="25" l="1"/>
  <c r="O61"/>
  <c r="K61"/>
  <c r="P61"/>
  <c r="L61"/>
  <c r="J61"/>
  <c r="N61"/>
  <c r="Q61"/>
  <c r="R61"/>
  <c r="O111" i="31"/>
  <c r="M112"/>
  <c r="K113"/>
  <c r="L113" s="1"/>
  <c r="J114"/>
  <c r="H61" i="25"/>
  <c r="I61"/>
  <c r="F61"/>
  <c r="D61"/>
  <c r="B62"/>
  <c r="C61"/>
  <c r="E61"/>
  <c r="G61"/>
  <c r="P111" i="31"/>
  <c r="N112"/>
  <c r="M62" i="25" l="1"/>
  <c r="K62"/>
  <c r="P62"/>
  <c r="N62"/>
  <c r="Q62"/>
  <c r="L62"/>
  <c r="J62"/>
  <c r="O62"/>
  <c r="R62"/>
  <c r="O112" i="31"/>
  <c r="M113"/>
  <c r="K114"/>
  <c r="L114" s="1"/>
  <c r="J115"/>
  <c r="H62" i="25"/>
  <c r="I62"/>
  <c r="B63"/>
  <c r="C62"/>
  <c r="F62"/>
  <c r="G62"/>
  <c r="E62"/>
  <c r="D62"/>
  <c r="P112" i="31"/>
  <c r="N113"/>
  <c r="M63" i="25" l="1"/>
  <c r="L63"/>
  <c r="K63"/>
  <c r="J63"/>
  <c r="P63"/>
  <c r="N63"/>
  <c r="Q63"/>
  <c r="O63"/>
  <c r="R63"/>
  <c r="O113" i="31"/>
  <c r="M114"/>
  <c r="K115"/>
  <c r="L115" s="1"/>
  <c r="J116"/>
  <c r="H63" i="25"/>
  <c r="I63"/>
  <c r="C63"/>
  <c r="F63"/>
  <c r="E63"/>
  <c r="D63"/>
  <c r="B64"/>
  <c r="G63"/>
  <c r="P113" i="31"/>
  <c r="N114"/>
  <c r="L64" i="25" l="1"/>
  <c r="P64"/>
  <c r="K64"/>
  <c r="J64"/>
  <c r="Q64"/>
  <c r="N64"/>
  <c r="M64"/>
  <c r="O64"/>
  <c r="R64"/>
  <c r="O114" i="31"/>
  <c r="M115"/>
  <c r="K116"/>
  <c r="L116" s="1"/>
  <c r="J117"/>
  <c r="H64" i="25"/>
  <c r="I64"/>
  <c r="B65"/>
  <c r="C64"/>
  <c r="G64"/>
  <c r="E64"/>
  <c r="F64"/>
  <c r="D64"/>
  <c r="P114" i="31"/>
  <c r="N115"/>
  <c r="M65" i="25" l="1"/>
  <c r="J65"/>
  <c r="L65"/>
  <c r="N65"/>
  <c r="K65"/>
  <c r="Q65"/>
  <c r="P65"/>
  <c r="O65"/>
  <c r="R65"/>
  <c r="O115" i="31"/>
  <c r="M116"/>
  <c r="K117"/>
  <c r="L117" s="1"/>
  <c r="J118"/>
  <c r="I65" i="25"/>
  <c r="H65"/>
  <c r="F65"/>
  <c r="G65"/>
  <c r="E65"/>
  <c r="B66"/>
  <c r="C65"/>
  <c r="D65"/>
  <c r="P115" i="31"/>
  <c r="N116"/>
  <c r="O66" i="25" l="1"/>
  <c r="P66"/>
  <c r="N66"/>
  <c r="K66"/>
  <c r="L66"/>
  <c r="Q66"/>
  <c r="M66"/>
  <c r="J66"/>
  <c r="R66"/>
  <c r="O116" i="31"/>
  <c r="M117"/>
  <c r="K118"/>
  <c r="L118" s="1"/>
  <c r="J119"/>
  <c r="I66" i="25"/>
  <c r="H66"/>
  <c r="F66"/>
  <c r="B67"/>
  <c r="E66"/>
  <c r="G66"/>
  <c r="C66"/>
  <c r="D66"/>
  <c r="P116" i="31"/>
  <c r="N117"/>
  <c r="L67" i="25" l="1"/>
  <c r="J67"/>
  <c r="P67"/>
  <c r="K67"/>
  <c r="Q67"/>
  <c r="N67"/>
  <c r="O67"/>
  <c r="M67"/>
  <c r="R67"/>
  <c r="O117" i="31"/>
  <c r="M118"/>
  <c r="K119"/>
  <c r="L119" s="1"/>
  <c r="J120"/>
  <c r="I67" i="25"/>
  <c r="H67"/>
  <c r="D67"/>
  <c r="E67"/>
  <c r="F67"/>
  <c r="G67"/>
  <c r="C67"/>
  <c r="B68"/>
  <c r="P117" i="31"/>
  <c r="N118"/>
  <c r="O68" i="25" l="1"/>
  <c r="N68"/>
  <c r="K68"/>
  <c r="Q68"/>
  <c r="M68"/>
  <c r="J68"/>
  <c r="L68"/>
  <c r="P68"/>
  <c r="R68"/>
  <c r="O118" i="31"/>
  <c r="M119"/>
  <c r="K120"/>
  <c r="L120" s="1"/>
  <c r="J121"/>
  <c r="H68" i="25"/>
  <c r="I68"/>
  <c r="C68"/>
  <c r="F68"/>
  <c r="D68"/>
  <c r="B69"/>
  <c r="E68"/>
  <c r="G68"/>
  <c r="P118" i="31"/>
  <c r="N119"/>
  <c r="J69" i="25" l="1"/>
  <c r="O69"/>
  <c r="N69"/>
  <c r="Q69"/>
  <c r="P69"/>
  <c r="M69"/>
  <c r="K69"/>
  <c r="L69"/>
  <c r="R69"/>
  <c r="O119" i="31"/>
  <c r="M120"/>
  <c r="K121"/>
  <c r="L121" s="1"/>
  <c r="J122"/>
  <c r="H69" i="25"/>
  <c r="I69"/>
  <c r="E69"/>
  <c r="F69"/>
  <c r="D69"/>
  <c r="B70"/>
  <c r="G69"/>
  <c r="C69"/>
  <c r="P119" i="31"/>
  <c r="N120"/>
  <c r="N70" i="25" l="1"/>
  <c r="M70"/>
  <c r="P70"/>
  <c r="Q70"/>
  <c r="J70"/>
  <c r="L70"/>
  <c r="K70"/>
  <c r="O70"/>
  <c r="R70"/>
  <c r="O120" i="31"/>
  <c r="M121"/>
  <c r="K122"/>
  <c r="L122" s="1"/>
  <c r="J123"/>
  <c r="H70" i="25"/>
  <c r="I70"/>
  <c r="G70"/>
  <c r="B71"/>
  <c r="C70"/>
  <c r="F70"/>
  <c r="E70"/>
  <c r="D70"/>
  <c r="P120" i="31"/>
  <c r="N121"/>
  <c r="P71" i="25" l="1"/>
  <c r="J71"/>
  <c r="N71"/>
  <c r="L71"/>
  <c r="O71"/>
  <c r="K71"/>
  <c r="M71"/>
  <c r="Q71"/>
  <c r="R71"/>
  <c r="O121" i="31"/>
  <c r="M122"/>
  <c r="K123"/>
  <c r="L123" s="1"/>
  <c r="J124"/>
  <c r="I71" i="25"/>
  <c r="H71"/>
  <c r="E71"/>
  <c r="G71"/>
  <c r="B72"/>
  <c r="F71"/>
  <c r="D71"/>
  <c r="C71"/>
  <c r="P121" i="31"/>
  <c r="N122"/>
  <c r="N72" i="25" l="1"/>
  <c r="L72"/>
  <c r="K72"/>
  <c r="J72"/>
  <c r="Q72"/>
  <c r="P72"/>
  <c r="O72"/>
  <c r="M72"/>
  <c r="R72"/>
  <c r="O122" i="31"/>
  <c r="M123"/>
  <c r="K124"/>
  <c r="L124" s="1"/>
  <c r="J125"/>
  <c r="H72" i="25"/>
  <c r="I72"/>
  <c r="C72"/>
  <c r="D72"/>
  <c r="B73"/>
  <c r="E72"/>
  <c r="G72"/>
  <c r="F72"/>
  <c r="P122" i="31"/>
  <c r="N123"/>
  <c r="L73" i="25" l="1"/>
  <c r="K73"/>
  <c r="J73"/>
  <c r="Q73"/>
  <c r="P73"/>
  <c r="O73"/>
  <c r="N73"/>
  <c r="M73"/>
  <c r="R73"/>
  <c r="O123" i="31"/>
  <c r="M124"/>
  <c r="K125"/>
  <c r="L125" s="1"/>
  <c r="J126"/>
  <c r="H73" i="25"/>
  <c r="I73"/>
  <c r="D73"/>
  <c r="C73"/>
  <c r="E73"/>
  <c r="G73"/>
  <c r="B74"/>
  <c r="F73"/>
  <c r="P123" i="31"/>
  <c r="N124"/>
  <c r="N74" i="25" l="1"/>
  <c r="M74"/>
  <c r="Q74"/>
  <c r="L74"/>
  <c r="P74"/>
  <c r="O74"/>
  <c r="J74"/>
  <c r="K74"/>
  <c r="R74"/>
  <c r="O124" i="31"/>
  <c r="M125"/>
  <c r="K126"/>
  <c r="L126" s="1"/>
  <c r="J127"/>
  <c r="I74" i="25"/>
  <c r="H74"/>
  <c r="D74"/>
  <c r="B75"/>
  <c r="G74"/>
  <c r="F74"/>
  <c r="E74"/>
  <c r="C74"/>
  <c r="P124" i="31"/>
  <c r="N125"/>
  <c r="P75" i="25" l="1"/>
  <c r="N75"/>
  <c r="L75"/>
  <c r="J75"/>
  <c r="K75"/>
  <c r="Q75"/>
  <c r="O75"/>
  <c r="M75"/>
  <c r="R75"/>
  <c r="O125" i="31"/>
  <c r="M126"/>
  <c r="K127"/>
  <c r="L127" s="1"/>
  <c r="J128"/>
  <c r="H75" i="25"/>
  <c r="I75"/>
  <c r="C75"/>
  <c r="B76"/>
  <c r="G75"/>
  <c r="E75"/>
  <c r="F75"/>
  <c r="D75"/>
  <c r="P125" i="31"/>
  <c r="N126"/>
  <c r="O76" i="25" l="1"/>
  <c r="N76"/>
  <c r="M76"/>
  <c r="L76"/>
  <c r="J76"/>
  <c r="K76"/>
  <c r="Q76"/>
  <c r="P76"/>
  <c r="R76"/>
  <c r="O126" i="31"/>
  <c r="M127"/>
  <c r="K128"/>
  <c r="L128" s="1"/>
  <c r="J129"/>
  <c r="H76" i="25"/>
  <c r="I76"/>
  <c r="E76"/>
  <c r="C76"/>
  <c r="F76"/>
  <c r="D76"/>
  <c r="B77"/>
  <c r="G76"/>
  <c r="P126" i="31"/>
  <c r="N127"/>
  <c r="J77" i="25" l="1"/>
  <c r="K77"/>
  <c r="P77"/>
  <c r="Q77"/>
  <c r="L77"/>
  <c r="O77"/>
  <c r="M77"/>
  <c r="N77"/>
  <c r="R77"/>
  <c r="O127" i="31"/>
  <c r="M128"/>
  <c r="K129"/>
  <c r="L129" s="1"/>
  <c r="J130"/>
  <c r="I77" i="25"/>
  <c r="H77"/>
  <c r="F77"/>
  <c r="D77"/>
  <c r="C77"/>
  <c r="E77"/>
  <c r="B78"/>
  <c r="G77"/>
  <c r="P127" i="31"/>
  <c r="N128"/>
  <c r="N78" i="25" l="1"/>
  <c r="Q78"/>
  <c r="M78"/>
  <c r="K78"/>
  <c r="L78"/>
  <c r="J78"/>
  <c r="O78"/>
  <c r="P78"/>
  <c r="R78"/>
  <c r="O128" i="31"/>
  <c r="M129"/>
  <c r="K130"/>
  <c r="L130" s="1"/>
  <c r="J131"/>
  <c r="H78" i="25"/>
  <c r="I78"/>
  <c r="G78"/>
  <c r="D78"/>
  <c r="F78"/>
  <c r="C78"/>
  <c r="E78"/>
  <c r="B79"/>
  <c r="P128" i="31"/>
  <c r="N129"/>
  <c r="M79" i="25" l="1"/>
  <c r="E79"/>
  <c r="K79"/>
  <c r="G79"/>
  <c r="N79"/>
  <c r="H79"/>
  <c r="L79"/>
  <c r="F79"/>
  <c r="O79"/>
  <c r="C79"/>
  <c r="J79"/>
  <c r="I79"/>
  <c r="B80"/>
  <c r="P79"/>
  <c r="Q79"/>
  <c r="D79"/>
  <c r="R79"/>
  <c r="O129" i="31"/>
  <c r="M130"/>
  <c r="K131"/>
  <c r="L131" s="1"/>
  <c r="J132"/>
  <c r="P129"/>
  <c r="N130"/>
  <c r="M80" i="25" l="1"/>
  <c r="F80"/>
  <c r="J80"/>
  <c r="H80"/>
  <c r="Q80"/>
  <c r="D80"/>
  <c r="L80"/>
  <c r="I80"/>
  <c r="K80"/>
  <c r="G80"/>
  <c r="C80"/>
  <c r="B81"/>
  <c r="P80"/>
  <c r="O80"/>
  <c r="E80"/>
  <c r="N80"/>
  <c r="R80"/>
  <c r="O130" i="31"/>
  <c r="M131"/>
  <c r="K132"/>
  <c r="L132" s="1"/>
  <c r="J133"/>
  <c r="P130"/>
  <c r="N131"/>
  <c r="N81" i="25" l="1"/>
  <c r="G81"/>
  <c r="P81"/>
  <c r="M81"/>
  <c r="B82"/>
  <c r="D81"/>
  <c r="I81"/>
  <c r="C81"/>
  <c r="O81"/>
  <c r="E81"/>
  <c r="L81"/>
  <c r="K81"/>
  <c r="F81"/>
  <c r="J81"/>
  <c r="H81"/>
  <c r="Q81"/>
  <c r="R81"/>
  <c r="O131" i="31"/>
  <c r="M132"/>
  <c r="K133"/>
  <c r="L133" s="1"/>
  <c r="J134"/>
  <c r="P131"/>
  <c r="N132"/>
  <c r="P82" i="25" l="1"/>
  <c r="C82"/>
  <c r="Q82"/>
  <c r="G82"/>
  <c r="J82"/>
  <c r="O82"/>
  <c r="D82"/>
  <c r="N82"/>
  <c r="H82"/>
  <c r="M82"/>
  <c r="I82"/>
  <c r="K82"/>
  <c r="E82"/>
  <c r="L82"/>
  <c r="B83"/>
  <c r="F82"/>
  <c r="R82"/>
  <c r="O132" i="31"/>
  <c r="M133"/>
  <c r="K134"/>
  <c r="L134" s="1"/>
  <c r="J135"/>
  <c r="P132"/>
  <c r="N133"/>
  <c r="M83" i="25" l="1"/>
  <c r="I83"/>
  <c r="G83"/>
  <c r="J83"/>
  <c r="H83"/>
  <c r="B84"/>
  <c r="P83"/>
  <c r="N83"/>
  <c r="L83"/>
  <c r="D83"/>
  <c r="K83"/>
  <c r="Q83"/>
  <c r="C83"/>
  <c r="E83"/>
  <c r="O83"/>
  <c r="F83"/>
  <c r="R83"/>
  <c r="O133" i="31"/>
  <c r="M134"/>
  <c r="K135"/>
  <c r="L135" s="1"/>
  <c r="J136"/>
  <c r="P133"/>
  <c r="N134"/>
  <c r="P84" i="25" l="1"/>
  <c r="H84"/>
  <c r="K84"/>
  <c r="F84"/>
  <c r="O84"/>
  <c r="G84"/>
  <c r="N84"/>
  <c r="B85"/>
  <c r="J84"/>
  <c r="Q84"/>
  <c r="M84"/>
  <c r="I84"/>
  <c r="L84"/>
  <c r="D84"/>
  <c r="E84"/>
  <c r="C84"/>
  <c r="R84"/>
  <c r="O134" i="31"/>
  <c r="M135"/>
  <c r="K136"/>
  <c r="L136" s="1"/>
  <c r="J137"/>
  <c r="P134"/>
  <c r="N135"/>
  <c r="K85" i="25" l="1"/>
  <c r="E85"/>
  <c r="L85"/>
  <c r="H85"/>
  <c r="J85"/>
  <c r="Q85"/>
  <c r="I85"/>
  <c r="M85"/>
  <c r="P85"/>
  <c r="F85"/>
  <c r="D85"/>
  <c r="C85"/>
  <c r="B86"/>
  <c r="N85"/>
  <c r="G85"/>
  <c r="O85"/>
  <c r="R85"/>
  <c r="O135" i="31"/>
  <c r="M136"/>
  <c r="K137"/>
  <c r="L137" s="1"/>
  <c r="J138"/>
  <c r="P135"/>
  <c r="N136"/>
  <c r="Q86" i="25" l="1"/>
  <c r="B87"/>
  <c r="O86"/>
  <c r="G86"/>
  <c r="M86"/>
  <c r="I86"/>
  <c r="K86"/>
  <c r="H86"/>
  <c r="D86"/>
  <c r="N86"/>
  <c r="L86"/>
  <c r="F86"/>
  <c r="P86"/>
  <c r="C86"/>
  <c r="J86"/>
  <c r="E86"/>
  <c r="R86"/>
  <c r="O136" i="31"/>
  <c r="M137"/>
  <c r="K138"/>
  <c r="L138" s="1"/>
  <c r="J139"/>
  <c r="P136"/>
  <c r="N137"/>
  <c r="M87" i="25" l="1"/>
  <c r="H87"/>
  <c r="I87"/>
  <c r="N87"/>
  <c r="D87"/>
  <c r="Q87"/>
  <c r="P87"/>
  <c r="B88"/>
  <c r="J87"/>
  <c r="L87"/>
  <c r="F87"/>
  <c r="K87"/>
  <c r="G87"/>
  <c r="C87"/>
  <c r="O87"/>
  <c r="E87"/>
  <c r="R87"/>
  <c r="O137" i="31"/>
  <c r="M138"/>
  <c r="K139"/>
  <c r="L139" s="1"/>
  <c r="J140"/>
  <c r="P137"/>
  <c r="N138"/>
  <c r="N88" i="25" l="1"/>
  <c r="M88"/>
  <c r="B89"/>
  <c r="I88"/>
  <c r="Q88"/>
  <c r="C88"/>
  <c r="L88"/>
  <c r="F88"/>
  <c r="O88"/>
  <c r="K88"/>
  <c r="G88"/>
  <c r="J88"/>
  <c r="D88"/>
  <c r="P88"/>
  <c r="E88"/>
  <c r="H88"/>
  <c r="R88"/>
  <c r="O138" i="31"/>
  <c r="M139"/>
  <c r="K140"/>
  <c r="L140" s="1"/>
  <c r="J141"/>
  <c r="P138"/>
  <c r="N139"/>
  <c r="N89" i="25" l="1"/>
  <c r="E89"/>
  <c r="Q89"/>
  <c r="D89"/>
  <c r="H89"/>
  <c r="M89"/>
  <c r="G89"/>
  <c r="L89"/>
  <c r="C89"/>
  <c r="O89"/>
  <c r="K89"/>
  <c r="F89"/>
  <c r="J89"/>
  <c r="I89"/>
  <c r="P89"/>
  <c r="B90"/>
  <c r="R89"/>
  <c r="O139" i="31"/>
  <c r="M140"/>
  <c r="K141"/>
  <c r="L141" s="1"/>
  <c r="J142"/>
  <c r="P139"/>
  <c r="N140"/>
  <c r="O90" i="25" l="1"/>
  <c r="G90"/>
  <c r="M90"/>
  <c r="E90"/>
  <c r="N90"/>
  <c r="L90"/>
  <c r="H90"/>
  <c r="J90"/>
  <c r="I90"/>
  <c r="K90"/>
  <c r="D90"/>
  <c r="Q90"/>
  <c r="B91"/>
  <c r="F90"/>
  <c r="C90"/>
  <c r="P90"/>
  <c r="R90"/>
  <c r="O140" i="31"/>
  <c r="M141"/>
  <c r="K142"/>
  <c r="L142" s="1"/>
  <c r="J143"/>
  <c r="P140"/>
  <c r="N141"/>
  <c r="N91" i="25" l="1"/>
  <c r="F91"/>
  <c r="I91"/>
  <c r="Q91"/>
  <c r="O91"/>
  <c r="C91"/>
  <c r="E91"/>
  <c r="L91"/>
  <c r="H91"/>
  <c r="M91"/>
  <c r="B92"/>
  <c r="K91"/>
  <c r="G91"/>
  <c r="J91"/>
  <c r="D91"/>
  <c r="P91"/>
  <c r="R91"/>
  <c r="O141" i="31"/>
  <c r="M142"/>
  <c r="K143"/>
  <c r="L143" s="1"/>
  <c r="J144"/>
  <c r="P141"/>
  <c r="N142"/>
  <c r="O92" i="25" l="1"/>
  <c r="F92"/>
  <c r="L92"/>
  <c r="G92"/>
  <c r="E92"/>
  <c r="P92"/>
  <c r="B93"/>
  <c r="N92"/>
  <c r="C92"/>
  <c r="M92"/>
  <c r="I92"/>
  <c r="H92"/>
  <c r="K92"/>
  <c r="Q92"/>
  <c r="J92"/>
  <c r="D92"/>
  <c r="R92"/>
  <c r="O142" i="31"/>
  <c r="M143"/>
  <c r="K144"/>
  <c r="L144" s="1"/>
  <c r="J145"/>
  <c r="P142"/>
  <c r="N143"/>
  <c r="O93" i="25" l="1"/>
  <c r="D93"/>
  <c r="N93"/>
  <c r="M93"/>
  <c r="I93"/>
  <c r="P93"/>
  <c r="E93"/>
  <c r="B94"/>
  <c r="K93"/>
  <c r="C93"/>
  <c r="Q93"/>
  <c r="F93"/>
  <c r="L93"/>
  <c r="H93"/>
  <c r="J93"/>
  <c r="G93"/>
  <c r="R93"/>
  <c r="O143" i="31"/>
  <c r="M144"/>
  <c r="K145"/>
  <c r="L145" s="1"/>
  <c r="J146"/>
  <c r="P143"/>
  <c r="N144"/>
  <c r="K94" i="25" l="1"/>
  <c r="E94"/>
  <c r="J94"/>
  <c r="I94"/>
  <c r="Q94"/>
  <c r="D94"/>
  <c r="N94"/>
  <c r="B95"/>
  <c r="O94"/>
  <c r="F94"/>
  <c r="M94"/>
  <c r="C94"/>
  <c r="P94"/>
  <c r="H94"/>
  <c r="L94"/>
  <c r="G94"/>
  <c r="R94"/>
  <c r="O144" i="31"/>
  <c r="M145"/>
  <c r="K146"/>
  <c r="L146" s="1"/>
  <c r="J147"/>
  <c r="P144"/>
  <c r="N145"/>
  <c r="F95" i="25" l="1"/>
  <c r="Q95"/>
  <c r="I95"/>
  <c r="H95"/>
  <c r="E95"/>
  <c r="C95"/>
  <c r="D95"/>
  <c r="L95"/>
  <c r="B96"/>
  <c r="K95"/>
  <c r="J95"/>
  <c r="N95"/>
  <c r="G95"/>
  <c r="P95"/>
  <c r="O95"/>
  <c r="M95"/>
  <c r="R95"/>
  <c r="O145" i="31"/>
  <c r="M146"/>
  <c r="K147"/>
  <c r="L147" s="1"/>
  <c r="J148"/>
  <c r="P145"/>
  <c r="N146"/>
  <c r="F96" i="25" l="1"/>
  <c r="M96"/>
  <c r="E96"/>
  <c r="C96"/>
  <c r="D96"/>
  <c r="L96"/>
  <c r="B97"/>
  <c r="J96"/>
  <c r="H96"/>
  <c r="O96"/>
  <c r="I96"/>
  <c r="G96"/>
  <c r="N96"/>
  <c r="K96"/>
  <c r="Q96"/>
  <c r="P96"/>
  <c r="R96"/>
  <c r="O146" i="31"/>
  <c r="M147"/>
  <c r="K148"/>
  <c r="L148" s="1"/>
  <c r="J149"/>
  <c r="P146"/>
  <c r="P147"/>
  <c r="E97" i="25" l="1"/>
  <c r="M97"/>
  <c r="D97"/>
  <c r="L97"/>
  <c r="C97"/>
  <c r="K97"/>
  <c r="B98"/>
  <c r="J97"/>
  <c r="G97"/>
  <c r="O97"/>
  <c r="F97"/>
  <c r="N97"/>
  <c r="I97"/>
  <c r="Q97"/>
  <c r="H97"/>
  <c r="P97"/>
  <c r="R97"/>
  <c r="M148" i="31"/>
  <c r="K149"/>
  <c r="L149" s="1"/>
  <c r="J150"/>
  <c r="N147"/>
  <c r="N148"/>
  <c r="G98" i="25" l="1"/>
  <c r="F98"/>
  <c r="L98"/>
  <c r="Q98"/>
  <c r="K98"/>
  <c r="C98"/>
  <c r="P98"/>
  <c r="B99"/>
  <c r="O98"/>
  <c r="N98"/>
  <c r="M98"/>
  <c r="J98"/>
  <c r="I98"/>
  <c r="H98"/>
  <c r="E98"/>
  <c r="D98"/>
  <c r="R98"/>
  <c r="O147" i="31"/>
  <c r="O148"/>
  <c r="M149"/>
  <c r="K150"/>
  <c r="L150" s="1"/>
  <c r="J151"/>
  <c r="P148"/>
  <c r="N149"/>
  <c r="F99" i="25" l="1"/>
  <c r="Q99"/>
  <c r="E99"/>
  <c r="C99"/>
  <c r="D99"/>
  <c r="L99"/>
  <c r="B100"/>
  <c r="J99"/>
  <c r="P99"/>
  <c r="I99"/>
  <c r="H99"/>
  <c r="G99"/>
  <c r="M99"/>
  <c r="K99"/>
  <c r="N99"/>
  <c r="O99"/>
  <c r="R99"/>
  <c r="O149" i="31"/>
  <c r="M150"/>
  <c r="K151"/>
  <c r="L151" s="1"/>
  <c r="J152"/>
  <c r="P149"/>
  <c r="N150"/>
  <c r="G100" i="25" l="1"/>
  <c r="H100"/>
  <c r="O100"/>
  <c r="F100"/>
  <c r="J100"/>
  <c r="K100"/>
  <c r="E100"/>
  <c r="Q100"/>
  <c r="C100"/>
  <c r="P100"/>
  <c r="B101"/>
  <c r="N100"/>
  <c r="M100"/>
  <c r="D100"/>
  <c r="I100"/>
  <c r="L100"/>
  <c r="R100"/>
  <c r="O150" i="31"/>
  <c r="M151"/>
  <c r="K152"/>
  <c r="L152" s="1"/>
  <c r="J153"/>
  <c r="P150"/>
  <c r="N151"/>
  <c r="G101" i="25" l="1"/>
  <c r="O101"/>
  <c r="N101"/>
  <c r="L101"/>
  <c r="F101"/>
  <c r="Q101"/>
  <c r="C101"/>
  <c r="M101"/>
  <c r="E101"/>
  <c r="D101"/>
  <c r="B102"/>
  <c r="P101"/>
  <c r="K101"/>
  <c r="J101"/>
  <c r="H101"/>
  <c r="I101"/>
  <c r="R101"/>
  <c r="O151" i="31"/>
  <c r="M152"/>
  <c r="K153"/>
  <c r="L153" s="1"/>
  <c r="J154"/>
  <c r="P151"/>
  <c r="N152"/>
  <c r="I102" i="25" l="1"/>
  <c r="O102"/>
  <c r="J102"/>
  <c r="H102"/>
  <c r="M102"/>
  <c r="F102"/>
  <c r="D102"/>
  <c r="G102"/>
  <c r="C102"/>
  <c r="E102"/>
  <c r="L102"/>
  <c r="B103"/>
  <c r="P102"/>
  <c r="N102"/>
  <c r="K102"/>
  <c r="Q102"/>
  <c r="R102"/>
  <c r="O152" i="31"/>
  <c r="M153"/>
  <c r="K154"/>
  <c r="L154" s="1"/>
  <c r="J155"/>
  <c r="P152"/>
  <c r="N153"/>
  <c r="F103" i="25" l="1"/>
  <c r="O103"/>
  <c r="J103"/>
  <c r="N103"/>
  <c r="E103"/>
  <c r="C103"/>
  <c r="D103"/>
  <c r="L103"/>
  <c r="B104"/>
  <c r="G103"/>
  <c r="Q103"/>
  <c r="K103"/>
  <c r="P103"/>
  <c r="I103"/>
  <c r="H103"/>
  <c r="M103"/>
  <c r="R103"/>
  <c r="O153" i="31"/>
  <c r="M154"/>
  <c r="K155"/>
  <c r="L155" s="1"/>
  <c r="J156"/>
  <c r="P153"/>
  <c r="N154"/>
  <c r="F104" i="25" l="1"/>
  <c r="M104"/>
  <c r="E104"/>
  <c r="C104"/>
  <c r="D104"/>
  <c r="L104"/>
  <c r="B105"/>
  <c r="K104"/>
  <c r="J104"/>
  <c r="Q104"/>
  <c r="I104"/>
  <c r="P104"/>
  <c r="H104"/>
  <c r="O104"/>
  <c r="G104"/>
  <c r="N104"/>
  <c r="R104"/>
  <c r="O154" i="31"/>
  <c r="M155"/>
  <c r="K156"/>
  <c r="L156" s="1"/>
  <c r="J157"/>
  <c r="P154"/>
  <c r="N155"/>
  <c r="E105" i="25" l="1"/>
  <c r="M105"/>
  <c r="D105"/>
  <c r="L105"/>
  <c r="C105"/>
  <c r="K105"/>
  <c r="B106"/>
  <c r="J105"/>
  <c r="I105"/>
  <c r="Q105"/>
  <c r="H105"/>
  <c r="P105"/>
  <c r="F105"/>
  <c r="N105"/>
  <c r="G105"/>
  <c r="O105"/>
  <c r="R105"/>
  <c r="O155" i="31"/>
  <c r="M156"/>
  <c r="K157"/>
  <c r="L157" s="1"/>
  <c r="J158"/>
  <c r="P155"/>
  <c r="N156"/>
  <c r="F106" i="25" l="1"/>
  <c r="P106"/>
  <c r="D106"/>
  <c r="O106"/>
  <c r="M106"/>
  <c r="Q106"/>
  <c r="K106"/>
  <c r="L106"/>
  <c r="I106"/>
  <c r="C106"/>
  <c r="N106"/>
  <c r="B107"/>
  <c r="J106"/>
  <c r="G106"/>
  <c r="H106"/>
  <c r="E106"/>
  <c r="R106"/>
  <c r="O156" i="31"/>
  <c r="M157"/>
  <c r="K158"/>
  <c r="L158" s="1"/>
  <c r="J159"/>
  <c r="P156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K159"/>
  <c r="L159" s="1"/>
  <c r="J160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K160"/>
  <c r="L160" s="1"/>
  <c r="J16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K161"/>
  <c r="L161" s="1"/>
  <c r="J162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K162"/>
  <c r="L162" s="1"/>
  <c r="J163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K163"/>
  <c r="L163" s="1"/>
  <c r="J164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K164"/>
  <c r="L164" s="1"/>
  <c r="J165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K165"/>
  <c r="L165" s="1"/>
  <c r="J166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K166"/>
  <c r="L166" s="1"/>
  <c r="J167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K167"/>
  <c r="L167" s="1"/>
  <c r="J168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K168"/>
  <c r="L168" s="1"/>
  <c r="J169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K169"/>
  <c r="L169" s="1"/>
  <c r="J170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K170"/>
  <c r="L170" s="1"/>
  <c r="J17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K171"/>
  <c r="L171" s="1"/>
  <c r="J172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K172"/>
  <c r="L172" s="1"/>
  <c r="J173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K173"/>
  <c r="L173" s="1"/>
  <c r="J174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K174"/>
  <c r="L174" s="1"/>
  <c r="J175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K175"/>
  <c r="L175" s="1"/>
  <c r="J176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K176"/>
  <c r="L176" s="1"/>
  <c r="J177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K177"/>
  <c r="L177" s="1"/>
  <c r="J178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K178"/>
  <c r="L178" s="1"/>
  <c r="J179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K179"/>
  <c r="L179" s="1"/>
  <c r="J180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K180"/>
  <c r="L180" s="1"/>
  <c r="J18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K181"/>
  <c r="L181" s="1"/>
  <c r="J182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K182"/>
  <c r="L182" s="1"/>
  <c r="J183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K183"/>
  <c r="L183" s="1"/>
  <c r="J184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K184"/>
  <c r="L184" s="1"/>
  <c r="J185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K185"/>
  <c r="L185" s="1"/>
  <c r="J186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K186"/>
  <c r="L186" s="1"/>
  <c r="J187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K187"/>
  <c r="L187" s="1"/>
  <c r="J188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K188"/>
  <c r="L188" s="1"/>
  <c r="J189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K189"/>
  <c r="L189" s="1"/>
  <c r="J190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K190"/>
  <c r="L190" s="1"/>
  <c r="J19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K191"/>
  <c r="L191" s="1"/>
  <c r="J192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K192"/>
  <c r="L192" s="1"/>
  <c r="J193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K193"/>
  <c r="L193" s="1"/>
  <c r="J194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K194"/>
  <c r="L194" s="1"/>
  <c r="J195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K195"/>
  <c r="L195" s="1"/>
  <c r="J196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K196"/>
  <c r="L196" s="1"/>
  <c r="J197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K197"/>
  <c r="L197" s="1"/>
  <c r="J198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K198"/>
  <c r="L198" s="1"/>
  <c r="J199"/>
  <c r="N197"/>
  <c r="P196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K199"/>
  <c r="L199" s="1"/>
  <c r="J200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K200"/>
  <c r="L200" s="1"/>
  <c r="J20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K201"/>
  <c r="L201" s="1"/>
  <c r="J202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K202"/>
  <c r="L202" s="1"/>
  <c r="J203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K203"/>
  <c r="L203" s="1"/>
  <c r="J204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K204"/>
  <c r="L204" s="1"/>
  <c r="J205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K205"/>
  <c r="L205" s="1"/>
  <c r="J206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K206"/>
  <c r="L206" s="1"/>
  <c r="J207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K207"/>
  <c r="L207" s="1"/>
  <c r="J208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K208"/>
  <c r="L208" s="1"/>
  <c r="J209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K209"/>
  <c r="L209" s="1"/>
  <c r="J210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K210"/>
  <c r="L210" s="1"/>
  <c r="J21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K211"/>
  <c r="L211" s="1"/>
  <c r="J212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K212"/>
  <c r="L212" s="1"/>
  <c r="J213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K213"/>
  <c r="L213" s="1"/>
  <c r="J214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K214"/>
  <c r="L214" s="1"/>
  <c r="J215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K215"/>
  <c r="L215" s="1"/>
  <c r="J216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K216"/>
  <c r="L216" s="1"/>
  <c r="J217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K217"/>
  <c r="L217" s="1"/>
  <c r="J218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K218"/>
  <c r="L218" s="1"/>
  <c r="J219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K219"/>
  <c r="L219" s="1"/>
  <c r="J220"/>
  <c r="P217"/>
  <c r="C9" i="25"/>
  <c r="N218" i="31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K220"/>
  <c r="L220" s="1"/>
  <c r="J22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K221"/>
  <c r="L221" s="1"/>
  <c r="J222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K222"/>
  <c r="L222" s="1"/>
  <c r="J223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K223"/>
  <c r="L223" s="1"/>
  <c r="J224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K224"/>
  <c r="L224" s="1"/>
  <c r="J225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K225"/>
  <c r="L225" s="1"/>
  <c r="J226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K226"/>
  <c r="L226" s="1"/>
  <c r="J227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K227"/>
  <c r="L227" s="1"/>
  <c r="J228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K228"/>
  <c r="L228" s="1"/>
  <c r="J229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K229"/>
  <c r="L229" s="1"/>
  <c r="J230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K230"/>
  <c r="L230" s="1"/>
  <c r="J23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K231"/>
  <c r="L231" s="1"/>
  <c r="J232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K232"/>
  <c r="L232" s="1"/>
  <c r="J233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K233"/>
  <c r="L233" s="1"/>
  <c r="J234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K234"/>
  <c r="L234" s="1"/>
  <c r="J235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K235"/>
  <c r="L235" s="1"/>
  <c r="J236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K236"/>
  <c r="L236" s="1"/>
  <c r="J237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K237"/>
  <c r="L237" s="1"/>
  <c r="J238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K238"/>
  <c r="L238" s="1"/>
  <c r="J239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K239"/>
  <c r="L239" s="1"/>
  <c r="J240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K240"/>
  <c r="L240" s="1"/>
  <c r="J24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K241"/>
  <c r="L241" s="1"/>
  <c r="J242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K242"/>
  <c r="L242" s="1"/>
  <c r="J243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K243"/>
  <c r="L243" s="1"/>
  <c r="J244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K244"/>
  <c r="L244" s="1"/>
  <c r="J245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K245"/>
  <c r="L245" s="1"/>
  <c r="J246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K246"/>
  <c r="L246" s="1"/>
  <c r="J247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K247"/>
  <c r="L247" s="1"/>
  <c r="J248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K248"/>
  <c r="L248" s="1"/>
  <c r="J249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K249"/>
  <c r="L249" s="1"/>
  <c r="J250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K250"/>
  <c r="L250" s="1"/>
  <c r="J25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K251"/>
  <c r="L251" s="1"/>
  <c r="J252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K252"/>
  <c r="L252" s="1"/>
  <c r="J253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K253"/>
  <c r="L253" s="1"/>
  <c r="J254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K254"/>
  <c r="L254" s="1"/>
  <c r="J255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K255"/>
  <c r="L255" s="1"/>
  <c r="J256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K256"/>
  <c r="L256" s="1"/>
  <c r="J257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K257"/>
  <c r="L257" s="1"/>
  <c r="J258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K258"/>
  <c r="L258" s="1"/>
  <c r="J259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K259"/>
  <c r="L259" s="1"/>
  <c r="J260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10" i="27" l="1"/>
  <c r="O20"/>
  <c r="P5"/>
  <c r="P6"/>
  <c r="O4"/>
  <c r="O14"/>
  <c r="O17"/>
  <c r="O500" i="31"/>
  <c r="O501"/>
  <c r="F23" i="25"/>
  <c r="F26"/>
  <c r="G11"/>
  <c r="F10"/>
  <c r="F16"/>
  <c r="G12"/>
  <c r="F18"/>
  <c r="F20"/>
  <c r="P501" i="31"/>
  <c r="P500"/>
  <c r="O44" i="27" l="1"/>
  <c r="P43"/>
  <c r="P42"/>
  <c r="P41"/>
  <c r="P40"/>
  <c r="P39"/>
  <c r="O43"/>
  <c r="O42"/>
  <c r="O41"/>
  <c r="O40"/>
  <c r="O39"/>
  <c r="P38"/>
  <c r="P37"/>
  <c r="O38"/>
  <c r="O37"/>
  <c r="P36"/>
  <c r="O36"/>
  <c r="P35"/>
  <c r="O35"/>
  <c r="P34"/>
  <c r="P33"/>
  <c r="P32"/>
  <c r="O34"/>
  <c r="O33"/>
  <c r="O32"/>
  <c r="P31"/>
  <c r="P30"/>
  <c r="P29"/>
  <c r="P28"/>
  <c r="O30"/>
  <c r="O29"/>
  <c r="O31"/>
  <c r="O28"/>
  <c r="P27"/>
  <c r="O27"/>
  <c r="P26"/>
  <c r="O26"/>
  <c r="P25"/>
  <c r="O25"/>
  <c r="P24"/>
  <c r="P23"/>
  <c r="P22"/>
  <c r="O24"/>
  <c r="O22"/>
  <c r="O23"/>
  <c r="P21"/>
  <c r="O21"/>
  <c r="O19"/>
  <c r="O16"/>
  <c r="O13"/>
  <c r="O11"/>
  <c r="F51" i="25"/>
  <c r="G47"/>
  <c r="G45"/>
  <c r="G42"/>
  <c r="G34"/>
  <c r="G29"/>
  <c r="F30"/>
  <c r="F48"/>
  <c r="F38"/>
  <c r="F32"/>
  <c r="G43"/>
  <c r="F33"/>
  <c r="G32"/>
  <c r="G48"/>
  <c r="F44"/>
  <c r="F42"/>
  <c r="F34"/>
  <c r="G31"/>
  <c r="G27"/>
  <c r="G49"/>
  <c r="F46"/>
  <c r="G41"/>
  <c r="G39"/>
  <c r="G36"/>
  <c r="G33"/>
  <c r="F43"/>
  <c r="G30"/>
  <c r="F35"/>
  <c r="F50"/>
  <c r="G44"/>
  <c r="F39"/>
  <c r="F25"/>
  <c r="F49"/>
  <c r="G40"/>
  <c r="G37"/>
  <c r="F31"/>
  <c r="G50"/>
  <c r="F47"/>
  <c r="F41"/>
  <c r="G38"/>
  <c r="G35"/>
  <c r="F28"/>
  <c r="F27"/>
  <c r="F36"/>
  <c r="F29"/>
  <c r="F37"/>
  <c r="G46"/>
  <c r="F45"/>
  <c r="F40"/>
  <c r="G28"/>
  <c r="F17"/>
  <c r="F19"/>
  <c r="F22"/>
</calcChain>
</file>

<file path=xl/sharedStrings.xml><?xml version="1.0" encoding="utf-8"?>
<sst xmlns="http://schemas.openxmlformats.org/spreadsheetml/2006/main" count="5324" uniqueCount="1406">
  <si>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</si>
  <si>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</si>
  <si>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</si>
  <si>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</si>
  <si>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</si>
  <si>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</si>
  <si>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</si>
  <si>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</si>
  <si>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</si>
  <si>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</si>
  <si>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</si>
  <si>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</si>
  <si>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</si>
  <si>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</si>
  <si>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</si>
  <si>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</si>
  <si>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</si>
  <si>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</si>
  <si>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</si>
  <si>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</si>
  <si>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</si>
  <si>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</si>
  <si>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</si>
  <si>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</si>
  <si>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</si>
  <si>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</si>
  <si>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</si>
  <si>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</si>
  <si>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</si>
  <si>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</si>
  <si>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</si>
  <si>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</si>
  <si>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</si>
  <si>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</si>
  <si>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</si>
  <si>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</si>
  <si>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</si>
  <si>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</si>
  <si>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</si>
  <si>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</si>
  <si>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</si>
  <si>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</si>
  <si>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</si>
  <si>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</si>
  <si>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</si>
  <si>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</si>
  <si>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</si>
  <si>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</si>
  <si>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</si>
  <si>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</si>
  <si>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</si>
  <si>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</si>
  <si>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</si>
  <si>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</si>
  <si>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</si>
  <si>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</si>
  <si>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</si>
  <si>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</si>
  <si>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</si>
  <si>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</si>
  <si>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</si>
  <si>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</si>
  <si>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</si>
  <si>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</si>
  <si>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</si>
  <si>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</si>
  <si>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</si>
  <si>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</si>
  <si>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</si>
  <si>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</si>
  <si>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</si>
  <si>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</si>
  <si>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</si>
  <si>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</si>
  <si>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</si>
  <si>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</si>
  <si>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</si>
  <si>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</si>
  <si>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</si>
  <si>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</si>
  <si>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</si>
  <si>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</si>
  <si>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</si>
  <si>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</si>
  <si>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</si>
  <si>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</si>
  <si>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</si>
  <si>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</si>
  <si>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</si>
  <si>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</si>
  <si>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</si>
  <si>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</si>
  <si>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</si>
  <si>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</si>
  <si>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</si>
  <si>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</si>
  <si>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</si>
  <si>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</si>
  <si>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</si>
  <si>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</si>
  <si>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</si>
  <si>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</si>
  <si>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</si>
  <si>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</si>
  <si>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</si>
  <si>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</si>
  <si>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</si>
  <si>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</si>
  <si>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</si>
  <si>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</si>
  <si>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</si>
  <si>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</si>
  <si>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</si>
  <si>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</si>
  <si>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</si>
  <si>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</si>
  <si>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</si>
  <si>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</si>
  <si>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</si>
  <si>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</si>
  <si>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</si>
  <si>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</si>
  <si>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</si>
  <si>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</si>
  <si>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</si>
  <si>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</si>
  <si>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</si>
  <si>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</si>
  <si>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</si>
  <si>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</si>
  <si>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</si>
  <si>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</si>
  <si>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</si>
  <si>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</si>
  <si>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</si>
  <si>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</si>
  <si>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</si>
  <si>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</si>
  <si>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</si>
  <si>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</si>
  <si>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</si>
  <si>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</si>
  <si>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</si>
  <si>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</si>
  <si>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</si>
  <si>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</si>
  <si>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</si>
  <si>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</si>
  <si>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</si>
  <si>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</si>
  <si>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</si>
  <si>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</si>
  <si>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</si>
  <si>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</si>
  <si>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</si>
  <si>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</si>
  <si>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</si>
  <si>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</si>
  <si>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</si>
  <si>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</si>
  <si>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</si>
  <si>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</si>
  <si>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</si>
  <si>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</si>
  <si>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</si>
  <si>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</si>
  <si>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</si>
  <si>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</si>
  <si>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</si>
  <si>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</si>
  <si>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</si>
  <si>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</si>
  <si>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</si>
  <si>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</si>
  <si>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</si>
  <si>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</si>
  <si>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</si>
  <si>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</si>
  <si>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</si>
  <si>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</si>
  <si>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</si>
  <si>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</si>
  <si>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</si>
  <si>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</si>
  <si>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</si>
  <si>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</si>
  <si>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</si>
  <si>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</si>
  <si>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</si>
  <si>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</si>
  <si>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</si>
  <si>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</si>
  <si>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</si>
  <si>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</si>
  <si>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</si>
  <si>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</si>
  <si>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</si>
  <si>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</si>
  <si>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</si>
  <si>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</si>
  <si>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</si>
  <si>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</si>
  <si>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</si>
  <si>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</si>
  <si>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</si>
  <si>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</si>
  <si>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</si>
  <si>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</si>
  <si>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</si>
  <si>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</si>
  <si>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</si>
  <si>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</si>
  <si>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</si>
  <si>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</si>
  <si>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</si>
  <si>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</si>
  <si>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</si>
  <si>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</si>
  <si>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</si>
  <si>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</si>
  <si>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</si>
  <si>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</si>
  <si>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</si>
  <si>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</si>
  <si>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</si>
  <si>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</si>
  <si>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['number','email','address']</t>
  </si>
  <si>
    <t>resource_action_method_type</t>
  </si>
  <si>
    <t>default('Method')</t>
  </si>
  <si>
    <t>form_field_label</t>
  </si>
  <si>
    <t>label</t>
  </si>
  <si>
    <t>text</t>
  </si>
  <si>
    <t>email</t>
  </si>
  <si>
    <t>Email</t>
  </si>
  <si>
    <t>select</t>
  </si>
  <si>
    <t>Group</t>
  </si>
  <si>
    <t>Title</t>
  </si>
  <si>
    <t>Contacts</t>
  </si>
  <si>
    <t>Detail</t>
  </si>
  <si>
    <t>No</t>
  </si>
  <si>
    <t>Resource Name</t>
  </si>
  <si>
    <t>Form Name</t>
  </si>
  <si>
    <t>Description</t>
  </si>
  <si>
    <t>Action Text</t>
  </si>
  <si>
    <t>Label</t>
  </si>
  <si>
    <t/>
  </si>
  <si>
    <t>Relation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</si>
  <si>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</si>
  <si>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</si>
  <si>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</si>
  <si>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</si>
  <si>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</si>
  <si>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</si>
  <si>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</si>
  <si>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</si>
  <si>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</si>
  <si>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</si>
  <si>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</si>
  <si>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</si>
  <si>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</si>
  <si>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</si>
  <si>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</si>
  <si>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</si>
  <si>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</si>
  <si>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</si>
  <si>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</si>
  <si>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</si>
  <si>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</si>
  <si>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</si>
  <si>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NS</t>
  </si>
  <si>
    <t>Controller</t>
  </si>
  <si>
    <t>Controller NS</t>
  </si>
  <si>
    <t>Actions applicable for the resource</t>
  </si>
  <si>
    <t>New User</t>
  </si>
  <si>
    <t>Resource Id</t>
  </si>
  <si>
    <t>Method</t>
  </si>
  <si>
    <t>Form</t>
  </si>
  <si>
    <t>All Users</t>
  </si>
  <si>
    <t>List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</si>
  <si>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</si>
  <si>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</si>
  <si>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</si>
  <si>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</si>
  <si>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</si>
  <si>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</si>
  <si>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</si>
  <si>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</si>
  <si>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</si>
  <si>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</si>
  <si>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</si>
  <si>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</si>
  <si>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</si>
  <si>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</si>
  <si>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</si>
  <si>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</si>
  <si>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</si>
  <si>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</si>
  <si>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</si>
  <si>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</si>
  <si>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</si>
  <si>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</si>
  <si>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</si>
  <si>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</si>
  <si>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</si>
  <si>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</si>
  <si>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</si>
  <si>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</si>
  <si>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</si>
  <si>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</si>
  <si>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</si>
  <si>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</si>
  <si>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</si>
  <si>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</si>
  <si>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</si>
  <si>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</si>
  <si>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</si>
  <si>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</si>
  <si>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</si>
  <si>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</si>
  <si>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</si>
  <si>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</si>
  <si>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</si>
  <si>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</si>
  <si>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</si>
  <si>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</si>
  <si>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</si>
  <si>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</si>
  <si>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</si>
  <si>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</si>
  <si>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</si>
  <si>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</si>
  <si>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</si>
  <si>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</si>
  <si>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</si>
  <si>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</si>
  <si>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</si>
  <si>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</si>
  <si>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</si>
  <si>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</si>
  <si>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</si>
  <si>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</si>
  <si>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</si>
  <si>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</si>
  <si>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</si>
  <si>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</si>
  <si>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</si>
  <si>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</si>
  <si>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</si>
  <si>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</si>
  <si>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</si>
  <si>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</si>
  <si>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</si>
  <si>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</si>
  <si>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</si>
  <si>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</si>
  <si>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</si>
  <si>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</si>
  <si>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</si>
  <si>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</si>
  <si>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</si>
  <si>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</si>
  <si>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</si>
  <si>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</si>
  <si>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</si>
  <si>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</si>
  <si>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</si>
  <si>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</si>
  <si>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</si>
  <si>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</si>
  <si>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</si>
  <si>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</si>
  <si>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</si>
  <si>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</si>
  <si>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</si>
  <si>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</si>
  <si>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</si>
  <si>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</si>
  <si>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</si>
  <si>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</si>
  <si>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</si>
  <si>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</si>
  <si>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</si>
  <si>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</si>
  <si>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</si>
  <si>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</si>
  <si>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</si>
  <si>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</si>
  <si>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</si>
  <si>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</si>
  <si>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</si>
  <si>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</si>
  <si>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</si>
  <si>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</si>
  <si>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</si>
  <si>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</si>
  <si>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</si>
  <si>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</si>
  <si>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</si>
  <si>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</si>
  <si>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</si>
  <si>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</si>
  <si>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</si>
  <si>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</si>
  <si>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</si>
  <si>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</si>
  <si>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</si>
  <si>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</si>
  <si>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</si>
  <si>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</si>
  <si>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</si>
  <si>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</si>
  <si>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</si>
  <si>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</si>
  <si>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</si>
  <si>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</si>
  <si>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</si>
  <si>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</si>
  <si>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</si>
  <si>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</si>
  <si>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</si>
  <si>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</si>
  <si>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</si>
  <si>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</si>
  <si>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</si>
  <si>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</si>
  <si>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</si>
  <si>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</si>
  <si>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</si>
  <si>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</si>
  <si>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</si>
  <si>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</si>
  <si>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</si>
  <si>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</si>
  <si>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</si>
  <si>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</si>
  <si>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</si>
  <si>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</si>
  <si>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</si>
  <si>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</si>
  <si>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Data</t>
  </si>
  <si>
    <t>Milestone\Appframe\Model</t>
  </si>
  <si>
    <t>resource_list_layout</t>
  </si>
  <si>
    <t>field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</si>
  <si>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</si>
  <si>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</si>
  <si>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</si>
  <si>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</si>
  <si>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</si>
  <si>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</si>
  <si>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</si>
  <si>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</si>
  <si>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</si>
  <si>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</si>
  <si>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</si>
  <si>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</si>
  <si>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</si>
  <si>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</si>
  <si>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</si>
  <si>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</si>
  <si>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</si>
  <si>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</si>
  <si>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</si>
  <si>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</si>
  <si>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</si>
  <si>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</si>
  <si>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</si>
  <si>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</si>
  <si>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</si>
  <si>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</si>
  <si>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</si>
  <si>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</si>
  <si>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</si>
  <si>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</si>
  <si>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</si>
  <si>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</si>
  <si>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</si>
  <si>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</si>
  <si>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</si>
  <si>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</si>
  <si>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</si>
  <si>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</si>
  <si>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</si>
  <si>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</si>
  <si>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</si>
  <si>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</si>
  <si>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</si>
  <si>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</si>
  <si>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</si>
  <si>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</si>
  <si>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</si>
  <si>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</si>
  <si>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</si>
  <si>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</si>
  <si>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</si>
  <si>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</si>
  <si>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</si>
  <si>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</si>
  <si>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</si>
  <si>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</si>
  <si>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</si>
  <si>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FormWithData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</si>
  <si>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</si>
  <si>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</si>
  <si>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</si>
  <si>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</si>
  <si>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</si>
  <si>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</si>
  <si>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</si>
  <si>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</si>
  <si>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</si>
  <si>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</si>
  <si>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</si>
  <si>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</si>
  <si>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</si>
  <si>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</si>
  <si>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</si>
  <si>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</si>
  <si>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</si>
  <si>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</si>
  <si>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</si>
  <si>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</si>
  <si>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</si>
  <si>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</si>
  <si>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</si>
  <si>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</si>
  <si>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</si>
  <si>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</si>
  <si>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</si>
  <si>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</si>
  <si>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</si>
  <si>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</si>
  <si>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</si>
  <si>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</si>
  <si>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</si>
  <si>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</si>
  <si>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</si>
  <si>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</si>
  <si>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</si>
  <si>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</si>
  <si>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</si>
  <si>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</si>
  <si>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</si>
  <si>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</si>
  <si>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</si>
  <si>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</si>
  <si>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</si>
  <si>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</si>
  <si>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</si>
  <si>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</si>
  <si>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</si>
  <si>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</si>
  <si>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</si>
  <si>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</si>
  <si>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</si>
  <si>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</si>
  <si>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</si>
  <si>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</si>
  <si>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</si>
  <si>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</si>
  <si>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</si>
  <si>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</si>
  <si>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</si>
  <si>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</si>
  <si>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</si>
  <si>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</si>
  <si>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</si>
  <si>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</si>
  <si>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</si>
  <si>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</si>
  <si>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</si>
  <si>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</si>
  <si>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</si>
  <si>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</si>
  <si>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</si>
  <si>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</si>
  <si>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</si>
  <si>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</si>
  <si>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</si>
  <si>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</si>
  <si>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</si>
  <si>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</si>
  <si>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</si>
  <si>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</si>
  <si>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</si>
  <si>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</si>
  <si>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</si>
  <si>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</si>
  <si>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</si>
  <si>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</si>
  <si>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</si>
  <si>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</si>
  <si>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</si>
  <si>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</si>
  <si>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</si>
  <si>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</si>
  <si>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</si>
  <si>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</si>
  <si>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</si>
  <si>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</si>
  <si>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</si>
  <si>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</si>
  <si>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</si>
  <si>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</si>
  <si>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</si>
  <si>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</si>
  <si>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</si>
  <si>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</si>
  <si>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</si>
  <si>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</si>
  <si>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</si>
  <si>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</si>
  <si>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</si>
  <si>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</si>
  <si>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</si>
  <si>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</si>
  <si>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</si>
  <si>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</si>
  <si>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</si>
  <si>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</si>
  <si>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</si>
  <si>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</si>
  <si>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</si>
  <si>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</si>
  <si>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</si>
  <si>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</si>
  <si>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</si>
  <si>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</si>
  <si>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</si>
  <si>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</si>
  <si>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</si>
  <si>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</si>
  <si>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</si>
  <si>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</si>
  <si>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</si>
  <si>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</si>
  <si>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</si>
  <si>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</si>
  <si>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</si>
  <si>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</si>
  <si>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</si>
  <si>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</si>
  <si>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</si>
  <si>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</si>
  <si>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</si>
  <si>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</si>
  <si>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</si>
  <si>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</si>
  <si>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</si>
  <si>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</si>
  <si>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</si>
  <si>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</si>
  <si>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</si>
  <si>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</si>
  <si>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</si>
  <si>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</si>
  <si>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</si>
  <si>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</si>
  <si>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</si>
  <si>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</si>
  <si>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</si>
  <si>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</si>
  <si>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</si>
  <si>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</si>
  <si>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</si>
  <si>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</si>
  <si>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</si>
  <si>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</si>
  <si>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</si>
  <si>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</si>
  <si>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</si>
  <si>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</si>
  <si>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</si>
  <si>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</si>
  <si>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Foreign</t>
  </si>
  <si>
    <t>Yes</t>
  </si>
  <si>
    <t>Milestone\Appframe\Controllers</t>
  </si>
  <si>
    <t>Filename</t>
  </si>
  <si>
    <t>Date Part</t>
  </si>
  <si>
    <t>Sequence</t>
  </si>
  <si>
    <t>Name Part</t>
  </si>
  <si>
    <t>2018_10_31_155657_create___groups_table.php</t>
  </si>
  <si>
    <t>2018_10_31_155700_create___group_users_table.php</t>
  </si>
  <si>
    <t>2018_10_31_155703_create___roles_table.php</t>
  </si>
  <si>
    <t>2018_10_31_155707_create___group_roles_table.php</t>
  </si>
  <si>
    <t>2018_10_31_155710_create___resources_table.php</t>
  </si>
  <si>
    <t>2018_10_31_155713_create___resource_scopes_table.php</t>
  </si>
  <si>
    <t>2018_10_31_155716_create___resource_relations_table.php</t>
  </si>
  <si>
    <t>2018_10_31_155720_create___resource_data_table.php</t>
  </si>
  <si>
    <t>2018_10_31_155723_create___resource_data_relations_table.php</t>
  </si>
  <si>
    <t>2018_10_31_155726_create___resource_data_scopes_table.php</t>
  </si>
  <si>
    <t>2018_10_31_155729_create___resource_data_view_sections_table.php</t>
  </si>
  <si>
    <t>2018_10_31_155733_create___resource_data_view_section_items_table.php</t>
  </si>
  <si>
    <t>2018_10_31_155736_create___resource_lists_table.php</t>
  </si>
  <si>
    <t>2018_10_31_155739_create___resource_list_relations_table.php</t>
  </si>
  <si>
    <t>2018_10_31_155742_create___resource_list_scopes_table.php</t>
  </si>
  <si>
    <t>2018_10_31_155746_create___resource_list_layout_table.php</t>
  </si>
  <si>
    <t>2018_10_31_155749_create___resource_list_search_table.php</t>
  </si>
  <si>
    <t>2018_10_31_155752_create___resource_forms_table.php</t>
  </si>
  <si>
    <t>2018_10_31_155756_create___resource_form_defaults_table.php</t>
  </si>
  <si>
    <t>2018_10_31_155759_create___resource_defaults_table.php</t>
  </si>
  <si>
    <t>2018_10_31_155802_create___resource_actions_table.php</t>
  </si>
  <si>
    <t>2018_10_31_155806_create___resource_action_attrs_table.php</t>
  </si>
  <si>
    <t>2018_10_31_155809_create___resource_action_methods_table.php</t>
  </si>
  <si>
    <t>2018_10_31_155812_create___resource_action_lists_table.php</t>
  </si>
  <si>
    <t>2018_10_31_155815_create___resource_action_data_table.php</t>
  </si>
  <si>
    <t>2018_10_31_155818_create___resource_roles_table.php</t>
  </si>
  <si>
    <t>2018_10_31_155822_create___resource_form_fields_table.php</t>
  </si>
  <si>
    <t>2018_10_31_155825_create___resource_form_field_attrs_table.php</t>
  </si>
  <si>
    <t>2018_10_31_155828_create___resource_form_field_data_table.php</t>
  </si>
  <si>
    <t>2018_10_31_155831_create___resource_form_field_validations_table.php</t>
  </si>
  <si>
    <t>2018_10_31_155835_create___resource_form_field_options_table.php</t>
  </si>
  <si>
    <t>2018_10_31_155838_create___resource_form_field_depends_table.php</t>
  </si>
  <si>
    <t>2018_10_31_155841_create___resource_form_field_dynamic_table.php</t>
  </si>
  <si>
    <t>2018_10_31_155844_create___resource_form_layout_table.php</t>
  </si>
  <si>
    <t>2018_10_31_155848_create___resource_form_collection_table.php</t>
  </si>
  <si>
    <t>2018_10_31_155851_create___resource_dashboard_table.php</t>
  </si>
  <si>
    <t>2018_10_31_155854_create___resource_dashboard_sections_table.php</t>
  </si>
  <si>
    <t>2018_10_31_155857_create___resource_dashboard_section_items_table.php</t>
  </si>
  <si>
    <t>2018_10_31_155901_create___resource_metrics_table.php</t>
  </si>
  <si>
    <t>2018_10_31_155904_create___organisation_table.php</t>
  </si>
  <si>
    <t>2018_10_31_155907_create___organisation_contacts_table.php</t>
  </si>
  <si>
    <t>New Name</t>
  </si>
  <si>
    <t>CMD</t>
  </si>
  <si>
    <t>ResourceFormFieldDependController</t>
  </si>
  <si>
    <t>Details of field to which this dependent record belongs to</t>
  </si>
  <si>
    <t>Dependent Field</t>
  </si>
  <si>
    <t>ResourceActionController</t>
  </si>
  <si>
    <t>resource_form_upload</t>
  </si>
  <si>
    <t>code</t>
  </si>
  <si>
    <t>char</t>
  </si>
  <si>
    <t>name_medium</t>
  </si>
  <si>
    <t>upload_name_client</t>
  </si>
  <si>
    <t>name_client</t>
  </si>
  <si>
    <t>mime</t>
  </si>
  <si>
    <t>upload_mime_client</t>
  </si>
  <si>
    <t>mime_client</t>
  </si>
  <si>
    <t>upload_size</t>
  </si>
  <si>
    <t>laravel_disk</t>
  </si>
  <si>
    <t>path</t>
  </si>
  <si>
    <t>file</t>
  </si>
  <si>
    <t>upload_file</t>
  </si>
  <si>
    <t>disk</t>
  </si>
  <si>
    <t>default(1)</t>
  </si>
  <si>
    <t>upload_extension</t>
  </si>
  <si>
    <t>extension</t>
  </si>
  <si>
    <t>Last ID</t>
  </si>
  <si>
    <t>AI Change Query</t>
  </si>
  <si>
    <t>audit</t>
  </si>
  <si>
    <t>development</t>
  </si>
  <si>
    <t>development_resource</t>
  </si>
  <si>
    <t>ResourceDataScope</t>
  </si>
  <si>
    <t>Scope to be applied on a detail</t>
  </si>
  <si>
    <t>Scopes available on a resource</t>
  </si>
  <si>
    <t>ResourceFormUpload</t>
  </si>
  <si>
    <t>Form Upload</t>
  </si>
  <si>
    <t>Upload file details</t>
  </si>
  <si>
    <t>__resource_form_upload</t>
  </si>
  <si>
    <t>ResourceActionAttr</t>
  </si>
  <si>
    <t>__resource_action_attrs</t>
  </si>
  <si>
    <t>Resource action icon attrs</t>
  </si>
  <si>
    <t>Resource Action Attrs</t>
  </si>
  <si>
    <t>ResourceDefault</t>
  </si>
  <si>
    <t>Resources default Form, List and Data</t>
  </si>
  <si>
    <t>Resource Default</t>
  </si>
  <si>
    <t>__resource_defaults</t>
  </si>
  <si>
    <t>Lists available for a Resources</t>
  </si>
  <si>
    <t>Data details avaliable for a Resource</t>
  </si>
  <si>
    <t>Layout details of a form</t>
  </si>
  <si>
    <t>Section Items</t>
  </si>
  <si>
    <t>Items of a data section</t>
  </si>
  <si>
    <t>Development</t>
  </si>
  <si>
    <t>AdministratorsScope</t>
  </si>
  <si>
    <t>DevelopersScope</t>
  </si>
  <si>
    <t>Users where has group Administrator</t>
  </si>
  <si>
    <t>Users where has group Developers</t>
  </si>
  <si>
    <t>RID</t>
  </si>
  <si>
    <t>NewUserForm</t>
  </si>
  <si>
    <t>Form to create a new user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</si>
  <si>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</si>
  <si>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</si>
  <si>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</si>
  <si>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</si>
  <si>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</si>
  <si>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</si>
  <si>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</si>
  <si>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</si>
  <si>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</si>
  <si>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</si>
  <si>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</si>
  <si>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</si>
  <si>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</si>
  <si>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</si>
  <si>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</si>
  <si>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</si>
  <si>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</si>
  <si>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</si>
  <si>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</si>
  <si>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</si>
  <si>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</si>
  <si>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</si>
  <si>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</si>
  <si>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</si>
  <si>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</si>
  <si>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primary</t>
  </si>
  <si>
    <t>Method Action ID</t>
  </si>
  <si>
    <t>IDN 1</t>
  </si>
  <si>
    <t>IDN 2</t>
  </si>
  <si>
    <t>Action</t>
  </si>
  <si>
    <t>NewUserFormAction</t>
  </si>
  <si>
    <t>Action to call a form to create a new user</t>
  </si>
  <si>
    <t>UsersList</t>
  </si>
  <si>
    <t>List all users</t>
  </si>
  <si>
    <t>UsersListAction</t>
  </si>
  <si>
    <t>Action to list all users</t>
  </si>
  <si>
    <t>Field Attrs</t>
  </si>
  <si>
    <t>List Relation</t>
  </si>
  <si>
    <t>Action Method</t>
  </si>
  <si>
    <t>Action Attrs</t>
  </si>
  <si>
    <t>Action List</t>
  </si>
  <si>
    <t>Action Data</t>
  </si>
  <si>
    <t>UpdateUserForm</t>
  </si>
  <si>
    <t>Update User</t>
  </si>
  <si>
    <t>Update</t>
  </si>
  <si>
    <t>UserDetailsData</t>
  </si>
  <si>
    <t>View details of a user</t>
  </si>
  <si>
    <t>EditUserAction</t>
  </si>
  <si>
    <t>Action to update a user</t>
  </si>
  <si>
    <t>Edit User</t>
  </si>
  <si>
    <t>multiselect</t>
  </si>
  <si>
    <t>ChangeUserPassword</t>
  </si>
  <si>
    <t>Form to update a user details</t>
  </si>
  <si>
    <t>Form to change user password</t>
  </si>
  <si>
    <t>Change Password</t>
  </si>
  <si>
    <t>Change</t>
  </si>
  <si>
    <t>Change Password to</t>
  </si>
  <si>
    <t>ATTR Field</t>
  </si>
  <si>
    <t>Display</t>
  </si>
  <si>
    <t>User/ChangeUserPassword/password</t>
  </si>
  <si>
    <t>User/UpdateUserForm/name</t>
  </si>
  <si>
    <t>inline</t>
  </si>
  <si>
    <t>User/UpdateUserForm/email</t>
  </si>
  <si>
    <t>User/UpdateUserForm/group</t>
  </si>
  <si>
    <t>Validation Field</t>
  </si>
  <si>
    <t>ChangeUserPasswordAction</t>
  </si>
  <si>
    <t>Action to call a form to change user password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</si>
  <si>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</si>
  <si>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</si>
  <si>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</si>
  <si>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</si>
  <si>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</si>
  <si>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</si>
  <si>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</si>
  <si>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</si>
  <si>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</si>
  <si>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</si>
  <si>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</si>
  <si>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</si>
  <si>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</si>
  <si>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User/NewUserForm</t>
  </si>
  <si>
    <t>User/UpdateUserForm</t>
  </si>
  <si>
    <t>User/ChangeUserPassword</t>
  </si>
  <si>
    <t>Field Name</t>
  </si>
  <si>
    <t>User/Groups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</si>
  <si>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</si>
  <si>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</si>
  <si>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</si>
  <si>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</si>
  <si>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</si>
  <si>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</si>
  <si>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</si>
  <si>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</si>
  <si>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</si>
  <si>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</si>
  <si>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</si>
  <si>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</si>
  <si>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</si>
  <si>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</si>
  <si>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</si>
  <si>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</si>
  <si>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</si>
  <si>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</si>
  <si>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</si>
  <si>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</si>
  <si>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</si>
  <si>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</si>
  <si>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</si>
  <si>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</si>
  <si>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</si>
  <si>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User/EditUserAction</t>
  </si>
  <si>
    <t>User/ChangeUserPasswordAction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</si>
  <si>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</si>
  <si>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</si>
  <si>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</si>
  <si>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</si>
  <si>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</si>
  <si>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</si>
  <si>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</si>
  <si>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</si>
  <si>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</si>
  <si>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</si>
  <si>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</si>
  <si>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</si>
  <si>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</si>
  <si>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</si>
  <si>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</si>
  <si>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</si>
  <si>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</si>
  <si>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</si>
  <si>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</si>
  <si>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</si>
  <si>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</si>
  <si>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</si>
  <si>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</si>
  <si>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</si>
  <si>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</si>
  <si>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</si>
  <si>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</si>
  <si>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</si>
  <si>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</si>
  <si>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</si>
  <si>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</si>
  <si>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</si>
  <si>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</si>
  <si>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</si>
  <si>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</si>
  <si>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</si>
  <si>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</si>
  <si>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</si>
  <si>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</si>
  <si>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</si>
  <si>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</si>
  <si>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</si>
  <si>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</si>
  <si>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</si>
  <si>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</si>
  <si>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</si>
  <si>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User/UsersList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</si>
  <si>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</si>
  <si>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</si>
  <si>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</si>
  <si>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</si>
  <si>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</si>
  <si>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</si>
  <si>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</si>
  <si>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</si>
  <si>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</si>
  <si>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</si>
  <si>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</si>
  <si>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</si>
  <si>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</si>
  <si>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</si>
  <si>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</si>
  <si>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</si>
  <si>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User/UserDetailsData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</si>
  <si>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</si>
  <si>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</si>
  <si>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</si>
  <si>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</si>
  <si>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</si>
  <si>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</si>
  <si>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</si>
  <si>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</si>
  <si>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</si>
  <si>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[[Primary]:[Relation]]</t>
  </si>
  <si>
    <t>[[Primary]:[REL]]</t>
  </si>
  <si>
    <t>DataViewSection</t>
  </si>
  <si>
    <t>Action Name for Attr</t>
  </si>
  <si>
    <t>ActionAttr</t>
  </si>
  <si>
    <t>NewResourceForm</t>
  </si>
  <si>
    <t>Form to create a new resource</t>
  </si>
  <si>
    <t>New Resource</t>
  </si>
  <si>
    <t>Create Resource</t>
  </si>
  <si>
    <t>Resource/NewResourceForm</t>
  </si>
  <si>
    <t>textarea</t>
  </si>
  <si>
    <t>Namespace</t>
  </si>
  <si>
    <t>Controller Namespace</t>
  </si>
  <si>
    <t>Development Resource</t>
  </si>
  <si>
    <t>NewResourceFormAction</t>
  </si>
  <si>
    <t>Action to call a form to create a new resource</t>
  </si>
  <si>
    <t>Form ID</t>
  </si>
  <si>
    <t>ResourcesList</t>
  </si>
  <si>
    <t>List all resources</t>
  </si>
  <si>
    <t>Resource/ResourcesList</t>
  </si>
  <si>
    <t>ResourcesListAction</t>
  </si>
  <si>
    <t>Action to list all resources</t>
  </si>
  <si>
    <t>Page</t>
  </si>
  <si>
    <t>[[Primary]:[Page]]</t>
  </si>
  <si>
    <t>NewFormForm</t>
  </si>
  <si>
    <t>Form to create a form</t>
  </si>
  <si>
    <t>New Resource Form</t>
  </si>
  <si>
    <t>Create Form</t>
  </si>
  <si>
    <t>ResourceForm/NewFormForm</t>
  </si>
  <si>
    <t>Select Resource</t>
  </si>
  <si>
    <t>Form Title</t>
  </si>
  <si>
    <t>NewFormAction</t>
  </si>
  <si>
    <t>Action to create a new form</t>
  </si>
  <si>
    <t>New Form</t>
  </si>
  <si>
    <t>AddNewFormAction</t>
  </si>
  <si>
    <t>Add a form to a resource</t>
  </si>
  <si>
    <t>Add Form</t>
  </si>
  <si>
    <t>AddRelation</t>
  </si>
  <si>
    <t>AID</t>
  </si>
  <si>
    <t>Resource/AddNewFormAction</t>
  </si>
  <si>
    <t>Resource List</t>
  </si>
  <si>
    <t>AddResourceForm</t>
  </si>
  <si>
    <t>Form to be added from resource</t>
  </si>
  <si>
    <t>ResourceForm/AddResourceForm</t>
  </si>
  <si>
    <t>CreateFormField</t>
  </si>
  <si>
    <t>Create a field for a form</t>
  </si>
  <si>
    <t>Create Field</t>
  </si>
  <si>
    <t>ResourceFormField/CreateFormField</t>
  </si>
  <si>
    <t>Select Form</t>
  </si>
  <si>
    <t>ResourceFormField/Data</t>
  </si>
  <si>
    <t>ResourceForm/Fields</t>
  </si>
  <si>
    <t>ResourceFormField/CreateFormField/resource_form</t>
  </si>
  <si>
    <t>CreateListForm</t>
  </si>
  <si>
    <t>form to create a new resource list</t>
  </si>
  <si>
    <t>New List</t>
  </si>
  <si>
    <t>Create List</t>
  </si>
  <si>
    <t>ResourceList/CreateListForm</t>
  </si>
  <si>
    <t>Items to display per page</t>
  </si>
  <si>
    <t>AddResourceList</t>
  </si>
  <si>
    <t>Add a list to a selected resource</t>
  </si>
  <si>
    <t>Add a list</t>
  </si>
  <si>
    <t>Add List</t>
  </si>
  <si>
    <t>ResourceList/AddResourceList</t>
  </si>
  <si>
    <t>CreateListFormAction</t>
  </si>
  <si>
    <t>Action to call a form to create a list</t>
  </si>
  <si>
    <t>AddListFormAction</t>
  </si>
  <si>
    <t>List action to call a form which adds a new list to the selected resource</t>
  </si>
  <si>
    <t>ResourceList/AddListFormAction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</si>
  <si>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</si>
  <si>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</si>
  <si>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</si>
  <si>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</si>
  <si>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</si>
  <si>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</si>
  <si>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</si>
  <si>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</si>
  <si>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</si>
  <si>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</si>
  <si>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</si>
  <si>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(Lists) UsersList</t>
  </si>
  <si>
    <t>(Forms) User/NewUserForm</t>
  </si>
  <si>
    <t>(Forms) User/UpdateUserForm</t>
  </si>
  <si>
    <t>IDN2</t>
  </si>
  <si>
    <t>(Data) UserDetailsData</t>
  </si>
  <si>
    <t>(Forms) User/ChangeUserPassword</t>
  </si>
  <si>
    <t>(Forms) Resource/NewResourceForm</t>
  </si>
  <si>
    <t>(Lists) ResourcesList</t>
  </si>
  <si>
    <t>(Forms) ResourceForm/NewFormForm</t>
  </si>
  <si>
    <t>(Relation) Resource/Forms</t>
  </si>
  <si>
    <t>(Forms) ResourceList/CreateListForm</t>
  </si>
  <si>
    <t>(Relation) Resource/Lists</t>
  </si>
  <si>
    <t>(Forms) ResourceList/AddResourceList</t>
  </si>
  <si>
    <t>(Forms) ResourceForm/AddResourceForm</t>
  </si>
  <si>
    <t>IDN3</t>
  </si>
  <si>
    <t>IDN4</t>
  </si>
  <si>
    <t>IDN5</t>
  </si>
  <si>
    <t>CreateDataForm</t>
  </si>
  <si>
    <t>Form to create a data</t>
  </si>
  <si>
    <t>Create Data</t>
  </si>
  <si>
    <t>AddDataForm</t>
  </si>
  <si>
    <t>Add a data to a selected resource</t>
  </si>
  <si>
    <t>Add Data</t>
  </si>
  <si>
    <t>ResourceData/CreateDataForm</t>
  </si>
  <si>
    <t>ResourceData/AddDataForm</t>
  </si>
  <si>
    <t>CreateDataFormAction</t>
  </si>
  <si>
    <t>AddDataFormAction</t>
  </si>
  <si>
    <t>Action to call a from to create a data</t>
  </si>
  <si>
    <t>List action to call a form which adds a new data to the selected resource</t>
  </si>
  <si>
    <t>New Data</t>
  </si>
  <si>
    <t>(Forms) ResourceData/CreateDataForm</t>
  </si>
  <si>
    <t>(Relation) Resource/Data</t>
  </si>
  <si>
    <t>(Forms) ResourceData/AddDataForm</t>
  </si>
  <si>
    <t>ResourceData/AddDataFormAction</t>
  </si>
  <si>
    <t>Form to create a new Action</t>
  </si>
  <si>
    <t>New Action</t>
  </si>
  <si>
    <t>Create Action</t>
  </si>
  <si>
    <t>NewActionForm</t>
  </si>
  <si>
    <t>AddActionForm</t>
  </si>
  <si>
    <t>Add a action to the selected resource</t>
  </si>
  <si>
    <t>Add Action</t>
  </si>
  <si>
    <t>ResourceAction/NewActionForm</t>
  </si>
  <si>
    <t>ResourceAction/Method</t>
  </si>
  <si>
    <t>List Menu Caption</t>
  </si>
  <si>
    <t>Main Menu Caption</t>
  </si>
  <si>
    <t>Action Type</t>
  </si>
  <si>
    <t>Type Detail - 1</t>
  </si>
  <si>
    <t>Type Detail - 2</t>
  </si>
  <si>
    <t>ResourceAction/AddActionForm</t>
  </si>
  <si>
    <t>AddActionAction</t>
  </si>
  <si>
    <t>NewActionAction</t>
  </si>
  <si>
    <t>Action to call a for to create new action</t>
  </si>
  <si>
    <t>List action to call a form which adds a new action to a selected resource</t>
  </si>
  <si>
    <t>(Forms) ResourceAction/NewActionForm</t>
  </si>
  <si>
    <t>(Relation) Resource/Actions</t>
  </si>
  <si>
    <t>(Forms) ResourceAction/AddActionForm</t>
  </si>
  <si>
    <t>ResourceAction/AddActionAction</t>
  </si>
  <si>
    <t>FormWithData,AddRelation,ListRelation,ManageRelation</t>
  </si>
  <si>
    <t>In</t>
  </si>
  <si>
    <t>disabled-enabled</t>
  </si>
  <si>
    <t>id1List</t>
  </si>
  <si>
    <t>id2List</t>
  </si>
  <si>
    <t>Field name - depends on</t>
  </si>
  <si>
    <t>Database Field</t>
  </si>
  <si>
    <t>Field ID</t>
  </si>
  <si>
    <t>FieldDepends</t>
  </si>
  <si>
    <t>[[Primary]:[Ignore Null]]</t>
  </si>
  <si>
    <t>ResourceAction/NewActionForm/idn1</t>
  </si>
  <si>
    <t>ResourceAction/NewActionForm/idn2</t>
  </si>
  <si>
    <t>Field for Depend</t>
  </si>
  <si>
    <t>Field for Dynamic</t>
  </si>
  <si>
    <t>FieldDynamic</t>
  </si>
  <si>
    <t>[[Primary]:[Operator]]</t>
  </si>
  <si>
    <t>Enum</t>
  </si>
  <si>
    <t>ResourceAction/AddActionForm/idn1</t>
  </si>
  <si>
    <t>ResourceAction/AddActionForm/idn2</t>
  </si>
  <si>
    <t>ActionsList</t>
  </si>
  <si>
    <t>List all actions</t>
  </si>
  <si>
    <t>FormsList</t>
  </si>
  <si>
    <t>List all forms</t>
  </si>
  <si>
    <t>ListsList</t>
  </si>
  <si>
    <t>List all lists</t>
  </si>
  <si>
    <t>DataList</t>
  </si>
  <si>
    <t>List all data</t>
  </si>
  <si>
    <t>ResourceAction/ActionsList</t>
  </si>
  <si>
    <t>ResourceList/ListsList</t>
  </si>
  <si>
    <t>ResourceForm/FormsList</t>
  </si>
  <si>
    <t>Resource Action Resource</t>
  </si>
  <si>
    <t>Resoure details of a action</t>
  </si>
  <si>
    <t>ResourceAction/Resource</t>
  </si>
  <si>
    <t>ResourceForm/Resource</t>
  </si>
  <si>
    <t>Per Page</t>
  </si>
  <si>
    <t>ResourceList/Resource</t>
  </si>
  <si>
    <t>ResourceData/DataList</t>
  </si>
  <si>
    <t>ResourceData/Resource</t>
  </si>
  <si>
    <t>ActionsListAction</t>
  </si>
  <si>
    <t>Action to list all actions</t>
  </si>
  <si>
    <t>List All</t>
  </si>
  <si>
    <t>(Lists) ActionsList</t>
  </si>
  <si>
    <t>FormsListAction</t>
  </si>
  <si>
    <t>Action to list all forms</t>
  </si>
  <si>
    <t>(Lists) FormsList</t>
  </si>
  <si>
    <t>ListsListAction</t>
  </si>
  <si>
    <t>Action to list all lists</t>
  </si>
  <si>
    <t>(Lists) ListsList</t>
  </si>
  <si>
    <t>DataListAction</t>
  </si>
  <si>
    <t>Action to list all data</t>
  </si>
  <si>
    <t>(Lists) DataList</t>
  </si>
  <si>
    <t>ListResourceFormsAction</t>
  </si>
  <si>
    <t>View Forms</t>
  </si>
  <si>
    <t>ListRelation</t>
  </si>
  <si>
    <t>ListResourceListsAction</t>
  </si>
  <si>
    <t>ListResourceDataAction</t>
  </si>
  <si>
    <t>ListResourceActionsAction</t>
  </si>
  <si>
    <t>List all lists of a selected resource</t>
  </si>
  <si>
    <t>List all forms of a selected resource</t>
  </si>
  <si>
    <t>List all data of a selected resource</t>
  </si>
  <si>
    <t>List all actions of a selected resource</t>
  </si>
  <si>
    <t>View Lists</t>
  </si>
  <si>
    <t>View Data</t>
  </si>
  <si>
    <t>View Actions</t>
  </si>
  <si>
    <t>Resource/ListResourceFormsAction</t>
  </si>
  <si>
    <t>Resource/ListResourceListsAction</t>
  </si>
  <si>
    <t>Resource/ListResourceDataAction</t>
  </si>
  <si>
    <t>Resource/ListResourceActionsAction</t>
  </si>
  <si>
    <t>FieldsList</t>
  </si>
  <si>
    <t>List all fields</t>
  </si>
  <si>
    <t>ResourceFormField/FieldsList</t>
  </si>
  <si>
    <t>ResourceFormField/Form</t>
  </si>
  <si>
    <t>ListFormFieldsAction</t>
  </si>
  <si>
    <t>Action to list all fields of a selected form</t>
  </si>
  <si>
    <t>View Fields</t>
  </si>
  <si>
    <t>(Relation) ResourceForm/Fields</t>
  </si>
  <si>
    <t>(Lists) FieldsList</t>
  </si>
  <si>
    <t>ResourceForm/ListFormFieldsAction</t>
  </si>
  <si>
    <t>FormLayout</t>
  </si>
  <si>
    <t>List all layout details of a form</t>
  </si>
  <si>
    <t>ResourceFormLayout/FormLayout</t>
  </si>
  <si>
    <t>Layout Form</t>
  </si>
  <si>
    <t>Form details of a layout</t>
  </si>
  <si>
    <t>Layout Field</t>
  </si>
  <si>
    <t>Field details of  a layout</t>
  </si>
  <si>
    <t>ResourceFormLayout/Field</t>
  </si>
  <si>
    <t>ListFormLayoutsAction</t>
  </si>
  <si>
    <t>Action to list all layouts of a selected form</t>
  </si>
  <si>
    <t>View Layout</t>
  </si>
  <si>
    <t>(Relation) ResourceForm/Layout</t>
  </si>
  <si>
    <t>(Lists) FormLayout</t>
  </si>
  <si>
    <t>ResourceForm/ListFormLayoutsAction</t>
  </si>
  <si>
    <t>Collection Foreign Field</t>
  </si>
  <si>
    <t>Foreign field details of a from collection</t>
  </si>
  <si>
    <t>FormCollections</t>
  </si>
  <si>
    <t>List all collection forms of a form</t>
  </si>
  <si>
    <t>Form Colletion</t>
  </si>
  <si>
    <t>ResourceFormCollection/FormCollections</t>
  </si>
  <si>
    <t>ResourceFormCollection/Form</t>
  </si>
  <si>
    <t>ResourceFormCollection/Relation</t>
  </si>
  <si>
    <t>ResourceFormCollection/Field</t>
  </si>
  <si>
    <t>Foreign Field Name</t>
  </si>
  <si>
    <t>Foreign Field Type</t>
  </si>
  <si>
    <t>ListFormCollectionsAction</t>
  </si>
  <si>
    <t>Action to list all collections of a selected form</t>
  </si>
  <si>
    <t>View Collections</t>
  </si>
  <si>
    <t>(Relation) ResourceForm/Collections</t>
  </si>
  <si>
    <t>(Lists) FormCollections</t>
  </si>
  <si>
    <t>ResourceForm/ListFormCollectionsAction</t>
  </si>
  <si>
    <t>ListRelations</t>
  </si>
  <si>
    <t>List all relations of a list</t>
  </si>
  <si>
    <t>ListScopes</t>
  </si>
  <si>
    <t>List all scopes of a list</t>
  </si>
  <si>
    <t>List layout details of a list</t>
  </si>
  <si>
    <t>ListSearchFields</t>
  </si>
  <si>
    <t>Searchable fields of a list</t>
  </si>
  <si>
    <t>List Searchable Fields</t>
  </si>
  <si>
    <t>List details of a list relation</t>
  </si>
  <si>
    <t>List Relation to List</t>
  </si>
  <si>
    <t>List Relation to Relation</t>
  </si>
  <si>
    <t>Relation details of a list relation</t>
  </si>
  <si>
    <t>List Relation to Nest Relation</t>
  </si>
  <si>
    <t>Level 1 deep relation of a list relation</t>
  </si>
  <si>
    <t>NRelation</t>
  </si>
  <si>
    <t>ResourceListRelation/ListRelations</t>
  </si>
  <si>
    <t>ResourceListRelation/List</t>
  </si>
  <si>
    <t>ResourceListRelation/Relation</t>
  </si>
  <si>
    <t>ResourceListRelation/NRelation</t>
  </si>
  <si>
    <t>ResourceListScope/ListScopes</t>
  </si>
  <si>
    <t>List Scope to List</t>
  </si>
  <si>
    <t>List details of a list scope</t>
  </si>
  <si>
    <t>List Scope to Scope</t>
  </si>
  <si>
    <t>Scope details of a list scope</t>
  </si>
  <si>
    <t>Scope</t>
  </si>
  <si>
    <t>ResourceListScope/List</t>
  </si>
  <si>
    <t>ResourceListScope/Scope</t>
  </si>
  <si>
    <t>ResourceListLayout/ListLayout</t>
  </si>
  <si>
    <t>List Layout to List</t>
  </si>
  <si>
    <t>List details of a list layout</t>
  </si>
  <si>
    <t>ResourceListLayout/List</t>
  </si>
  <si>
    <t>ResourceListSearch/ListSearchFields</t>
  </si>
  <si>
    <t>List search  to List</t>
  </si>
  <si>
    <t>List details of a list search</t>
  </si>
  <si>
    <t>ResourceListSearch/List</t>
  </si>
  <si>
    <t>Nest Relation</t>
  </si>
  <si>
    <t>List Layout to Relation</t>
  </si>
  <si>
    <t>Relation details of a list layout</t>
  </si>
  <si>
    <t>ResourceListLayout/Relation</t>
  </si>
  <si>
    <t>List search  to Relation</t>
  </si>
  <si>
    <t>Relation details of a list seach</t>
  </si>
  <si>
    <t>ResourceListSearch/Relation</t>
  </si>
  <si>
    <t>Action to list all relations of a selected list</t>
  </si>
  <si>
    <t>Action to list all scopes of a selected list</t>
  </si>
  <si>
    <t>Action to list all search field of a selected list</t>
  </si>
  <si>
    <t>Action to list layout details of a selected list</t>
  </si>
  <si>
    <t>View Relations</t>
  </si>
  <si>
    <t>View Scopes</t>
  </si>
  <si>
    <t>View Search Fields</t>
  </si>
  <si>
    <t>View Layout Fields</t>
  </si>
  <si>
    <t>(Relation) ResourceList/Search</t>
  </si>
  <si>
    <t>(Relation) ResourceList/Layout</t>
  </si>
  <si>
    <t>(Relation) ResourceList/Scopes</t>
  </si>
  <si>
    <t>(Relation) ResourceList/Relations</t>
  </si>
  <si>
    <t>(Lists) ListRelations</t>
  </si>
  <si>
    <t>(Lists) ListScopes</t>
  </si>
  <si>
    <t>(Lists) ListLayout</t>
  </si>
  <si>
    <t>(Lists) ListSearchFields</t>
  </si>
  <si>
    <t>Data relation to Data</t>
  </si>
  <si>
    <t>Data relation to Relation</t>
  </si>
  <si>
    <t>Data relation to Deep Relation</t>
  </si>
  <si>
    <t>Data details of a data relation</t>
  </si>
  <si>
    <t>Relation details of a data relation</t>
  </si>
  <si>
    <t>Level 1 Deep Relation details of a data relation</t>
  </si>
  <si>
    <t>Data scope to Data</t>
  </si>
  <si>
    <t>Data scope to Scope</t>
  </si>
  <si>
    <t>Data details of a data scope</t>
  </si>
  <si>
    <t>Scope details of a data scope</t>
  </si>
  <si>
    <t>Data section to Data</t>
  </si>
  <si>
    <t>Data details of a data view section</t>
  </si>
  <si>
    <t>DataRelations</t>
  </si>
  <si>
    <t>DataSections</t>
  </si>
  <si>
    <t>List all relations of a data</t>
  </si>
  <si>
    <t>List all scopes of a data</t>
  </si>
  <si>
    <t>List all sections of a data</t>
  </si>
  <si>
    <t>Data Sections</t>
  </si>
  <si>
    <t>ResourceDataRelation/DataRelations</t>
  </si>
  <si>
    <t>ResourceDataRelation/Data</t>
  </si>
  <si>
    <t>ResourceDataRelation/Relation</t>
  </si>
  <si>
    <t>ResourceDataRelation/NRelation</t>
  </si>
  <si>
    <t>DataScopes</t>
  </si>
  <si>
    <t>ResourceDataScope/DataScopes</t>
  </si>
  <si>
    <t>ResourceDataScope/Data</t>
  </si>
  <si>
    <t>ResourceDataScope/Scope</t>
  </si>
  <si>
    <t>ResourceDataViewSection/DataSections</t>
  </si>
  <si>
    <t>ResourceDataViewSection/Data</t>
  </si>
  <si>
    <t>Deep Relation</t>
  </si>
  <si>
    <t>ResourceDataViewSection/Relation</t>
  </si>
  <si>
    <t>ListListRelationAction</t>
  </si>
  <si>
    <t>ListListScopesAction</t>
  </si>
  <si>
    <t>ListListLayoutAction</t>
  </si>
  <si>
    <t>ListListSearchAction</t>
  </si>
  <si>
    <t>ListDataScopesAction</t>
  </si>
  <si>
    <t>ListDataSectionsAction</t>
  </si>
  <si>
    <t>ListDataRelationsAction</t>
  </si>
  <si>
    <t>Action to list all relations of a selected data</t>
  </si>
  <si>
    <t>Action to list all scopes of a selected data</t>
  </si>
  <si>
    <t>Action to list all sections of a selected data</t>
  </si>
  <si>
    <t>View Sections</t>
  </si>
  <si>
    <t>(Relation) ResourceData/Relations</t>
  </si>
  <si>
    <t>(Relation) ResourceData/Sections</t>
  </si>
  <si>
    <t>(Relation) ResourceData/Scopes</t>
  </si>
  <si>
    <t>(Lists) DataRelations</t>
  </si>
  <si>
    <t>(Lists) DataScopes</t>
  </si>
  <si>
    <t>(Lists) DataSections</t>
  </si>
  <si>
    <t>ResourceList/ListListScopesAction</t>
  </si>
  <si>
    <t>ResourceList/ListListRelationAction</t>
  </si>
  <si>
    <t>ResourceList/ListListLayoutAction</t>
  </si>
  <si>
    <t>ResourceList/ListListSearchAction</t>
  </si>
  <si>
    <t>ResourceData/ListDataRelationsAction</t>
  </si>
  <si>
    <t>ResourceData/ListDataScopesAction</t>
  </si>
  <si>
    <t>ResourceData/ListDataSectionsAction</t>
  </si>
  <si>
    <t>(Relation) ResourceList/Actions</t>
  </si>
  <si>
    <t>ListDataActionsAction</t>
  </si>
  <si>
    <t>Action to list all actions of a selected data</t>
  </si>
  <si>
    <t>(Relation) ResourceData/Actions</t>
  </si>
  <si>
    <t>ResourceData/ListDataActionsAction</t>
  </si>
  <si>
    <t>ActionAttrs</t>
  </si>
  <si>
    <t>Action Attributes</t>
  </si>
  <si>
    <t>ListActionAttrsAction</t>
  </si>
  <si>
    <t>Action to list all attributes of a selected action</t>
  </si>
  <si>
    <t>View Attributes</t>
  </si>
  <si>
    <t>Attributes of a action</t>
  </si>
  <si>
    <t>Attrs</t>
  </si>
  <si>
    <t>(Relation) ResourceAction/Attrs</t>
  </si>
  <si>
    <t>(Lists) ActionAttrs</t>
  </si>
  <si>
    <t>ResourceAction/ListActionAttrsAction</t>
  </si>
  <si>
    <t>List all action attributes</t>
  </si>
  <si>
    <t>ResourceActionAttr/ActionAttrs</t>
  </si>
  <si>
    <t>ListActionListsAction</t>
  </si>
  <si>
    <t>ListActionDataAction</t>
  </si>
  <si>
    <t>Action to list all list of a selected action</t>
  </si>
  <si>
    <t>Action to list all data of a selected action</t>
  </si>
  <si>
    <t>(Relation) ResourceAction/Lists</t>
  </si>
  <si>
    <t>(Relation) ResourceAction/Data</t>
  </si>
  <si>
    <t>ResourceAction/ListActionListsAction</t>
  </si>
  <si>
    <t>ResourceAction/ListActionDataAction</t>
  </si>
  <si>
    <t>FieldAttrsList</t>
  </si>
  <si>
    <t>FieldOptionsList</t>
  </si>
  <si>
    <t>FieldValidationsList</t>
  </si>
  <si>
    <t>FieldDependsList</t>
  </si>
  <si>
    <t>FieldDynamicsList</t>
  </si>
  <si>
    <t>List all field attributes</t>
  </si>
  <si>
    <t>List all field options</t>
  </si>
  <si>
    <t>List all field validations</t>
  </si>
  <si>
    <t>List all field dependents</t>
  </si>
  <si>
    <t>List all field dynamics</t>
  </si>
  <si>
    <t>ResourceFormFieldAttr/FieldAttrsList</t>
  </si>
  <si>
    <t>ResourceFormFieldOption/FieldOptionsList</t>
  </si>
  <si>
    <t>Method Name</t>
  </si>
  <si>
    <t>Value Attribute</t>
  </si>
  <si>
    <t>Label Attribute</t>
  </si>
  <si>
    <t>ResourceFormFieldValidation/FieldValidationsList</t>
  </si>
  <si>
    <t>Argument 1</t>
  </si>
  <si>
    <t>Argument 3</t>
  </si>
  <si>
    <t>Argument 2</t>
  </si>
  <si>
    <t>ResourceFormFieldDepend/FieldDependsList</t>
  </si>
  <si>
    <t>Depend On Field</t>
  </si>
  <si>
    <t>Compare Operator</t>
  </si>
  <si>
    <t>Ignore on Null</t>
  </si>
  <si>
    <t>ResourceFormFieldDynamic/FieldDynamicsList</t>
  </si>
  <si>
    <t>Dynamic Type</t>
  </si>
  <si>
    <t>ListFieldAttrs</t>
  </si>
  <si>
    <t>ListFieldOptions</t>
  </si>
  <si>
    <t>ListFieldValidations</t>
  </si>
  <si>
    <t>ListFieldDepends</t>
  </si>
  <si>
    <t>ListFieldDynamics</t>
  </si>
  <si>
    <t>Action to list all attrs of a selected field</t>
  </si>
  <si>
    <t>Action to list all options of a selected field</t>
  </si>
  <si>
    <t>Action to list all validations of a selected field</t>
  </si>
  <si>
    <t>Action to list all depends of a selected field</t>
  </si>
  <si>
    <t>Action to list all dynamics of a selected field</t>
  </si>
  <si>
    <t>View Options</t>
  </si>
  <si>
    <t>View Validations</t>
  </si>
  <si>
    <t>View Depends</t>
  </si>
  <si>
    <t>View Dynamics</t>
  </si>
  <si>
    <t>(Relation) ResourceFormField/Attributes</t>
  </si>
  <si>
    <t>(Relation) ResourceFormField/Options</t>
  </si>
  <si>
    <t>(Relation) ResourceFormField/Validations</t>
  </si>
  <si>
    <t>(Relation) ResourceFormField/Depends</t>
  </si>
  <si>
    <t>(Relation) ResourceFormField/Dynamics</t>
  </si>
  <si>
    <t>(Lists) FieldAttrsList</t>
  </si>
  <si>
    <t>(Lists) FieldOptionsList</t>
  </si>
  <si>
    <t>(Lists) FieldValidationsList</t>
  </si>
  <si>
    <t>(Lists) FieldDependsList</t>
  </si>
  <si>
    <t>(Lists) FieldDynamicsList</t>
  </si>
  <si>
    <t>ResourceFormField/ListFieldAttrs</t>
  </si>
  <si>
    <t>ResourceFormField/ListFieldOptions</t>
  </si>
  <si>
    <t>ResourceFormField/ListFieldValidations</t>
  </si>
  <si>
    <t>ResourceFormField/ListFieldDepends</t>
  </si>
  <si>
    <t>ResourceFormField/ListFieldDynamics</t>
  </si>
  <si>
    <t>=</t>
  </si>
  <si>
    <t>ResourceFormField/CreateFormField/relation</t>
  </si>
  <si>
    <t>AddListActionsAction</t>
  </si>
  <si>
    <t>Action to manage Actions assigned to a list</t>
  </si>
  <si>
    <t>Manage Actions</t>
  </si>
  <si>
    <t>ManageRelation</t>
  </si>
  <si>
    <t>ResourceList/AddListActionsAction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</si>
</sst>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0" borderId="0" xfId="0" applyNumberFormat="1" applyFont="1"/>
    <xf numFmtId="0" fontId="5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/>
    <xf numFmtId="0" fontId="11" fillId="0" borderId="0" xfId="0" applyNumberFormat="1" applyFont="1" applyFill="1" applyAlignment="1">
      <alignment horizontal="left"/>
    </xf>
    <xf numFmtId="0" fontId="1" fillId="0" borderId="0" xfId="0" applyFont="1" applyFill="1" applyBorder="1"/>
    <xf numFmtId="0" fontId="1" fillId="3" borderId="0" xfId="0" applyFont="1" applyFill="1"/>
    <xf numFmtId="0" fontId="11" fillId="3" borderId="0" xfId="0" applyFont="1" applyFill="1"/>
    <xf numFmtId="0" fontId="11" fillId="3" borderId="0" xfId="0" applyFont="1" applyFill="1" applyBorder="1"/>
    <xf numFmtId="0" fontId="14" fillId="3" borderId="0" xfId="0" applyFont="1" applyFill="1" applyBorder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0" fontId="0" fillId="0" borderId="0" xfId="0" applyAlignment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4" fillId="0" borderId="0" xfId="0" applyNumberFormat="1" applyFont="1" applyBorder="1"/>
    <xf numFmtId="0" fontId="4" fillId="0" borderId="0" xfId="0" applyNumberFormat="1" applyFont="1" applyBorder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429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44" totalsRowShown="0" dataDxfId="428">
  <autoFilter ref="A1:J44"/>
  <tableColumns count="10">
    <tableColumn id="2" name="Name" dataDxfId="427"/>
    <tableColumn id="10" name="Table" dataDxfId="426">
      <calculatedColumnFormula>"__"&amp;[Name]</calculatedColumnFormula>
    </tableColumn>
    <tableColumn id="5" name="Singular Name" dataDxfId="425">
      <calculatedColumnFormula>IF(RIGHT([Name],3)="ies",MID([Name],1,LEN([Name])-3)&amp;"y",IF(RIGHT([Name],1)="s",MID([Name],1,LEN([Name])-1),[Name]))</calculatedColumnFormula>
    </tableColumn>
    <tableColumn id="8" name="Model NS" dataDxfId="424">
      <calculatedColumnFormula>"Milestone\Appframe\Model"</calculatedColumnFormula>
    </tableColumn>
    <tableColumn id="4" name="Class Name" dataDxfId="423">
      <calculatedColumnFormula>SUBSTITUTE(PROPER([Singular Name]),"_","")</calculatedColumnFormula>
    </tableColumn>
    <tableColumn id="1" name="Migration Artisan" dataDxfId="422">
      <calculatedColumnFormula>"php artisan make:migration create_"&amp;[Table]&amp;"_table --create=__"&amp;[Name]</calculatedColumnFormula>
    </tableColumn>
    <tableColumn id="6" name="Model Artisan" dataDxfId="421">
      <calculatedColumnFormula>"php artisan make:model "&amp;[Class Name]</calculatedColumnFormula>
    </tableColumn>
    <tableColumn id="3" name="Model Statement" dataDxfId="420">
      <calculatedColumnFormula>"protected $table = '"&amp;[Table]&amp;"';"</calculatedColumnFormula>
    </tableColumn>
    <tableColumn id="7" name="Seeder Artisan" dataDxfId="419">
      <calculatedColumnFormula>"php artisan make:seed "&amp;[Class Name]&amp;"TableSeeder"</calculatedColumnFormula>
    </tableColumn>
    <tableColumn id="9" name="Seeder Class" dataDxfId="418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2" name="FormFields" displayName="FormFields" ref="M1:AZ68" headerRowDxfId="320" dataDxfId="319">
  <autoFilter ref="M1:AZ6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318">
      <calculatedColumnFormula>'Table Seed Map'!$A$11&amp;"-"&amp;(COUNTA($Q$1:FormFields[[#This Row],[ID]])-2)</calculatedColumnFormula>
    </tableColumn>
    <tableColumn id="1" name="Form Name" totalsRowLabel="Total" dataDxfId="317"/>
    <tableColumn id="44" name="No" dataDxfId="316">
      <calculatedColumnFormula>IF(FormFields[[#This Row],[Form Name]]="","id",COUNTA($N$3:FormFields[[#This Row],[Form Name]])+IF(VLOOKUP('Table Seed Map'!$A$11,SeedMap[],9,0),VLOOKUP('Table Seed Map'!$A$11,SeedMap[],9,0),0))</calculatedColumnFormula>
    </tableColumn>
    <tableColumn id="24" name="Field Name" dataDxfId="315">
      <calculatedColumnFormula>FormFields[[#This Row],[Form Name]]&amp;"/"&amp;FormFields[[#This Row],[Name]]</calculatedColumnFormula>
    </tableColumn>
    <tableColumn id="11" name="ID" dataDxfId="314">
      <calculatedColumnFormula>FormFields[[#This Row],[No]]</calculatedColumnFormula>
    </tableColumn>
    <tableColumn id="2" name="Form" dataDxfId="313">
      <calculatedColumnFormula>VLOOKUP(FormFields[[#This Row],[Form Name]],ResourceForms[[FormName]:[No]],2,0)</calculatedColumnFormula>
    </tableColumn>
    <tableColumn id="3" name="Name" dataDxfId="312"/>
    <tableColumn id="4" name="Type" dataDxfId="311"/>
    <tableColumn id="5" name="Label" dataDxfId="310"/>
    <tableColumn id="6" name="Rel" dataDxfId="309"/>
    <tableColumn id="7" name="Rel1" dataDxfId="308"/>
    <tableColumn id="8" name="Rel2" dataDxfId="307"/>
    <tableColumn id="9" name="Rel3" dataDxfId="306"/>
    <tableColumn id="45" name="Primary FD" dataDxfId="305">
      <calculatedColumnFormula>'Table Seed Map'!$A$12&amp;"-"&amp;(COUNTIF($AB$2:FormFields[[#This Row],[Exists]],1)-1)</calculatedColumnFormula>
    </tableColumn>
    <tableColumn id="46" name="NO2" dataDxfId="304">
      <calculatedColumnFormula>IF(FormFields[[#This Row],[Exists]]=1,IF(FormFields[[#This Row],[Exists]]="",$AA1,IF($AA1=0,IF(ISNUMBER(VLOOKUP('Table Seed Map'!$A$12,SeedMap[],9,0)),VLOOKUP('Table Seed Map'!$A$12,SeedMap[],9,0)+1,1),IFERROR($AA1+1,0))),$AA1)</calculatedColumnFormula>
    </tableColumn>
    <tableColumn id="49" name="Exists" dataDxfId="303">
      <calculatedColumnFormula>IF(AND(FormFields[[#This Row],[Attribute]]="",FormFields[[#This Row],[Relation]]=""),0,1)</calculatedColumnFormula>
    </tableColumn>
    <tableColumn id="47" name="NO3" dataDxfId="302">
      <calculatedColumnFormula>FormFields[[#This Row],[NO2]]</calculatedColumnFormula>
    </tableColumn>
    <tableColumn id="10" name="Data Field ID" dataDxfId="301">
      <calculatedColumnFormula>[ID]</calculatedColumnFormula>
    </tableColumn>
    <tableColumn id="40" name="Attribute" dataDxfId="300">
      <calculatedColumnFormula>[Name]</calculatedColumnFormula>
    </tableColumn>
    <tableColumn id="12" name="Relation" dataDxfId="299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98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97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96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95">
      <calculatedColumnFormula>IF(OR(FormFields[[#This Row],[Option Type]]="",FormFields[[#This Row],[Option Type]]="type"),0,1)</calculatedColumnFormula>
    </tableColumn>
    <tableColumn id="50" name="Primary FO" dataDxfId="294">
      <calculatedColumnFormula>'Table Seed Map'!$A$13&amp;"-"&amp;COUNTIF($AJ$2:FormFields[[#This Row],[Exists FO]],1)</calculatedColumnFormula>
    </tableColumn>
    <tableColumn id="51" name="NO4" dataDxfId="293">
      <calculatedColumnFormula>IF(FormFields[[#This Row],[Exists FO]]=0,$AL1,IF($AL1=0,IF(ISNUMBER(VLOOKUP('Table Seed Map'!$A$13,SeedMap[],9,0)),VLOOKUP('Table Seed Map'!$A$13,SeedMap[],9,0)+1,1),IFERROR($AL1+1,0)))</calculatedColumnFormula>
    </tableColumn>
    <tableColumn id="53" name="NO5" dataDxfId="292">
      <calculatedColumnFormula>FormFields[[#This Row],[NO4]]</calculatedColumnFormula>
    </tableColumn>
    <tableColumn id="17" name="Option Field ID" dataDxfId="291">
      <calculatedColumnFormula>[ID]</calculatedColumnFormula>
    </tableColumn>
    <tableColumn id="18" name="Option Type" dataDxfId="290"/>
    <tableColumn id="19" name="Detail" dataDxfId="289"/>
    <tableColumn id="20" name="Value Attr" dataDxfId="288"/>
    <tableColumn id="21" name="Label Attr" dataDxfId="287"/>
    <tableColumn id="22" name="Preload" dataDxfId="286"/>
    <tableColumn id="67" name="Exists FL" dataDxfId="285">
      <calculatedColumnFormula>IF(OR(FormFields[[#This Row],[Colspan]]="",FormFields[[#This Row],[Colspan]]="colspan"),0,1)</calculatedColumnFormula>
    </tableColumn>
    <tableColumn id="68" name="Primary FL" dataDxfId="284">
      <calculatedColumnFormula>'Table Seed Map'!$A$18&amp;"-"&amp;SUM($AT$2:FormFields[[#This Row],[Exists FL]])</calculatedColumnFormula>
    </tableColumn>
    <tableColumn id="69" name="NO8" dataDxfId="283">
      <calculatedColumnFormula>IF(FormFields[[#This Row],[Exists FL]]=0,IF(FormFields[[#This Row],[Form Name]]="","id",""),SUM($AT$3:FormFields[[#This Row],[Exists FL]],IF(VLOOKUP('Table Seed Map'!$A$18,SeedMap[],9,0),VLOOKUP('Table Seed Map'!$A$18,SeedMap[],9,0),0)))</calculatedColumnFormula>
    </tableColumn>
    <tableColumn id="70" name="FL ID" dataDxfId="282">
      <calculatedColumnFormula>FormFields[[#This Row],[NO8]]</calculatedColumnFormula>
    </tableColumn>
    <tableColumn id="41" name="Layout Form ID" dataDxfId="281">
      <calculatedColumnFormula>[Form]</calculatedColumnFormula>
    </tableColumn>
    <tableColumn id="42" name="Layout Field ID" dataDxfId="280">
      <calculatedColumnFormula>[ID]</calculatedColumnFormula>
    </tableColumn>
    <tableColumn id="43" name="Colspan" dataDxfId="279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3" name="FieldAttrs" displayName="FieldAttrs" ref="BB1:BG6" totalsRowShown="0" headerRowDxfId="278" dataDxfId="277">
  <autoFilter ref="BB1:BG6">
    <filterColumn colId="1"/>
    <filterColumn colId="2"/>
    <filterColumn colId="3"/>
  </autoFilter>
  <tableColumns count="6">
    <tableColumn id="1" name="ATTR Field" dataDxfId="276"/>
    <tableColumn id="5" name="Primary" dataDxfId="275">
      <calculatedColumnFormula>'Table Seed Map'!$A$14&amp;"-"&amp;(COUNTA($BB$2:FieldAttrs[[#This Row],[ATTR Field]]))</calculatedColumnFormula>
    </tableColumn>
    <tableColumn id="6" name="No" dataDxfId="274">
      <calculatedColumnFormula>IF($BD1="id",IF(ISNUMBER(VLOOKUP('Table Seed Map'!$A$14,SeedMap[],9,0)),VLOOKUP('Table Seed Map'!$A$14,SeedMap[],9,0)+1,1),IFERROR($BD1+1,"id"))</calculatedColumnFormula>
    </tableColumn>
    <tableColumn id="4" name="Field" dataDxfId="273">
      <calculatedColumnFormula>VLOOKUP([ATTR Field],FormFields[[Field Name]:[ID]],2,0)</calculatedColumnFormula>
    </tableColumn>
    <tableColumn id="2" name="Name" dataDxfId="272"/>
    <tableColumn id="3" name="Value" dataDxfId="271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14" name="FieldValidations" displayName="FieldValidations" ref="BI1:BQ2" totalsRowShown="0" headerRowDxfId="270" dataDxfId="269">
  <autoFilter ref="BI1:BQ2">
    <filterColumn colId="1"/>
    <filterColumn colId="2"/>
    <filterColumn colId="3"/>
  </autoFilter>
  <tableColumns count="9">
    <tableColumn id="1" name="Validation Field" dataDxfId="268"/>
    <tableColumn id="8" name="Primary" dataDxfId="267">
      <calculatedColumnFormula>'Table Seed Map'!$A$16&amp;"-"&amp;(COUNTA($BI$2:FieldValidations[[#This Row],[Validation Field]]))</calculatedColumnFormula>
    </tableColumn>
    <tableColumn id="9" name="No" dataDxfId="266">
      <calculatedColumnFormula>IF($BK1="id",IF(ISNUMBER(VLOOKUP('Table Seed Map'!$A$16,SeedMap[],9,0)),VLOOKUP('Table Seed Map'!$A$16,SeedMap[],9,0)+1,1),IFERROR($BK1+1,"id"))</calculatedColumnFormula>
    </tableColumn>
    <tableColumn id="7" name="Field" dataDxfId="265">
      <calculatedColumnFormula>VLOOKUP([Validation Field],FormFields[[Field Name]:[ID]],2,0)</calculatedColumnFormula>
    </tableColumn>
    <tableColumn id="2" name="Rule" dataDxfId="264"/>
    <tableColumn id="3" name="Message" dataDxfId="263"/>
    <tableColumn id="4" name="Arg 1" dataDxfId="262"/>
    <tableColumn id="5" name="Arg 2" dataDxfId="261"/>
    <tableColumn id="6" name="Arg 3" dataDxfId="260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id="7" name="FormDefault" displayName="FormDefault" ref="CE1:CX2" totalsRowShown="0" dataDxfId="259">
  <autoFilter ref="CE1:CX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58">
      <calculatedColumnFormula>'Table Seed Map'!$A$19&amp;"-"&amp;COUNTA($CF$1:FormDefault[[#This Row],[Form for Default]])-1</calculatedColumnFormula>
    </tableColumn>
    <tableColumn id="2" name="Form for Default" dataDxfId="257"/>
    <tableColumn id="3" name="No" dataDxfId="256">
      <calculatedColumnFormula>IF($CG1="id",IF(ISNUMBER(VLOOKUP('Table Seed Map'!$A$19,SeedMap[],9,0)),VLOOKUP('Table Seed Map'!$A$19,SeedMap[],9,0)+1,1),IFERROR($CG1+1,"id"))</calculatedColumnFormula>
    </tableColumn>
    <tableColumn id="12" name="Form" dataDxfId="255">
      <calculatedColumnFormula>IFERROR(VLOOKUP(FormDefault[[#This Row],[Form for Default]],ResourceForms[[FormName]:[ID]],4,0),"resource_form")</calculatedColumnFormula>
    </tableColumn>
    <tableColumn id="4" name="Name" dataDxfId="254"/>
    <tableColumn id="5" name="Value" dataDxfId="253"/>
    <tableColumn id="6" name="Relation" dataDxfId="252">
      <calculatedColumnFormula>IFERROR(VLOOKUP(FormDefault[[#This Row],[R]],RelationTable[[Display]:[RELID]],2,0),"")</calculatedColumnFormula>
    </tableColumn>
    <tableColumn id="7" name="Attribute" dataDxfId="251"/>
    <tableColumn id="20" name="REL1" dataDxfId="250">
      <calculatedColumnFormula>IFERROR(VLOOKUP(FormDefault[[#This Row],[R1]],RelationTable[[Display]:[RELID]],2,0),"")</calculatedColumnFormula>
    </tableColumn>
    <tableColumn id="19" name="REL2" dataDxfId="249">
      <calculatedColumnFormula>IFERROR(VLOOKUP(FormDefault[[#This Row],[R2]],RelationTable[[Display]:[RELID]],2,0),"")</calculatedColumnFormula>
    </tableColumn>
    <tableColumn id="18" name="REL3" dataDxfId="248">
      <calculatedColumnFormula>IFERROR(VLOOKUP(FormDefault[[#This Row],[R3]],RelationTable[[Display]:[RELID]],2,0),"")</calculatedColumnFormula>
    </tableColumn>
    <tableColumn id="13" name="Method" dataDxfId="247"/>
    <tableColumn id="17" name="R" dataDxfId="246"/>
    <tableColumn id="14" name="R1" dataDxfId="245"/>
    <tableColumn id="15" name="R2" dataDxfId="244"/>
    <tableColumn id="16" name="R3" dataDxfId="243"/>
    <tableColumn id="8" name="R12" dataDxfId="242"/>
    <tableColumn id="9" name="R22" dataDxfId="241"/>
    <tableColumn id="10" name="R32" dataDxfId="240"/>
    <tableColumn id="11" name="Method2" dataDxfId="239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7" name="FormCollection" displayName="FormCollection" ref="BS1:CB4" totalsRowShown="0" headerRowDxfId="238" dataDxfId="237">
  <autoFilter ref="BS1:CB4"/>
  <tableColumns count="10">
    <tableColumn id="1" name="Primary" dataDxfId="236">
      <calculatedColumnFormula>'Table Seed Map'!$A$20&amp;"-"&amp;COUNTA($BT$1:FormCollection[[#This Row],[Main Form for Collection]])-1</calculatedColumnFormula>
    </tableColumn>
    <tableColumn id="2" name="Main Form for Collection" dataDxfId="235"/>
    <tableColumn id="3" name="Collection Form" dataDxfId="234"/>
    <tableColumn id="4" name="Relation" dataDxfId="233"/>
    <tableColumn id="5" name="Foreign Field" dataDxfId="232"/>
    <tableColumn id="6" name="No" dataDxfId="231">
      <calculatedColumnFormula>IF($BX1="id",IF(ISNUMBER(VLOOKUP('Table Seed Map'!$A$20,SeedMap[],9,0)),VLOOKUP('Table Seed Map'!$A$20,SeedMap[],9,0)+1,1),IFERROR($BX1+1,"id"))</calculatedColumnFormula>
    </tableColumn>
    <tableColumn id="7" name="Resource Form" dataDxfId="230">
      <calculatedColumnFormula>IFERROR(VLOOKUP([Main Form for Collection],ResourceForms[[FormName]:[ID]],4,0),"resource_form")</calculatedColumnFormula>
    </tableColumn>
    <tableColumn id="8" name="Collection Form2" dataDxfId="229">
      <calculatedColumnFormula>IFERROR(VLOOKUP([Collection Form],ResourceForms[[FormName]:[ID]],4,0),"collection_form")</calculatedColumnFormula>
    </tableColumn>
    <tableColumn id="9" name="Relation3" dataDxfId="228">
      <calculatedColumnFormula>IFERROR(VLOOKUP([Relation],RelationTable[[Display]:[RELID]],2,0),"")</calculatedColumnFormula>
    </tableColumn>
    <tableColumn id="10" name="Foreign" dataDxfId="227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29" name="FieldDepends" displayName="FieldDepends" ref="CZ1:DJ11" totalsRowShown="0" headerRowDxfId="14" dataDxfId="13">
  <autoFilter ref="CZ1:DJ11">
    <filterColumn colId="1"/>
    <filterColumn colId="2"/>
    <filterColumn colId="3"/>
    <filterColumn colId="8"/>
  </autoFilter>
  <tableColumns count="11">
    <tableColumn id="1" name="Field for Depend" dataDxfId="25"/>
    <tableColumn id="9" name="Primary" dataDxfId="24">
      <calculatedColumnFormula>'Table Seed Map'!$A$17&amp;"-"&amp;COUNTA($CZ$2:FieldDepends[[#This Row],[Field for Depend]])</calculatedColumnFormula>
    </tableColumn>
    <tableColumn id="10" name="ID" dataDxfId="23">
      <calculatedColumnFormula>IF(FieldDepends[[#This Row],[Field for Depend]]="","id",COUNTA($CZ$3:FieldDepends[[#This Row],[Field for Depend]])+IF(VLOOKUP('Table Seed Map'!$A$17,SeedMap[],9,0),VLOOKUP('Table Seed Map'!$A$17,SeedMap[],9,0),0))</calculatedColumnFormula>
    </tableColumn>
    <tableColumn id="8" name="Field ID" dataDxfId="22">
      <calculatedColumnFormula>IFERROR(VLOOKUP(FieldDepends[[#This Row],[Field for Depend]],FormFields[[Field Name]:[ID]],2,0),"form_field")</calculatedColumnFormula>
    </tableColumn>
    <tableColumn id="2" name="Field name - depends on" dataDxfId="21"/>
    <tableColumn id="3" name="Database Field" dataDxfId="20"/>
    <tableColumn id="4" name="Operator" dataDxfId="19"/>
    <tableColumn id="5" name="Compare Method" dataDxfId="18"/>
    <tableColumn id="11" name="Method" dataDxfId="17"/>
    <tableColumn id="6" name="Value DB Field" dataDxfId="16"/>
    <tableColumn id="7" name="Ignore Null" dataDxfId="15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id="30" name="FieldDynamic" displayName="FieldDynamic" ref="DL1:DU3" totalsRowShown="0" headerRowDxfId="226" dataDxfId="225">
  <autoFilter ref="DL1:DU3"/>
  <tableColumns count="10">
    <tableColumn id="1" name="Field for Dynamic" dataDxfId="224"/>
    <tableColumn id="9" name="Primary" dataDxfId="223">
      <calculatedColumnFormula>'Table Seed Map'!$A$15&amp;"-"&amp;COUNTA($DL$2:FieldDynamic[[#This Row],[Field for Dynamic]])</calculatedColumnFormula>
    </tableColumn>
    <tableColumn id="10" name="ID" dataDxfId="222">
      <calculatedColumnFormula>IF(FieldDynamic[[#This Row],[Field for Dynamic]]="","id",COUNTA($DL$3:FieldDynamic[[#This Row],[Field for Dynamic]])+IF(VLOOKUP('Table Seed Map'!$A$15,SeedMap[],9,0),VLOOKUP('Table Seed Map'!$A$15,SeedMap[],9,0),0))</calculatedColumnFormula>
    </tableColumn>
    <tableColumn id="8" name="Field ID" dataDxfId="221">
      <calculatedColumnFormula>IFERROR(VLOOKUP(FieldDynamic[[#This Row],[Field for Dynamic]],FormFields[[Field Name]:[ID]],2,0),"form_field")</calculatedColumnFormula>
    </tableColumn>
    <tableColumn id="2" name="Type" dataDxfId="220"/>
    <tableColumn id="3" name="Depend Field" dataDxfId="219"/>
    <tableColumn id="4" name="Alter On" dataDxfId="218"/>
    <tableColumn id="5" name="Value" dataDxfId="217"/>
    <tableColumn id="11" name="Values" dataDxfId="216"/>
    <tableColumn id="6" name="Operator" dataDxfId="215"/>
  </tableColumns>
  <tableStyleInfo name="TableStyleLight6" showFirstColumn="0" showLastColumn="0" showRowStripes="1" showColumnStripes="0"/>
</table>
</file>

<file path=xl/tables/table17.xml><?xml version="1.0" encoding="utf-8"?>
<table xmlns="http://schemas.openxmlformats.org/spreadsheetml/2006/main" id="4" name="MigrationRenamer" displayName="MigrationRenamer" ref="A1:G42" totalsRowShown="0" dataDxfId="214">
  <autoFilter ref="A1:G42"/>
  <tableColumns count="7">
    <tableColumn id="1" name="No" dataDxfId="213">
      <calculatedColumnFormula>IFERROR($A1+1,1)</calculatedColumnFormula>
    </tableColumn>
    <tableColumn id="2" name="Filename" dataDxfId="212"/>
    <tableColumn id="3" name="Date Part" dataDxfId="211">
      <calculatedColumnFormula>LEFT([Filename],11)</calculatedColumnFormula>
    </tableColumn>
    <tableColumn id="4" name="Sequence" dataDxfId="210">
      <calculatedColumnFormula>TEXT([No],"000000")</calculatedColumnFormula>
    </tableColumn>
    <tableColumn id="5" name="Name Part" dataDxfId="209">
      <calculatedColumnFormula>RIGHT([Filename],LEN([Filename])-LEN([Date Part])-LEN([Sequence]))</calculatedColumnFormula>
    </tableColumn>
    <tableColumn id="6" name="New Name" dataDxfId="208">
      <calculatedColumnFormula>[Date Part]&amp;[Sequence]&amp;[Name Part]</calculatedColumnFormula>
    </tableColumn>
    <tableColumn id="7" name="CMD" dataDxfId="207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18.xml><?xml version="1.0" encoding="utf-8"?>
<table xmlns="http://schemas.openxmlformats.org/spreadsheetml/2006/main" id="15" name="ResourceAction" displayName="ResourceAction" ref="A1:Y44" totalsRowShown="0" headerRowDxfId="206" dataDxfId="205">
  <autoFilter ref="A1:Y44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204">
      <calculatedColumnFormula>'Table Seed Map'!$A$32&amp;"-"&amp;(COUNTA($E$1:ResourceAction[[#This Row],[Resource]])-2)</calculatedColumnFormula>
    </tableColumn>
    <tableColumn id="13" name="Display" dataDxfId="203">
      <calculatedColumnFormula>ResourceAction[[#This Row],[Resource Name]]&amp;"/"&amp;ResourceAction[[#This Row],[Name]]</calculatedColumnFormula>
    </tableColumn>
    <tableColumn id="2" name="Resource Name" dataDxfId="202"/>
    <tableColumn id="11" name="No" dataDxfId="201">
      <calculatedColumnFormula>IF(ResourceAction[[#This Row],[Resource Name]]="","id",COUNTA($C$3:ResourceAction[[#This Row],[Resource Name]])+IF(VLOOKUP('Table Seed Map'!$A$32,SeedMap[],9,0),VLOOKUP('Table Seed Map'!$A$10,SeedMap[],32,0),0))</calculatedColumnFormula>
    </tableColumn>
    <tableColumn id="3" name="Resource" dataDxfId="200">
      <calculatedColumnFormula>VLOOKUP(ResourceAction[[#This Row],[Resource Name]],ResourceTable[[RName]:[RID]],2,0)</calculatedColumnFormula>
    </tableColumn>
    <tableColumn id="4" name="Name" dataDxfId="199"/>
    <tableColumn id="6" name="Description" dataDxfId="198"/>
    <tableColumn id="7" name="Title" dataDxfId="197"/>
    <tableColumn id="8" name="Type" dataDxfId="196"/>
    <tableColumn id="9" name="Menu" dataDxfId="195"/>
    <tableColumn id="20" name="Primary Method" dataDxfId="194">
      <calculatedColumnFormula>'Table Seed Map'!$A$33&amp;"-"&amp;(COUNTA($E$1:ResourceAction[[#This Row],[Resource]])-2)</calculatedColumnFormula>
    </tableColumn>
    <tableColumn id="12" name="Method ID" dataDxfId="193">
      <calculatedColumnFormula>IF(ResourceAction[[#This Row],[Resource Name]]="","id",COUNTA($C$3:ResourceAction[[#This Row],[Resource Name]])+IF(VLOOKUP('Table Seed Map'!$A$33,SeedMap[],9,0),VLOOKUP('Table Seed Map'!$A$33,SeedMap[],9,0),0))</calculatedColumnFormula>
    </tableColumn>
    <tableColumn id="14" name="Method Action ID" dataDxfId="192">
      <calculatedColumnFormula>[No]</calculatedColumnFormula>
    </tableColumn>
    <tableColumn id="15" name="Method Type" dataDxfId="191"/>
    <tableColumn id="16" name="IDN 1" dataDxfId="190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189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188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187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186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185"/>
    <tableColumn id="22" name="IDN2" dataDxfId="184"/>
    <tableColumn id="24" name="IDN3" dataDxfId="183"/>
    <tableColumn id="25" name="IDN4" dataDxfId="182"/>
    <tableColumn id="23" name="IDN5" dataDxfId="181"/>
    <tableColumn id="1" name="AID" dataDxfId="180">
      <calculatedColumnFormula>[No]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16" name="ActionListNData" displayName="ActionListNData" ref="AA1:AL32" totalsRowShown="0" headerRowDxfId="179" dataDxfId="178">
  <autoFilter ref="AA1:AL32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177"/>
    <tableColumn id="3" name="Action" dataDxfId="176">
      <calculatedColumnFormula>VLOOKUP(ActionListNData[[#This Row],[Action Name]],ResourceAction[[Display]:[No]],3,0)</calculatedColumnFormula>
    </tableColumn>
    <tableColumn id="5" name="Resource List" dataDxfId="175"/>
    <tableColumn id="6" name="Resource Data" dataDxfId="174"/>
    <tableColumn id="9" name="Primary List" dataDxfId="173">
      <calculatedColumnFormula>'Table Seed Map'!$A$35&amp;"-"&amp;COUNT($AH$2:ActionListNData[[#This Row],[List]])</calculatedColumnFormula>
    </tableColumn>
    <tableColumn id="10" name="List ID" dataDxfId="172">
      <calculatedColumnFormula>IF(ActionListNData[[#This Row],[Action Name]]="","id",COUNTA($AC$3:ActionListNData[[#This Row],[Resource List]])+IF(VLOOKUP('Table Seed Map'!$A$35,SeedMap[],9,0),VLOOKUP('Table Seed Map'!$A$10,SeedMap[],35,0),0))</calculatedColumnFormula>
    </tableColumn>
    <tableColumn id="11" name="Action 1" dataDxfId="171">
      <calculatedColumnFormula>ActionListNData[[#This Row],[Action]]</calculatedColumnFormula>
    </tableColumn>
    <tableColumn id="4" name="List" dataDxfId="170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169">
      <calculatedColumnFormula>'Table Seed Map'!$A$36&amp;"-"&amp;COUNT($AL$2:ActionListNData[[#This Row],[Data]])</calculatedColumnFormula>
    </tableColumn>
    <tableColumn id="12" name="Data ID" dataDxfId="168">
      <calculatedColumnFormula>IF(ActionListNData[[#This Row],[Action Name]]="","id",COUNTA($AD$3:ActionListNData[[#This Row],[Resource Data]])+IF(VLOOKUP('Table Seed Map'!$A$36,SeedMap[],9,0),VLOOKUP('Table Seed Map'!$A$10,SeedMap[],36,0),0))</calculatedColumnFormula>
    </tableColumn>
    <tableColumn id="7" name="Action 2" dataDxfId="167">
      <calculatedColumnFormula>ActionListNData[[#This Row],[Action]]</calculatedColumnFormula>
    </tableColumn>
    <tableColumn id="2" name="Data" dataDxfId="166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76" totalsRowShown="0" dataDxfId="410">
  <autoFilter ref="A1:I176"/>
  <tableColumns count="9">
    <tableColumn id="1" name="Column" dataDxfId="409"/>
    <tableColumn id="2" name="Type" dataDxfId="408"/>
    <tableColumn id="3" name="Name" dataDxfId="407"/>
    <tableColumn id="4" name="Length/Enum" dataDxfId="406"/>
    <tableColumn id="5" name="Method1" dataDxfId="405"/>
    <tableColumn id="6" name="Method2" dataDxfId="404"/>
    <tableColumn id="7" name="Method3" dataDxfId="403"/>
    <tableColumn id="8" name="Method4" dataDxfId="402"/>
    <tableColumn id="9" name="Method5" dataDxfId="401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6" name="ActionAttr" displayName="ActionAttr" ref="AN1:AS2" totalsRowShown="0" headerRowDxfId="165" dataDxfId="164">
  <autoFilter ref="AN1:AS2"/>
  <tableColumns count="6">
    <tableColumn id="1" name="Action Name for Attr" dataDxfId="163"/>
    <tableColumn id="5" name="Primary" dataDxfId="162">
      <calculatedColumnFormula>'Table Seed Map'!$A$34&amp;"-"&amp;(COUNTA($AN$2:ActionAttr[[#This Row],[Action Name for Attr]]))</calculatedColumnFormula>
    </tableColumn>
    <tableColumn id="6" name="No" dataDxfId="161">
      <calculatedColumnFormula>IF(ActionAttr[[#This Row],[Action Name for Attr]]="","id",IFERROR($AP1+1,IF(ISNUMBER(VLOOKUP('Table Seed Map'!$A$34,SeedMap[],9,0)),VLOOKUP('Table Seed Map'!$A$34,SeedMap[],9,0)+1,1)))</calculatedColumnFormula>
    </tableColumn>
    <tableColumn id="4" name="Action" dataDxfId="160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159"/>
    <tableColumn id="3" name="Value" dataDxfId="158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id="18" name="ResourceList" displayName="ResourceList" ref="A1:J24" totalsRowShown="0" dataDxfId="157">
  <autoFilter ref="A1:J24">
    <filterColumn colId="2"/>
    <filterColumn colId="4"/>
    <filterColumn colId="8"/>
    <filterColumn colId="9"/>
  </autoFilter>
  <tableColumns count="10">
    <tableColumn id="1" name="Primary" dataDxfId="156">
      <calculatedColumnFormula>'Table Seed Map'!$A$22&amp;"-"&amp;COUNTA($B$1:ResourceList[[#This Row],[Resource Name]])-1</calculatedColumnFormula>
    </tableColumn>
    <tableColumn id="2" name="Resource Name" dataDxfId="155"/>
    <tableColumn id="8" name="ListDisplayName" dataDxfId="154">
      <calculatedColumnFormula>ResourceList[[#This Row],[Resource Name]]&amp;"/"&amp;ResourceList[[#This Row],[Name]]</calculatedColumnFormula>
    </tableColumn>
    <tableColumn id="3" name="No" dataDxfId="153">
      <calculatedColumnFormula>IF(ResourceList[[#This Row],[Resource Name]]="","id",COUNTA($B$2:ResourceList[[#This Row],[Resource Name]])+IF(ISNUMBER(VLOOKUP('Table Seed Map'!$A$22,SeedMap[],9,0)),VLOOKUP('Table Seed Map'!$A$22,SeedMap[],9,0),0))</calculatedColumnFormula>
    </tableColumn>
    <tableColumn id="7" name="Resource" dataDxfId="152">
      <calculatedColumnFormula>IFERROR(VLOOKUP(ResourceList[[#This Row],[Resource Name]],ResourceTable[[RName]:[RID]],2,0),"resource")</calculatedColumnFormula>
    </tableColumn>
    <tableColumn id="4" name="Name" dataDxfId="151"/>
    <tableColumn id="5" name="Description" dataDxfId="150"/>
    <tableColumn id="6" name="Title" dataDxfId="149"/>
    <tableColumn id="10" name="Page" dataDxfId="148"/>
    <tableColumn id="9" name="ID" dataDxfId="147">
      <calculatedColumnFormula>[No]</calculatedColumnFormula>
    </tableColumn>
  </tableColumns>
  <tableStyleInfo name="TableStyleLight12" showFirstColumn="0" showLastColumn="0" showRowStripes="1" showColumnStripes="0"/>
</table>
</file>

<file path=xl/tables/table22.xml><?xml version="1.0" encoding="utf-8"?>
<table xmlns="http://schemas.openxmlformats.org/spreadsheetml/2006/main" id="19" name="ListExtras" displayName="ListExtras" ref="L1:AC28" totalsRowShown="0" headerRowDxfId="146" dataDxfId="145">
  <autoFilter ref="L1:AC28"/>
  <tableColumns count="18">
    <tableColumn id="1" name="List Name" dataDxfId="144"/>
    <tableColumn id="2" name="LID" dataDxfId="143">
      <calculatedColumnFormula>VLOOKUP(ListExtras[[#This Row],[List Name]],ResourceList[[ListDisplayName]:[No]],2,0)</calculatedColumnFormula>
    </tableColumn>
    <tableColumn id="3" name="Scope Name" dataDxfId="142"/>
    <tableColumn id="4" name="Relation Name" dataDxfId="141"/>
    <tableColumn id="5" name="R1 Name" dataDxfId="140"/>
    <tableColumn id="6" name="R2 Name" dataDxfId="139"/>
    <tableColumn id="7" name="R3 Name" dataDxfId="138"/>
    <tableColumn id="8" name="Scope Primary" dataDxfId="137">
      <calculatedColumnFormula>'Table Seed Map'!$A$23&amp;"-"&amp;COUNT($V$1:ListExtras[[#This Row],[Scope ID]])</calculatedColumnFormula>
    </tableColumn>
    <tableColumn id="9" name="Scope Table ID" dataDxfId="136">
      <calculatedColumnFormula>IF(ListExtras[[#This Row],[LID]]=0,"id",IF(ListExtras[[#This Row],[Scope ID]]="","",COUNT($V$2:ListExtras[[#This Row],[Scope ID]])+IF(ISNUMBER(VLOOKUP('Table Seed Map'!$A$23,SeedMap[],9,0)),VLOOKUP('Table Seed Map'!$A$23,SeedMap[],9,0),0)))</calculatedColumnFormula>
    </tableColumn>
    <tableColumn id="10" name="Scope - Resource List" dataDxfId="135">
      <calculatedColumnFormula>IF(ListExtras[[#This Row],[LID]]=0,"resource_list",ListExtras[[#This Row],[LID]])</calculatedColumnFormula>
    </tableColumn>
    <tableColumn id="11" name="Scope ID" dataDxfId="134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33">
      <calculatedColumnFormula>'Table Seed Map'!$A$24&amp;"-"&amp;COUNT($Z$1:ListExtras[[#This Row],[Relation]])</calculatedColumnFormula>
    </tableColumn>
    <tableColumn id="13" name="Relation Table ID" dataDxfId="132">
      <calculatedColumnFormula>IF(ListExtras[[#This Row],[LID]]=0,"id",IF(ListExtras[[#This Row],[Relation]]="","",COUNT($Z$2:ListExtras[[#This Row],[Relation]])+IF(ISNUMBER(VLOOKUP('Table Seed Map'!$A$24,SeedMap[],9,0)),VLOOKUP('Table Seed Map'!$A$24,SeedMap[],9,0),0)))</calculatedColumnFormula>
    </tableColumn>
    <tableColumn id="14" name="Relation - Resource List" dataDxfId="131">
      <calculatedColumnFormula>IF(ListExtras[[#This Row],[LID]]=0,"resource_list",ListExtras[[#This Row],[LID]])</calculatedColumnFormula>
    </tableColumn>
    <tableColumn id="15" name="Relation" dataDxfId="130">
      <calculatedColumnFormula>IFERROR(VLOOKUP(ListExtras[[#This Row],[Relation Name]],RelationTable[[Display]:[RELID]],2,0),IF(ListExtras[[#This Row],[LID]]=0,"relation",""))</calculatedColumnFormula>
    </tableColumn>
    <tableColumn id="16" name="R1" dataDxfId="129">
      <calculatedColumnFormula>IFERROR(VLOOKUP(ListExtras[[#This Row],[R1 Name]],RelationTable[[Display]:[RELID]],2,0),IF(ListExtras[[#This Row],[LID]]=0,"nest_relation1",""))</calculatedColumnFormula>
    </tableColumn>
    <tableColumn id="17" name="R2" dataDxfId="128">
      <calculatedColumnFormula>IFERROR(VLOOKUP(ListExtras[[#This Row],[R2 Name]],RelationTable[[Display]:[RELID]],2,0),IF(ListExtras[[#This Row],[LID]]=0,"nest_relation2",""))</calculatedColumnFormula>
    </tableColumn>
    <tableColumn id="18" name="R3" dataDxfId="127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id="20" name="ListSearch" displayName="ListSearch" ref="AE1:AQ2" totalsRowShown="0" headerRowDxfId="126" dataDxfId="125">
  <autoFilter ref="AE1:AQ2">
    <filterColumn colId="0"/>
  </autoFilter>
  <tableColumns count="13">
    <tableColumn id="13" name="Primary" dataDxfId="124">
      <calculatedColumnFormula>'Table Seed Map'!$A$26&amp;"-"&amp;COUNTA($AG$1:ListSearch[[#This Row],[No]])-2</calculatedColumnFormula>
    </tableColumn>
    <tableColumn id="1" name="List Name for Search" dataDxfId="123"/>
    <tableColumn id="2" name="No" dataDxfId="122">
      <calculatedColumnFormula>IF(ListSearch[[#This Row],[List Name for Search]]="","id",IFERROR($AG1+1,IF(ISNUMBER(VLOOKUP('Table Seed Map'!$A$26,SeedMap[],9,0)),VLOOKUP('Table Seed Map'!$A$26,SeedMap[],9,0)+1,1)))</calculatedColumnFormula>
    </tableColumn>
    <tableColumn id="3" name="List ID" dataDxfId="121">
      <calculatedColumnFormula>IFERROR(VLOOKUP(ListSearch[[#This Row],[List Name for Search]],ResourceList[[ListDisplayName]:[No]],2,0),"resource_list")</calculatedColumnFormula>
    </tableColumn>
    <tableColumn id="4" name="Field" dataDxfId="120"/>
    <tableColumn id="5" name="REL" dataDxfId="119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18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17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16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15"/>
    <tableColumn id="10" name="Relation 1" dataDxfId="114"/>
    <tableColumn id="11" name="Relation 2" dataDxfId="113"/>
    <tableColumn id="12" name="Relation 3" dataDxfId="112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21" name="ListLayout" displayName="ListLayout" ref="AS1:BD88" totalsRowShown="0" headerRowDxfId="111" dataDxfId="110">
  <autoFilter ref="AS1:BD88">
    <filterColumn colId="4"/>
  </autoFilter>
  <tableColumns count="12">
    <tableColumn id="13" name="Primary" dataDxfId="109">
      <calculatedColumnFormula>'Table Seed Map'!$A$25&amp;"-"&amp;COUNTA($AU$1:ListLayout[[#This Row],[No]])-2</calculatedColumnFormula>
    </tableColumn>
    <tableColumn id="1" name="List Name for Layout" dataDxfId="108"/>
    <tableColumn id="2" name="No" dataDxfId="107">
      <calculatedColumnFormula>IF(ListLayout[[#This Row],[List Name for Layout]]="","id",COUNTA($AT$2:ListLayout[[#This Row],[List Name for Layout]])+IF(ISNUMBER(VLOOKUP('Table Seed Map'!$A$25,SeedMap[],9,0)),VLOOKUP('Table Seed Map'!$A$25,SeedMap[],9,0),0))</calculatedColumnFormula>
    </tableColumn>
    <tableColumn id="3" name="List ID" dataDxfId="106">
      <calculatedColumnFormula>IFERROR(VLOOKUP(ListLayout[[#This Row],[List Name for Layout]],ResourceList[[ListDisplayName]:[No]],2,0),"resource_list")</calculatedColumnFormula>
    </tableColumn>
    <tableColumn id="14" name="Label" dataDxfId="105"/>
    <tableColumn id="4" name="Field" dataDxfId="104"/>
    <tableColumn id="5" name="REL" dataDxfId="103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02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01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00"/>
    <tableColumn id="10" name="Relation 1" dataDxfId="99"/>
    <tableColumn id="11" name="Relation 2" dataDxfId="98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id="22" name="ResourceData" displayName="ResourceData" ref="A1:J3" totalsRowShown="0" dataDxfId="97">
  <autoFilter ref="A1:J3">
    <filterColumn colId="2"/>
    <filterColumn colId="4"/>
    <filterColumn colId="8"/>
    <filterColumn colId="9"/>
  </autoFilter>
  <tableColumns count="10">
    <tableColumn id="1" name="Primary" dataDxfId="96">
      <calculatedColumnFormula>'Table Seed Map'!$A$27&amp;"-"&amp;COUNTA($B$1:ResourceData[[#This Row],[Resource Name]])-1</calculatedColumnFormula>
    </tableColumn>
    <tableColumn id="2" name="Resource Name" dataDxfId="95"/>
    <tableColumn id="8" name="DataDisplayName" dataDxfId="94">
      <calculatedColumnFormula>ResourceData[[#This Row],[Resource Name]]&amp;"/"&amp;ResourceData[[#This Row],[Name]]</calculatedColumnFormula>
    </tableColumn>
    <tableColumn id="3" name="No" dataDxfId="93">
      <calculatedColumnFormula>IF($D1="id",IF(ISNUMBER(VLOOKUP('Table Seed Map'!$A$27,SeedMap[],9,0)),VLOOKUP('Table Seed Map'!$A$27,SeedMap[],9,0)+1,1),IFERROR($D1+1,"id"))</calculatedColumnFormula>
    </tableColumn>
    <tableColumn id="7" name="Resource" dataDxfId="92">
      <calculatedColumnFormula>IFERROR(VLOOKUP(ResourceData[[#This Row],[Resource Name]],ResourceTable[[RName]:[RID]],2,0),"resource")</calculatedColumnFormula>
    </tableColumn>
    <tableColumn id="4" name="Name" dataDxfId="91"/>
    <tableColumn id="5" name="Description" dataDxfId="90"/>
    <tableColumn id="6" name="Title Field" dataDxfId="89"/>
    <tableColumn id="9" name="Method" dataDxfId="88"/>
    <tableColumn id="10" name="ID" dataDxfId="87">
      <calculatedColumnFormula>[No]</calculatedColumnFormula>
    </tableColumn>
  </tableColumns>
  <tableStyleInfo name="TableStyleLight12" showFirstColumn="0" showLastColumn="0" showRowStripes="1" showColumnStripes="0"/>
</table>
</file>

<file path=xl/tables/table26.xml><?xml version="1.0" encoding="utf-8"?>
<table xmlns="http://schemas.openxmlformats.org/spreadsheetml/2006/main" id="23" name="DataExtra" displayName="DataExtra" ref="L1:AC3" totalsRowShown="0" headerRowDxfId="86" dataDxfId="85">
  <autoFilter ref="L1:AC3"/>
  <tableColumns count="18">
    <tableColumn id="1" name="Data Name" dataDxfId="84"/>
    <tableColumn id="2" name="DID" dataDxfId="83">
      <calculatedColumnFormula>VLOOKUP(DataExtra[[#This Row],[Data Name]],ResourceData[[DataDisplayName]:[No]],2,0)</calculatedColumnFormula>
    </tableColumn>
    <tableColumn id="3" name="Scope Name" dataDxfId="82"/>
    <tableColumn id="4" name="Relation Name" dataDxfId="81"/>
    <tableColumn id="5" name="R1 Name" dataDxfId="80"/>
    <tableColumn id="6" name="R2 Name" dataDxfId="79"/>
    <tableColumn id="7" name="R3 Name" dataDxfId="78"/>
    <tableColumn id="8" name="Scope Primary" dataDxfId="77">
      <calculatedColumnFormula>'Table Seed Map'!$A$28&amp;"-"&amp;COUNT($V$1:DataExtra[[#This Row],[Scope ID]])</calculatedColumnFormula>
    </tableColumn>
    <tableColumn id="9" name="Scope Table ID" dataDxfId="76">
      <calculatedColumnFormula>IF(DataExtra[[#This Row],[DID]]=0,"id",IF(DataExtra[[#This Row],[Scope ID]]="","",COUNT($V$2:DataExtra[[#This Row],[Scope ID]])+IF(ISNUMBER(VLOOKUP('Table Seed Map'!$A$28,SeedMap[],9,0)),VLOOKUP('Table Seed Map'!$A$28,SeedMap[],9,0),0)))</calculatedColumnFormula>
    </tableColumn>
    <tableColumn id="10" name="Scope - Resource Data" dataDxfId="75">
      <calculatedColumnFormula>IF(DataExtra[[#This Row],[DID]]=0,"resource_data",DataExtra[[#This Row],[DID]])</calculatedColumnFormula>
    </tableColumn>
    <tableColumn id="11" name="Scope ID" dataDxfId="74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73">
      <calculatedColumnFormula>'Table Seed Map'!$A$29&amp;"-"&amp;COUNT($Z$1:DataExtra[[#This Row],[Relation]])</calculatedColumnFormula>
    </tableColumn>
    <tableColumn id="13" name="Relation Table ID" dataDxfId="72">
      <calculatedColumnFormula>IF(DataExtra[[#This Row],[DID]]=0,"id",IF(DataExtra[[#This Row],[Relation]]="","",COUNT($Z$2:DataExtra[[#This Row],[Relation]])+IF(ISNUMBER(VLOOKUP('Table Seed Map'!$A$29,SeedMap[],9,0)),VLOOKUP('Table Seed Map'!$A$29,SeedMap[],9,0),0)))</calculatedColumnFormula>
    </tableColumn>
    <tableColumn id="14" name="Relation - Resource Data" dataDxfId="71">
      <calculatedColumnFormula>IF(DataExtra[[#This Row],[DID]]=0,"resource_data",DataExtra[[#This Row],[DID]])</calculatedColumnFormula>
    </tableColumn>
    <tableColumn id="15" name="Relation" dataDxfId="70">
      <calculatedColumnFormula>IFERROR(VLOOKUP(DataExtra[[#This Row],[Relation Name]],RelationTable[[Display]:[RELID]],2,0),IF(DataExtra[[#This Row],[DID]]=0,"relation",""))</calculatedColumnFormula>
    </tableColumn>
    <tableColumn id="16" name="R1" dataDxfId="69">
      <calculatedColumnFormula>IFERROR(VLOOKUP(DataExtra[[#This Row],[R1 Name]],RelationTable[[Display]:[RELID]],2,0),IF(DataExtra[[#This Row],[DID]]=0,"nest_relation1",""))</calculatedColumnFormula>
    </tableColumn>
    <tableColumn id="17" name="R2" dataDxfId="68">
      <calculatedColumnFormula>IFERROR(VLOOKUP(DataExtra[[#This Row],[R2 Name]],RelationTable[[Display]:[RELID]],2,0),IF(DataExtra[[#This Row],[DID]]=0,"nest_relation2",""))</calculatedColumnFormula>
    </tableColumn>
    <tableColumn id="18" name="R3" dataDxfId="67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id="24" name="DataViewSection" displayName="DataViewSection" ref="AE1:AN2" totalsRowShown="0" headerRowDxfId="66" dataDxfId="65">
  <autoFilter ref="AE1:AN2">
    <filterColumn colId="0"/>
    <filterColumn colId="2"/>
    <filterColumn colId="5"/>
    <filterColumn colId="6"/>
    <filterColumn colId="7"/>
  </autoFilter>
  <tableColumns count="10">
    <tableColumn id="13" name="Primary" dataDxfId="64">
      <calculatedColumnFormula>'Table Seed Map'!$A$30&amp;"-"&amp;COUNTA($AH$1:DataViewSection[[#This Row],[No]])-2</calculatedColumnFormula>
    </tableColumn>
    <tableColumn id="1" name="Data Name for Layout" dataDxfId="63"/>
    <tableColumn id="17" name="DataSectionDisplayName" dataDxfId="62">
      <calculatedColumnFormula>DataViewSection[[#This Row],[Data Name for Layout]]&amp;"/"&amp;COUNTA($AH$1:DataViewSection[[#This Row],[No]])-2</calculatedColumnFormula>
    </tableColumn>
    <tableColumn id="2" name="No" dataDxfId="61">
      <calculatedColumnFormula>IF(DataViewSection[[#This Row],[Data Name for Layout]]="","id",IFERROR($AH1+1,IF(ISNUMBER(VLOOKUP('Table Seed Map'!$A$30,SeedMap[],9,0)),VLOOKUP('Table Seed Map'!$A$30,SeedMap[],9,0)+1,1)))</calculatedColumnFormula>
    </tableColumn>
    <tableColumn id="3" name="Data ID" dataDxfId="60">
      <calculatedColumnFormula>IFERROR(VLOOKUP(DataViewSection[[#This Row],[Data Name for Layout]],ResourceData[[DataDisplayName]:[No]],2,0),"resource_data")</calculatedColumnFormula>
    </tableColumn>
    <tableColumn id="14" name="Title" dataDxfId="59"/>
    <tableColumn id="15" name="Title Field" dataDxfId="58"/>
    <tableColumn id="16" name="Rel" dataDxfId="57">
      <calculatedColumnFormula>IFERROR(VLOOKUP(DataViewSection[[#This Row],[Relation]],RelationTable[[Display]:[RELID]],2,0),"")</calculatedColumnFormula>
    </tableColumn>
    <tableColumn id="4" name="Colspan" dataDxfId="56"/>
    <tableColumn id="9" name="Relation" dataDxfId="55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25" name="DataViewSectionItem" displayName="DataViewSectionItem" ref="AP1:AW2" totalsRowShown="0" headerRowDxfId="54" dataDxfId="53">
  <autoFilter ref="AP1:AW2">
    <filterColumn colId="4"/>
  </autoFilter>
  <tableColumns count="8">
    <tableColumn id="13" name="Primary" dataDxfId="52">
      <calculatedColumnFormula>'Table Seed Map'!$A$31&amp;"-"&amp;COUNTA($AQ$2:DataViewSectionItem[[#This Row],[Data Section for Items]])</calculatedColumnFormula>
    </tableColumn>
    <tableColumn id="1" name="Data Section for Items" dataDxfId="51"/>
    <tableColumn id="2" name="No" dataDxfId="50">
      <calculatedColumnFormula>IF(DataViewSectionItem[[#This Row],[Data Section for Items]]="","id",IFERROR($AR1+1,IF(ISNUMBER(VLOOKUP('Table Seed Map'!$A$31,SeedMap[],9,0)),VLOOKUP('Table Seed Map'!$A$31,SeedMap[],9,0)+1,1)))</calculatedColumnFormula>
    </tableColumn>
    <tableColumn id="3" name="Section ID" dataDxfId="49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48"/>
    <tableColumn id="4" name="Attribute" dataDxfId="47"/>
    <tableColumn id="5" name="REL" dataDxfId="46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45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id="27" name="RecordCount" displayName="RecordCount" ref="A1:H5" totalsRowShown="0" headerRowDxfId="44" dataDxfId="43">
  <autoFilter ref="A1:H5">
    <filterColumn colId="5"/>
    <filterColumn colId="6"/>
    <filterColumn colId="7"/>
  </autoFilter>
  <tableColumns count="8">
    <tableColumn id="1" name="Type" dataDxfId="42"/>
    <tableColumn id="2" name="Table Name" dataDxfId="41"/>
    <tableColumn id="3" name="Count Field" dataDxfId="40"/>
    <tableColumn id="4" name="Count Reduce" dataDxfId="39"/>
    <tableColumn id="5" name="Records" dataDxfId="38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37"/>
    <tableColumn id="8" name="Name Field Position" dataDxfId="36"/>
    <tableColumn id="9" name="ID Field Position" dataDxfId="3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94" totalsRowShown="0" dataDxfId="400">
  <autoFilter ref="A1:K394">
    <filterColumn colId="0"/>
  </autoFilter>
  <tableColumns count="11">
    <tableColumn id="2" name="Table" dataDxfId="399"/>
    <tableColumn id="3" name="Field" dataDxfId="398"/>
    <tableColumn id="5" name="Type" dataDxfId="397">
      <calculatedColumnFormula>VLOOKUP([Field],Columns[],2,0)&amp;"("</calculatedColumnFormula>
    </tableColumn>
    <tableColumn id="4" name="Name" dataDxfId="396">
      <calculatedColumnFormula>IF(VLOOKUP([Field],Columns[],3,0)&lt;&gt;"","'"&amp;VLOOKUP([Field],Columns[],3,0)&amp;"'","")</calculatedColumnFormula>
    </tableColumn>
    <tableColumn id="6" name="Arg2" dataDxfId="395">
      <calculatedColumnFormula>IF(VLOOKUP([Field],Columns[],4,0)&lt;&gt;0,", "&amp;VLOOKUP([Field],Columns[],4,0)&amp;")",")")</calculatedColumnFormula>
    </tableColumn>
    <tableColumn id="7" name="Method1" dataDxfId="394">
      <calculatedColumnFormula>IF(VLOOKUP([Field],Columns[],5,0)=0,"","-&gt;"&amp;VLOOKUP([Field],Columns[],5,0))</calculatedColumnFormula>
    </tableColumn>
    <tableColumn id="8" name="Method2" dataDxfId="393">
      <calculatedColumnFormula>IF(VLOOKUP([Field],Columns[],6,0)=0,"","-&gt;"&amp;VLOOKUP([Field],Columns[],6,0))</calculatedColumnFormula>
    </tableColumn>
    <tableColumn id="9" name="Method3" dataDxfId="392">
      <calculatedColumnFormula>IF(VLOOKUP([Field],Columns[],7,0)=0,"","-&gt;"&amp;VLOOKUP([Field],Columns[],7,0))</calculatedColumnFormula>
    </tableColumn>
    <tableColumn id="10" name="Method4" dataDxfId="391">
      <calculatedColumnFormula>IF(VLOOKUP([Field],Columns[],8,0)=0,"","-&gt;"&amp;VLOOKUP([Field],Columns[],8,0))</calculatedColumnFormula>
    </tableColumn>
    <tableColumn id="11" name="Method5" dataDxfId="390">
      <calculatedColumnFormula>IF(VLOOKUP([Field],Columns[],9,0)=0,"","-&gt;"&amp;VLOOKUP([Field],Columns[],9,0))</calculatedColumnFormula>
    </tableColumn>
    <tableColumn id="12" name="Statement" dataDxfId="389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8" name="IDNMaps" displayName="IDNMaps" ref="J1:P501" totalsRowShown="0" headerRowDxfId="34" dataDxfId="33">
  <autoFilter ref="J1:P501">
    <filterColumn colId="2"/>
    <filterColumn colId="3"/>
    <filterColumn colId="4"/>
    <filterColumn colId="5"/>
    <filterColumn colId="6"/>
  </autoFilter>
  <tableColumns count="7">
    <tableColumn id="1" name="No" dataDxfId="32">
      <calculatedColumnFormula>IFERROR($J1+1,1)</calculatedColumnFormula>
    </tableColumn>
    <tableColumn id="2" name="Type" dataDxfId="31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30">
      <calculatedColumnFormula>IF(IDNMaps[[#This Row],[Type]]="","",COUNTIF($K$1:IDNMaps[[#This Row],[Type]],IDNMaps[[#This Row],[Type]]))</calculatedColumnFormula>
    </tableColumn>
    <tableColumn id="4" name="Primary" dataDxfId="29">
      <calculatedColumnFormula>IFERROR(VLOOKUP(IDNMaps[[#This Row],[Type]],RecordCount[],6,0)&amp;"-"&amp;IDNMaps[[#This Row],[Type Count]],"")</calculatedColumnFormula>
    </tableColumn>
    <tableColumn id="5" name="Name" dataDxfId="28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27">
      <calculatedColumnFormula>IF(IDNMaps[[#This Row],[Name]]="","","("&amp;IDNMaps[[#This Row],[Type]]&amp;") "&amp;IDNMaps[[#This Row],[Name]])</calculatedColumnFormula>
    </tableColumn>
    <tableColumn id="7" name="ID" dataDxfId="26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30" totalsRowShown="0" headerRowDxfId="388" dataDxfId="387">
  <autoFilter ref="A1:R230">
    <filterColumn colId="1">
      <filters>
        <filter val="Resource Roles"/>
      </filters>
    </filterColumn>
  </autoFilter>
  <tableColumns count="18">
    <tableColumn id="19" name="TRCode" dataDxfId="386">
      <calculatedColumnFormula>[Table Name]&amp;"-"&amp;(COUNTIF($B$1:TableData[[#This Row],[Table Name]],TableData[[#This Row],[Table Name]])-1)</calculatedColumnFormula>
    </tableColumn>
    <tableColumn id="1" name="Table Name" dataDxfId="385"/>
    <tableColumn id="2" name="Record No" dataDxfId="384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383"/>
    <tableColumn id="4" name="2" dataDxfId="382"/>
    <tableColumn id="5" name="3" dataDxfId="381"/>
    <tableColumn id="6" name="4" dataDxfId="380"/>
    <tableColumn id="7" name="5" dataDxfId="379"/>
    <tableColumn id="8" name="6" dataDxfId="378"/>
    <tableColumn id="9" name="7" dataDxfId="377"/>
    <tableColumn id="10" name="8" dataDxfId="376"/>
    <tableColumn id="11" name="9" dataDxfId="375"/>
    <tableColumn id="12" name="10" dataDxfId="374"/>
    <tableColumn id="13" name="11" dataDxfId="373"/>
    <tableColumn id="14" name="12" dataDxfId="372"/>
    <tableColumn id="15" name="13" dataDxfId="371"/>
    <tableColumn id="16" name="14" dataDxfId="370"/>
    <tableColumn id="17" name="15" dataDxfId="36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0" totalsRowShown="0" dataDxfId="368">
  <autoFilter ref="A1:J40">
    <filterColumn colId="4"/>
    <filterColumn colId="5"/>
    <filterColumn colId="6"/>
    <filterColumn colId="8"/>
    <filterColumn colId="9"/>
  </autoFilter>
  <tableColumns count="10">
    <tableColumn id="1" name="Name" dataDxfId="367"/>
    <tableColumn id="3" name="Table Name" dataDxfId="366"/>
    <tableColumn id="20" name="NS" dataDxfId="365">
      <calculatedColumnFormula>VLOOKUP([Table Name],Tables[],4,0)</calculatedColumnFormula>
    </tableColumn>
    <tableColumn id="21" name="Model" dataDxfId="364">
      <calculatedColumnFormula>VLOOKUP([Table Name],Tables[],5,0)</calculatedColumnFormula>
    </tableColumn>
    <tableColumn id="6" name="Data Table" dataDxfId="363"/>
    <tableColumn id="7" name="Data Range" dataDxfId="362"/>
    <tableColumn id="8" name="Skip Columns" dataDxfId="361"/>
    <tableColumn id="4" name="Query Method" dataDxfId="360">
      <calculatedColumnFormula>"truncate"</calculatedColumnFormula>
    </tableColumn>
    <tableColumn id="2" name="Last ID" dataDxfId="359"/>
    <tableColumn id="5" name="AI Change Query" dataDxfId="358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L43" totalsRowShown="0" dataDxfId="357">
  <autoFilter ref="A1:L43">
    <filterColumn colId="0"/>
    <filterColumn colId="1"/>
    <filterColumn colId="2"/>
    <filterColumn colId="11"/>
  </autoFilter>
  <tableColumns count="12">
    <tableColumn id="11" name="Primary" dataDxfId="356">
      <calculatedColumnFormula>Page&amp;"-"&amp;(COUNTA($E$1:ResourceTable[[#This Row],[Name]])-2)</calculatedColumnFormula>
    </tableColumn>
    <tableColumn id="12" name="RName" dataDxfId="355">
      <calculatedColumnFormula>ResourceTable[[#This Row],[Name]]</calculatedColumnFormula>
    </tableColumn>
    <tableColumn id="13" name="RID" dataDxfId="354">
      <calculatedColumnFormula>IF($C1=0,IF(ISNUMBER(VLOOKUP(Page,SeedMap[],9,0)),VLOOKUP(Page,SeedMap[],9,0)+1,1),IFERROR($C1+1,0))</calculatedColumnFormula>
    </tableColumn>
    <tableColumn id="1" name="No" dataDxfId="353">
      <calculatedColumnFormula>ResourceTable[[#This Row],[RID]]</calculatedColumnFormula>
    </tableColumn>
    <tableColumn id="2" name="Name" dataDxfId="352"/>
    <tableColumn id="3" name="Description" dataDxfId="351"/>
    <tableColumn id="4" name="Title" dataDxfId="350"/>
    <tableColumn id="5" name="NS" dataDxfId="349">
      <calculatedColumnFormula>"Milestone\Appframe\Model"</calculatedColumnFormula>
    </tableColumn>
    <tableColumn id="6" name="Table" dataDxfId="348"/>
    <tableColumn id="8" name="Controller" dataDxfId="347"/>
    <tableColumn id="9" name="Controller NS" dataDxfId="346"/>
    <tableColumn id="7" name="Development" dataDxfId="345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N78" totalsRowShown="0" dataDxfId="344">
  <autoFilter ref="A1:N78">
    <filterColumn colId="0"/>
    <filterColumn colId="2"/>
    <filterColumn colId="3"/>
    <filterColumn colId="6"/>
    <filterColumn colId="13"/>
  </autoFilter>
  <tableColumns count="14">
    <tableColumn id="11" name="Primary" dataDxfId="343">
      <calculatedColumnFormula>Page&amp;"-"&amp;(COUNTA($E$1:RelationTable[[#This Row],[Resource]])-1)</calculatedColumnFormula>
    </tableColumn>
    <tableColumn id="1" name="No" dataDxfId="342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41">
      <calculatedColumnFormula>RelationTable[[#This Row],[Resource]]&amp;"/"&amp;RelationTable[[#This Row],[Method]]</calculatedColumnFormula>
    </tableColumn>
    <tableColumn id="14" name="RELID" dataDxfId="340">
      <calculatedColumnFormula>RelationTable[[#This Row],[No]]</calculatedColumnFormula>
    </tableColumn>
    <tableColumn id="3" name="Resource" dataDxfId="339"/>
    <tableColumn id="4" name="Relate Resource" dataDxfId="338"/>
    <tableColumn id="12" name="ID" dataDxfId="337">
      <calculatedColumnFormula>RelationTable[[#This Row],[No]]</calculatedColumnFormula>
    </tableColumn>
    <tableColumn id="2" name="Resource Id" dataDxfId="336">
      <calculatedColumnFormula>IF(RelationTable[[#This Row],[No]]="id","resource",VLOOKUP([Resource],CHOOSE({1,2},ResourceTable[Name],ResourceTable[No]),2,0))</calculatedColumnFormula>
    </tableColumn>
    <tableColumn id="5" name="Name" dataDxfId="335"/>
    <tableColumn id="6" name="Description" dataDxfId="334"/>
    <tableColumn id="7" name="Method" dataDxfId="333"/>
    <tableColumn id="8" name="Type" dataDxfId="332"/>
    <tableColumn id="10" name="Relate Id" dataDxfId="331">
      <calculatedColumnFormula>VLOOKUP([Relate Resource],CHOOSE({1,2},ResourceTable[Name],ResourceTable[No]),2,0)</calculatedColumnFormula>
    </tableColumn>
    <tableColumn id="9" name="RID" dataDxfId="330">
      <calculatedColumnFormula>[RELID]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5" name="ResourceScopes" displayName="ResourceScopes" ref="P1:W4" totalsRowShown="0" dataDxfId="329">
  <autoFilter ref="P1:W4">
    <filterColumn colId="2"/>
    <filterColumn colId="4"/>
  </autoFilter>
  <tableColumns count="8">
    <tableColumn id="1" name="Primary" dataDxfId="328">
      <calculatedColumnFormula>'Table Seed Map'!$A$8&amp;"-"&amp;COUNTA($Q$1:ResourceScopes[[#This Row],[Resource for Scope]])-1</calculatedColumnFormula>
    </tableColumn>
    <tableColumn id="2" name="Resource for Scope" dataDxfId="327"/>
    <tableColumn id="8" name="ScopesDisplayNames" dataDxfId="326">
      <calculatedColumnFormula>ResourceScopes[[#This Row],[Resource for Scope]]&amp;"/"&amp;ResourceScopes[[#This Row],[Name]]</calculatedColumnFormula>
    </tableColumn>
    <tableColumn id="3" name="No" dataDxfId="325">
      <calculatedColumnFormula>IF($S1="id",IF(ISNUMBER(VLOOKUP('Table Seed Map'!$A$8,SeedMap[],9,0)),VLOOKUP('Table Seed Map'!$A$8,SeedMap[],9,0)+1,1),IFERROR($S1+1,"id"))</calculatedColumnFormula>
    </tableColumn>
    <tableColumn id="7" name="Resource ID" dataDxfId="324">
      <calculatedColumnFormula>VLOOKUP(ResourceScopes[[#This Row],[Resource for Scope]],ResourceTable[[RName]:[RID]],2,0)</calculatedColumnFormula>
    </tableColumn>
    <tableColumn id="4" name="Name" dataDxfId="323"/>
    <tableColumn id="5" name="Description" dataDxfId="322"/>
    <tableColumn id="6" name="Method" dataDxfId="321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6" name="ResourceForms" displayName="ResourceForms" ref="A1:K15" totalsRowShown="0" headerRowDxfId="1" dataDxfId="0">
  <autoFilter ref="A1:K15">
    <filterColumn colId="1"/>
    <filterColumn colId="2"/>
    <filterColumn colId="4"/>
    <filterColumn colId="7"/>
    <filterColumn colId="10"/>
  </autoFilter>
  <tableColumns count="11">
    <tableColumn id="1" name="Primary" dataDxfId="12">
      <calculatedColumnFormula>'Table Seed Map'!$A$10&amp;"-"&amp;(COUNTA($F$1:ResourceForms[[#This Row],[Resource]])-2)</calculatedColumnFormula>
    </tableColumn>
    <tableColumn id="11" name="FormName" dataDxfId="11">
      <calculatedColumnFormula>ResourceForms[[#This Row],[Resource Name]]&amp;"/"&amp;ResourceForms[[#This Row],[Name]]</calculatedColumnFormula>
    </tableColumn>
    <tableColumn id="10" name="No" dataDxfId="10">
      <calculatedColumnFormula>IF(ResourceForms[[#This Row],[Resource Name]]="","",COUNTA($F$3:ResourceForms[[#This Row],[Resource]])+IF(VLOOKUP('Table Seed Map'!$A$10,SeedMap[],9,0),VLOOKUP('Table Seed Map'!$A$10,SeedMap[],9,0),0))</calculatedColumnFormula>
    </tableColumn>
    <tableColumn id="2" name="Resource Name" dataDxfId="9"/>
    <tableColumn id="12" name="ID" dataDxfId="8">
      <calculatedColumnFormula>ResourceForms[[#This Row],[No]]</calculatedColumnFormula>
    </tableColumn>
    <tableColumn id="3" name="Resource" dataDxfId="7">
      <calculatedColumnFormula>VLOOKUP(ResourceForms[[#This Row],[Resource Name]],ResourceTable[[RName]:[RID]],2,0)</calculatedColumnFormula>
    </tableColumn>
    <tableColumn id="4" name="Name" dataDxfId="6"/>
    <tableColumn id="5" name="Description" dataDxfId="5"/>
    <tableColumn id="6" name="Title" dataDxfId="4"/>
    <tableColumn id="7" name="Action Text" dataDxfId="3"/>
    <tableColumn id="8" name="Form ID" dataDxfId="2">
      <calculatedColumnFormula>[ID]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4" Type="http://schemas.openxmlformats.org/officeDocument/2006/relationships/table" Target="../tables/table2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4"/>
  <sheetViews>
    <sheetView topLeftCell="A35" workbookViewId="0">
      <selection activeCell="A44" sqref="A44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9" t="s">
        <v>12</v>
      </c>
      <c r="C1" t="s">
        <v>151</v>
      </c>
      <c r="D1" s="18" t="s">
        <v>252</v>
      </c>
      <c r="E1" t="s">
        <v>150</v>
      </c>
      <c r="F1" s="12" t="s">
        <v>207</v>
      </c>
      <c r="G1" t="s">
        <v>152</v>
      </c>
      <c r="H1" s="12" t="s">
        <v>209</v>
      </c>
      <c r="I1" t="s">
        <v>153</v>
      </c>
      <c r="J1" s="12" t="s">
        <v>210</v>
      </c>
    </row>
    <row r="2" spans="1:10">
      <c r="A2" s="5" t="s">
        <v>175</v>
      </c>
      <c r="B2" s="6" t="s">
        <v>175</v>
      </c>
      <c r="C2" s="8" t="str">
        <f>IF(RIGHT([Name],3)="ies",MID([Name],1,LEN([Name])-3)&amp;"y",IF(RIGHT([Name],1)="s",MID([Name],1,LEN([Name])-1),[Name]))</f>
        <v>user</v>
      </c>
      <c r="D2" s="8" t="str">
        <f t="shared" ref="D2:D44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134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135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136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137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5" t="s">
        <v>208</v>
      </c>
      <c r="B8" s="8" t="str">
        <f>"__"&amp;[Name]</f>
        <v>__resource_roles</v>
      </c>
      <c r="C8" s="8" t="str">
        <f>IF(RIGHT([Name],3)="ies",MID([Name],1,LEN([Name])-3)&amp;"y",IF(RIGHT([Name],1)="s",MID([Name],1,LEN([Name])-1),[Name]))</f>
        <v>resource_role</v>
      </c>
      <c r="D8" s="8" t="str">
        <f t="shared" ref="D8:D21" si="1">"Milestone\Appframe\Model"</f>
        <v>Milestone\Appframe\Model</v>
      </c>
      <c r="E8" s="8" t="str">
        <f>SUBSTITUTE(PROPER([Singular Name]),"_","")</f>
        <v>ResourceRole</v>
      </c>
      <c r="F8" s="8" t="str">
        <f>"php artisan make:migration create_"&amp;[Table]&amp;"_table --create=__"&amp;[Name]</f>
        <v>php artisan make:migration create___resource_roles_table --create=__resource_roles</v>
      </c>
      <c r="G8" s="8" t="str">
        <f>"php artisan make:model "&amp;[Class Name]</f>
        <v>php artisan make:model ResourceRole</v>
      </c>
      <c r="H8" s="8" t="str">
        <f>"protected $table = '"&amp;[Table]&amp;"';"</f>
        <v>protected $table = '__resource_roles';</v>
      </c>
      <c r="I8" s="8" t="str">
        <f>"php artisan make:seed "&amp;[Class Name]&amp;"TableSeeder"</f>
        <v>php artisan make:seed ResourceRoleTableSeeder</v>
      </c>
      <c r="J8" s="8" t="str">
        <f>[Class Name]&amp;"TableSeeder"&amp;"::class,"</f>
        <v>ResourceRoleTableSeeder::class,</v>
      </c>
    </row>
    <row r="9" spans="1:10">
      <c r="A9" s="2" t="s">
        <v>3</v>
      </c>
      <c r="B9" s="8" t="str">
        <f>"__"&amp;[Name]</f>
        <v>__resource_relations</v>
      </c>
      <c r="C9" s="8" t="str">
        <f>IF(RIGHT([Name],3)="ies",MID([Name],1,LEN([Name])-3)&amp;"y",IF(RIGHT([Name],1)="s",MID([Name],1,LEN([Name])-1),[Name]))</f>
        <v>resource_relation</v>
      </c>
      <c r="D9" s="8" t="str">
        <f t="shared" si="1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0</v>
      </c>
      <c r="B10" s="8" t="str">
        <f>"__"&amp;[Name]</f>
        <v>__resource_scopes</v>
      </c>
      <c r="C10" s="8" t="str">
        <f>IF(RIGHT([Name],3)="ies",MID([Name],1,LEN([Name])-3)&amp;"y",IF(RIGHT([Name],1)="s",MID([Name],1,LEN([Name])-1),[Name]))</f>
        <v>resource_scope</v>
      </c>
      <c r="D10" s="8" t="str">
        <f t="shared" si="1"/>
        <v>Milestone\Appframe\Model</v>
      </c>
      <c r="E10" s="8" t="str">
        <f>SUBSTITUTE(PROPER([Singular Name]),"_","")</f>
        <v>ResourceScope</v>
      </c>
      <c r="F10" s="8" t="str">
        <f>"php artisan make:migration create_"&amp;[Table]&amp;"_table --create=__"&amp;[Name]</f>
        <v>php artisan make:migration create___resource_scopes_table --create=__resource_scopes</v>
      </c>
      <c r="G10" s="8" t="str">
        <f>"php artisan make:model "&amp;[Class Name]</f>
        <v>php artisan make:model ResourceScope</v>
      </c>
      <c r="H10" s="8" t="str">
        <f>"protected $table = '"&amp;[Table]&amp;"';"</f>
        <v>protected $table = '__resource_scopes';</v>
      </c>
      <c r="I10" s="8" t="str">
        <f>"php artisan make:seed "&amp;[Class Name]&amp;"TableSeeder"</f>
        <v>php artisan make:seed ResourceScopeTableSeeder</v>
      </c>
      <c r="J10" s="8" t="str">
        <f>[Class Name]&amp;"TableSeeder"&amp;"::class,"</f>
        <v>ResourceScopeTableSeeder::class,</v>
      </c>
    </row>
    <row r="11" spans="1:10">
      <c r="A11" s="2" t="s">
        <v>6</v>
      </c>
      <c r="B11" s="8" t="str">
        <f>"__"&amp;[Name]</f>
        <v>__resource_forms</v>
      </c>
      <c r="C11" s="8" t="str">
        <f>IF(RIGHT([Name],3)="ies",MID([Name],1,LEN([Name])-3)&amp;"y",IF(RIGHT([Name],1)="s",MID([Name],1,LEN([Name])-1),[Name]))</f>
        <v>resource_form</v>
      </c>
      <c r="D11" s="8" t="str">
        <f t="shared" si="1"/>
        <v>Milestone\Appframe\Model</v>
      </c>
      <c r="E11" s="8" t="str">
        <f>SUBSTITUTE(PROPER([Singular Name]),"_","")</f>
        <v>ResourceForm</v>
      </c>
      <c r="F11" s="8" t="str">
        <f>"php artisan make:migration create_"&amp;[Table]&amp;"_table --create=__"&amp;[Name]</f>
        <v>php artisan make:migration create___resource_forms_table --create=__resource_forms</v>
      </c>
      <c r="G11" s="8" t="str">
        <f>"php artisan make:model "&amp;[Class Name]</f>
        <v>php artisan make:model ResourceForm</v>
      </c>
      <c r="H11" s="8" t="str">
        <f>"protected $table = '"&amp;[Table]&amp;"';"</f>
        <v>protected $table = '__resource_forms';</v>
      </c>
      <c r="I11" s="8" t="str">
        <f>"php artisan make:seed "&amp;[Class Name]&amp;"TableSeeder"</f>
        <v>php artisan make:seed ResourceFormTableSeeder</v>
      </c>
      <c r="J11" s="8" t="str">
        <f>[Class Name]&amp;"TableSeeder"&amp;"::class,"</f>
        <v>ResourceFormTableSeeder::class,</v>
      </c>
    </row>
    <row r="12" spans="1:10">
      <c r="A12" s="2" t="s">
        <v>101</v>
      </c>
      <c r="B12" s="8" t="str">
        <f>"__"&amp;[Name]</f>
        <v>__resource_form_fields</v>
      </c>
      <c r="C12" s="8" t="str">
        <f>IF(RIGHT([Name],3)="ies",MID([Name],1,LEN([Name])-3)&amp;"y",IF(RIGHT([Name],1)="s",MID([Name],1,LEN([Name])-1),[Name]))</f>
        <v>resource_form_field</v>
      </c>
      <c r="D12" s="8" t="str">
        <f t="shared" si="1"/>
        <v>Milestone\Appframe\Model</v>
      </c>
      <c r="E12" s="8" t="str">
        <f>SUBSTITUTE(PROPER([Singular Name]),"_","")</f>
        <v>ResourceFormField</v>
      </c>
      <c r="F12" s="8" t="str">
        <f>"php artisan make:migration create_"&amp;[Table]&amp;"_table --create=__"&amp;[Name]</f>
        <v>php artisan make:migration create___resource_form_fields_table --create=__resource_form_fields</v>
      </c>
      <c r="G12" s="8" t="str">
        <f>"php artisan make:model "&amp;[Class Name]</f>
        <v>php artisan make:model ResourceFormField</v>
      </c>
      <c r="H12" s="8" t="str">
        <f>"protected $table = '"&amp;[Table]&amp;"';"</f>
        <v>protected $table = '__resource_form_fields';</v>
      </c>
      <c r="I12" s="8" t="str">
        <f>"php artisan make:seed "&amp;[Class Name]&amp;"TableSeeder"</f>
        <v>php artisan make:seed ResourceFormFieldTableSeeder</v>
      </c>
      <c r="J12" s="8" t="str">
        <f>[Class Name]&amp;"TableSeeder"&amp;"::class,"</f>
        <v>ResourceFormFieldTableSeeder::class,</v>
      </c>
    </row>
    <row r="13" spans="1:10">
      <c r="A13" s="2" t="s">
        <v>102</v>
      </c>
      <c r="B13" s="8" t="str">
        <f>"__"&amp;[Name]</f>
        <v>__resource_form_field_attrs</v>
      </c>
      <c r="C13" s="8" t="str">
        <f>IF(RIGHT([Name],3)="ies",MID([Name],1,LEN([Name])-3)&amp;"y",IF(RIGHT([Name],1)="s",MID([Name],1,LEN([Name])-1),[Name]))</f>
        <v>resource_form_field_attr</v>
      </c>
      <c r="D13" s="8" t="str">
        <f t="shared" si="1"/>
        <v>Milestone\Appframe\Model</v>
      </c>
      <c r="E13" s="8" t="str">
        <f>SUBSTITUTE(PROPER([Singular Name]),"_","")</f>
        <v>ResourceFormFieldAttr</v>
      </c>
      <c r="F13" s="8" t="str">
        <f>"php artisan make:migration create_"&amp;[Table]&amp;"_table --create=__"&amp;[Name]</f>
        <v>php artisan make:migration create___resource_form_field_attrs_table --create=__resource_form_field_attrs</v>
      </c>
      <c r="G13" s="8" t="str">
        <f>"php artisan make:model "&amp;[Class Name]</f>
        <v>php artisan make:model ResourceFormFieldAttr</v>
      </c>
      <c r="H13" s="8" t="str">
        <f>"protected $table = '"&amp;[Table]&amp;"';"</f>
        <v>protected $table = '__resource_form_field_attrs';</v>
      </c>
      <c r="I13" s="8" t="str">
        <f>"php artisan make:seed "&amp;[Class Name]&amp;"TableSeeder"</f>
        <v>php artisan make:seed ResourceFormFieldAttrTableSeeder</v>
      </c>
      <c r="J13" s="8" t="str">
        <f>[Class Name]&amp;"TableSeeder"&amp;"::class,"</f>
        <v>ResourceFormFieldAttrTableSeeder::class,</v>
      </c>
    </row>
    <row r="14" spans="1:10">
      <c r="A14" s="2" t="s">
        <v>103</v>
      </c>
      <c r="B14" s="8" t="str">
        <f>"__"&amp;[Name]</f>
        <v>__resource_form_field_data</v>
      </c>
      <c r="C14" s="8" t="str">
        <f>IF(RIGHT([Name],3)="ies",MID([Name],1,LEN([Name])-3)&amp;"y",IF(RIGHT([Name],1)="s",MID([Name],1,LEN([Name])-1),[Name]))</f>
        <v>resource_form_field_data</v>
      </c>
      <c r="D14" s="8" t="str">
        <f t="shared" si="1"/>
        <v>Milestone\Appframe\Model</v>
      </c>
      <c r="E14" s="8" t="str">
        <f>SUBSTITUTE(PROPER([Singular Name]),"_","")</f>
        <v>ResourceFormFieldData</v>
      </c>
      <c r="F14" s="8" t="str">
        <f>"php artisan make:migration create_"&amp;[Table]&amp;"_table --create=__"&amp;[Name]</f>
        <v>php artisan make:migration create___resource_form_field_data_table --create=__resource_form_field_data</v>
      </c>
      <c r="G14" s="8" t="str">
        <f>"php artisan make:model "&amp;[Class Name]</f>
        <v>php artisan make:model ResourceFormFieldData</v>
      </c>
      <c r="H14" s="8" t="str">
        <f>"protected $table = '"&amp;[Table]&amp;"';"</f>
        <v>protected $table = '__resource_form_field_data';</v>
      </c>
      <c r="I14" s="8" t="str">
        <f>"php artisan make:seed "&amp;[Class Name]&amp;"TableSeeder"</f>
        <v>php artisan make:seed ResourceFormFieldDataTableSeeder</v>
      </c>
      <c r="J14" s="8" t="str">
        <f>[Class Name]&amp;"TableSeeder"&amp;"::class,"</f>
        <v>ResourceFormFieldDataTableSeeder::class,</v>
      </c>
    </row>
    <row r="15" spans="1:10">
      <c r="A15" s="2" t="s">
        <v>104</v>
      </c>
      <c r="B15" s="8" t="str">
        <f>"__"&amp;[Name]</f>
        <v>__resource_form_field_validations</v>
      </c>
      <c r="C15" s="8" t="str">
        <f>IF(RIGHT([Name],3)="ies",MID([Name],1,LEN([Name])-3)&amp;"y",IF(RIGHT([Name],1)="s",MID([Name],1,LEN([Name])-1),[Name]))</f>
        <v>resource_form_field_validation</v>
      </c>
      <c r="D15" s="8" t="str">
        <f t="shared" si="1"/>
        <v>Milestone\Appframe\Model</v>
      </c>
      <c r="E15" s="8" t="str">
        <f>SUBSTITUTE(PROPER([Singular Name]),"_","")</f>
        <v>ResourceFormFieldValidation</v>
      </c>
      <c r="F15" s="8" t="str">
        <f>"php artisan make:migration create_"&amp;[Table]&amp;"_table --create=__"&amp;[Name]</f>
        <v>php artisan make:migration create___resource_form_field_validations_table --create=__resource_form_field_validations</v>
      </c>
      <c r="G15" s="8" t="str">
        <f>"php artisan make:model "&amp;[Class Name]</f>
        <v>php artisan make:model ResourceFormFieldValidation</v>
      </c>
      <c r="H15" s="8" t="str">
        <f>"protected $table = '"&amp;[Table]&amp;"';"</f>
        <v>protected $table = '__resource_form_field_validations';</v>
      </c>
      <c r="I15" s="8" t="str">
        <f>"php artisan make:seed "&amp;[Class Name]&amp;"TableSeeder"</f>
        <v>php artisan make:seed ResourceFormFieldValidationTableSeeder</v>
      </c>
      <c r="J15" s="8" t="str">
        <f>[Class Name]&amp;"TableSeeder"&amp;"::class,"</f>
        <v>ResourceFormFieldValidationTableSeeder::class,</v>
      </c>
    </row>
    <row r="16" spans="1:10">
      <c r="A16" s="2" t="s">
        <v>355</v>
      </c>
      <c r="B16" s="8" t="str">
        <f>"__"&amp;[Name]</f>
        <v>__resource_form_field_options</v>
      </c>
      <c r="C16" s="8" t="str">
        <f>IF(RIGHT([Name],3)="ies",MID([Name],1,LEN([Name])-3)&amp;"y",IF(RIGHT([Name],1)="s",MID([Name],1,LEN([Name])-1),[Name]))</f>
        <v>resource_form_field_option</v>
      </c>
      <c r="D16" s="8" t="str">
        <f t="shared" si="1"/>
        <v>Milestone\Appframe\Model</v>
      </c>
      <c r="E16" s="8" t="str">
        <f>SUBSTITUTE(PROPER([Singular Name]),"_","")</f>
        <v>ResourceFormFieldOption</v>
      </c>
      <c r="F16" s="8" t="str">
        <f>"php artisan make:migration create_"&amp;[Table]&amp;"_table --create=__"&amp;[Name]</f>
        <v>php artisan make:migration create___resource_form_field_options_table --create=__resource_form_field_options</v>
      </c>
      <c r="G16" s="8" t="str">
        <f>"php artisan make:model "&amp;[Class Name]</f>
        <v>php artisan make:model ResourceFormFieldOption</v>
      </c>
      <c r="H16" s="8" t="str">
        <f>"protected $table = '"&amp;[Table]&amp;"';"</f>
        <v>protected $table = '__resource_form_field_options';</v>
      </c>
      <c r="I16" s="8" t="str">
        <f>"php artisan make:seed "&amp;[Class Name]&amp;"TableSeeder"</f>
        <v>php artisan make:seed ResourceFormFieldOptionTableSeeder</v>
      </c>
      <c r="J16" s="8" t="str">
        <f>[Class Name]&amp;"TableSeeder"&amp;"::class,"</f>
        <v>ResourceFormFieldOptionTableSeeder::class,</v>
      </c>
    </row>
    <row r="17" spans="1:10">
      <c r="A17" s="2" t="s">
        <v>539</v>
      </c>
      <c r="B17" s="8" t="str">
        <f>"__"&amp;[Name]</f>
        <v>__resource_form_field_depends</v>
      </c>
      <c r="C17" s="8" t="str">
        <f>IF(RIGHT([Name],3)="ies",MID([Name],1,LEN([Name])-3)&amp;"y",IF(RIGHT([Name],1)="s",MID([Name],1,LEN([Name])-1),[Name]))</f>
        <v>resource_form_field_depend</v>
      </c>
      <c r="D17" s="8" t="str">
        <f t="shared" si="1"/>
        <v>Milestone\Appframe\Model</v>
      </c>
      <c r="E17" s="8" t="str">
        <f>SUBSTITUTE(PROPER([Singular Name]),"_","")</f>
        <v>ResourceFormFieldDepend</v>
      </c>
      <c r="F17" s="8" t="str">
        <f>"php artisan make:migration create_"&amp;[Table]&amp;"_table --create=__"&amp;[Name]</f>
        <v>php artisan make:migration create___resource_form_field_depends_table --create=__resource_form_field_depends</v>
      </c>
      <c r="G17" s="8" t="str">
        <f>"php artisan make:model "&amp;[Class Name]</f>
        <v>php artisan make:model ResourceFormFieldDepend</v>
      </c>
      <c r="H17" s="8" t="str">
        <f>"protected $table = '"&amp;[Table]&amp;"';"</f>
        <v>protected $table = '__resource_form_field_depends';</v>
      </c>
      <c r="I17" s="8" t="str">
        <f>"php artisan make:seed "&amp;[Class Name]&amp;"TableSeeder"</f>
        <v>php artisan make:seed ResourceFormFieldDependTableSeeder</v>
      </c>
      <c r="J17" s="8" t="str">
        <f>[Class Name]&amp;"TableSeeder"&amp;"::class,"</f>
        <v>ResourceFormFieldDependTableSeeder::class,</v>
      </c>
    </row>
    <row r="18" spans="1:10">
      <c r="A18" s="2" t="s">
        <v>638</v>
      </c>
      <c r="B18" s="8" t="str">
        <f>"__"&amp;[Name]</f>
        <v>__resource_form_field_dynamic</v>
      </c>
      <c r="C18" s="8" t="str">
        <f>IF(RIGHT([Name],3)="ies",MID([Name],1,LEN([Name])-3)&amp;"y",IF(RIGHT([Name],1)="s",MID([Name],1,LEN([Name])-1),[Name]))</f>
        <v>resource_form_field_dynamic</v>
      </c>
      <c r="D18" s="8" t="str">
        <f t="shared" si="1"/>
        <v>Milestone\Appframe\Model</v>
      </c>
      <c r="E18" s="8" t="str">
        <f>SUBSTITUTE(PROPER([Singular Name]),"_","")</f>
        <v>ResourceFormFieldDynamic</v>
      </c>
      <c r="F18" s="8" t="str">
        <f>"php artisan make:migration create_"&amp;[Table]&amp;"_table --create=__"&amp;[Name]</f>
        <v>php artisan make:migration create___resource_form_field_dynamic_table --create=__resource_form_field_dynamic</v>
      </c>
      <c r="G18" s="8" t="str">
        <f>"php artisan make:model "&amp;[Class Name]</f>
        <v>php artisan make:model ResourceFormFieldDynamic</v>
      </c>
      <c r="H18" s="8" t="str">
        <f>"protected $table = '"&amp;[Table]&amp;"';"</f>
        <v>protected $table = '__resource_form_field_dynamic';</v>
      </c>
      <c r="I18" s="8" t="str">
        <f>"php artisan make:seed "&amp;[Class Name]&amp;"TableSeeder"</f>
        <v>php artisan make:seed ResourceFormFieldDynamicTableSeeder</v>
      </c>
      <c r="J18" s="8" t="str">
        <f>[Class Name]&amp;"TableSeeder"&amp;"::class,"</f>
        <v>ResourceFormFieldDynamicTableSeeder::class,</v>
      </c>
    </row>
    <row r="19" spans="1:10">
      <c r="A19" s="2" t="s">
        <v>470</v>
      </c>
      <c r="B19" s="8" t="str">
        <f>"__"&amp;[Name]</f>
        <v>__resource_form_layout</v>
      </c>
      <c r="C19" s="8" t="str">
        <f>IF(RIGHT([Name],3)="ies",MID([Name],1,LEN([Name])-3)&amp;"y",IF(RIGHT([Name],1)="s",MID([Name],1,LEN([Name])-1),[Name]))</f>
        <v>resource_form_layout</v>
      </c>
      <c r="D19" s="8" t="str">
        <f t="shared" si="1"/>
        <v>Milestone\Appframe\Model</v>
      </c>
      <c r="E19" s="8" t="str">
        <f>SUBSTITUTE(PROPER([Singular Name]),"_","")</f>
        <v>ResourceFormLayout</v>
      </c>
      <c r="F19" s="8" t="str">
        <f>"php artisan make:migration create_"&amp;[Table]&amp;"_table --create=__"&amp;[Name]</f>
        <v>php artisan make:migration create___resource_form_layout_table --create=__resource_form_layout</v>
      </c>
      <c r="G19" s="8" t="str">
        <f>"php artisan make:model "&amp;[Class Name]</f>
        <v>php artisan make:model ResourceFormLayout</v>
      </c>
      <c r="H19" s="8" t="str">
        <f>"protected $table = '"&amp;[Table]&amp;"';"</f>
        <v>protected $table = '__resource_form_layout';</v>
      </c>
      <c r="I19" s="8" t="str">
        <f>"php artisan make:seed "&amp;[Class Name]&amp;"TableSeeder"</f>
        <v>php artisan make:seed ResourceFormLayoutTableSeeder</v>
      </c>
      <c r="J19" s="8" t="str">
        <f>[Class Name]&amp;"TableSeeder"&amp;"::class,"</f>
        <v>ResourceFormLayoutTableSeeder::class,</v>
      </c>
    </row>
    <row r="20" spans="1:10">
      <c r="A20" s="2" t="s">
        <v>508</v>
      </c>
      <c r="B20" s="8" t="str">
        <f>"__"&amp;[Name]</f>
        <v>__resource_form_collection</v>
      </c>
      <c r="C20" s="8" t="str">
        <f>IF(RIGHT([Name],3)="ies",MID([Name],1,LEN([Name])-3)&amp;"y",IF(RIGHT([Name],1)="s",MID([Name],1,LEN([Name])-1),[Name]))</f>
        <v>resource_form_collection</v>
      </c>
      <c r="D20" s="8" t="str">
        <f t="shared" si="1"/>
        <v>Milestone\Appframe\Model</v>
      </c>
      <c r="E20" s="8" t="str">
        <f>SUBSTITUTE(PROPER([Singular Name]),"_","")</f>
        <v>ResourceFormCollection</v>
      </c>
      <c r="F20" s="8" t="str">
        <f>"php artisan make:migration create_"&amp;[Table]&amp;"_table --create=__"&amp;[Name]</f>
        <v>php artisan make:migration create___resource_form_collection_table --create=__resource_form_collection</v>
      </c>
      <c r="G20" s="8" t="str">
        <f>"php artisan make:model "&amp;[Class Name]</f>
        <v>php artisan make:model ResourceFormCollection</v>
      </c>
      <c r="H20" s="8" t="str">
        <f>"protected $table = '"&amp;[Table]&amp;"';"</f>
        <v>protected $table = '__resource_form_collection';</v>
      </c>
      <c r="I20" s="8" t="str">
        <f>"php artisan make:seed "&amp;[Class Name]&amp;"TableSeeder"</f>
        <v>php artisan make:seed ResourceFormCollectionTableSeeder</v>
      </c>
      <c r="J20" s="8" t="str">
        <f>[Class Name]&amp;"TableSeeder"&amp;"::class,"</f>
        <v>ResourceFormCollectionTableSeeder::class,</v>
      </c>
    </row>
    <row r="21" spans="1:10">
      <c r="A21" s="2" t="s">
        <v>727</v>
      </c>
      <c r="B21" s="8" t="str">
        <f>"__"&amp;[Name]</f>
        <v>__resource_form_upload</v>
      </c>
      <c r="C21" s="8" t="str">
        <f>IF(RIGHT([Name],3)="ies",MID([Name],1,LEN([Name])-3)&amp;"y",IF(RIGHT([Name],1)="s",MID([Name],1,LEN([Name])-1),[Name]))</f>
        <v>resource_form_upload</v>
      </c>
      <c r="D21" s="8" t="str">
        <f t="shared" si="1"/>
        <v>Milestone\Appframe\Model</v>
      </c>
      <c r="E21" s="8" t="str">
        <f>SUBSTITUTE(PROPER([Singular Name]),"_","")</f>
        <v>ResourceFormUpload</v>
      </c>
      <c r="F21" s="8" t="str">
        <f>"php artisan make:migration create_"&amp;[Table]&amp;"_table --create=__"&amp;[Name]</f>
        <v>php artisan make:migration create___resource_form_upload_table --create=__resource_form_upload</v>
      </c>
      <c r="G21" s="8" t="str">
        <f>"php artisan make:model "&amp;[Class Name]</f>
        <v>php artisan make:model ResourceFormUpload</v>
      </c>
      <c r="H21" s="8" t="str">
        <f>"protected $table = '"&amp;[Table]&amp;"';"</f>
        <v>protected $table = '__resource_form_upload';</v>
      </c>
      <c r="I21" s="8" t="str">
        <f>"php artisan make:seed "&amp;[Class Name]&amp;"TableSeeder"</f>
        <v>php artisan make:seed ResourceFormUploadTableSeeder</v>
      </c>
      <c r="J21" s="8" t="str">
        <f>[Class Name]&amp;"TableSeeder"&amp;"::class,"</f>
        <v>ResourceFormUploadTableSeeder::class,</v>
      </c>
    </row>
    <row r="22" spans="1:10">
      <c r="A22" s="2" t="s">
        <v>147</v>
      </c>
      <c r="B22" s="9" t="str">
        <f>"__"&amp;[Name]</f>
        <v>__resource_form_defaults</v>
      </c>
      <c r="C22" s="9" t="str">
        <f>IF(RIGHT([Name],3)="ies",MID([Name],1,LEN([Name])-3)&amp;"y",IF(RIGHT([Name],1)="s",MID([Name],1,LEN([Name])-1),[Name]))</f>
        <v>resource_form_default</v>
      </c>
      <c r="D22" s="9" t="str">
        <f t="shared" si="0"/>
        <v>Milestone\Appframe\Model</v>
      </c>
      <c r="E22" s="8" t="str">
        <f>SUBSTITUTE(PROPER([Singular Name]),"_","")</f>
        <v>ResourceFormDefault</v>
      </c>
      <c r="F22" s="8" t="str">
        <f>"php artisan make:migration create_"&amp;[Table]&amp;"_table --create=__"&amp;[Name]</f>
        <v>php artisan make:migration create___resource_form_defaults_table --create=__resource_form_defaults</v>
      </c>
      <c r="G22" s="8" t="str">
        <f>"php artisan make:model "&amp;[Class Name]</f>
        <v>php artisan make:model ResourceFormDefault</v>
      </c>
      <c r="H22" s="8" t="str">
        <f>"protected $table = '"&amp;[Table]&amp;"';"</f>
        <v>protected $table = '__resource_form_defaults';</v>
      </c>
      <c r="I22" s="8" t="str">
        <f>"php artisan make:seed "&amp;[Class Name]&amp;"TableSeeder"</f>
        <v>php artisan make:seed ResourceFormDefaultTableSeeder</v>
      </c>
      <c r="J22" s="8" t="str">
        <f>[Class Name]&amp;"TableSeeder"&amp;"::class,"</f>
        <v>ResourceFormDefaultTableSeeder::class,</v>
      </c>
    </row>
    <row r="23" spans="1:10">
      <c r="A23" s="2" t="s">
        <v>5</v>
      </c>
      <c r="B23" s="9" t="str">
        <f>"__"&amp;[Name]</f>
        <v>__resource_lists</v>
      </c>
      <c r="C23" s="9" t="str">
        <f>IF(RIGHT([Name],3)="ies",MID([Name],1,LEN([Name])-3)&amp;"y",IF(RIGHT([Name],1)="s",MID([Name],1,LEN([Name])-1),[Name]))</f>
        <v>resource_list</v>
      </c>
      <c r="D23" s="9" t="str">
        <f t="shared" si="0"/>
        <v>Milestone\Appframe\Model</v>
      </c>
      <c r="E23" s="8" t="str">
        <f>SUBSTITUTE(PROPER([Singular Name]),"_","")</f>
        <v>ResourceList</v>
      </c>
      <c r="F23" s="8" t="str">
        <f>"php artisan make:migration create_"&amp;[Table]&amp;"_table --create=__"&amp;[Name]</f>
        <v>php artisan make:migration create___resource_lists_table --create=__resource_lists</v>
      </c>
      <c r="G23" s="8" t="str">
        <f>"php artisan make:model "&amp;[Class Name]</f>
        <v>php artisan make:model ResourceList</v>
      </c>
      <c r="H23" s="8" t="str">
        <f>"protected $table = '"&amp;[Table]&amp;"';"</f>
        <v>protected $table = '__resource_lists';</v>
      </c>
      <c r="I23" s="8" t="str">
        <f>"php artisan make:seed "&amp;[Class Name]&amp;"TableSeeder"</f>
        <v>php artisan make:seed ResourceListTableSeeder</v>
      </c>
      <c r="J23" s="8" t="str">
        <f>[Class Name]&amp;"TableSeeder"&amp;"::class,"</f>
        <v>ResourceListTableSeeder::class,</v>
      </c>
    </row>
    <row r="24" spans="1:10">
      <c r="A24" s="4" t="s">
        <v>10</v>
      </c>
      <c r="B24" s="7" t="str">
        <f>"__"&amp;[Name]</f>
        <v>__resource_list_relations</v>
      </c>
      <c r="C24" s="7" t="str">
        <f>IF(RIGHT([Name],3)="ies",MID([Name],1,LEN([Name])-3)&amp;"y",IF(RIGHT([Name],1)="s",MID([Name],1,LEN([Name])-1),[Name]))</f>
        <v>resource_list_relation</v>
      </c>
      <c r="D24" s="7" t="str">
        <f>"Milestone\Appframe\Model"</f>
        <v>Milestone\Appframe\Model</v>
      </c>
      <c r="E24" s="8" t="str">
        <f>SUBSTITUTE(PROPER([Singular Name]),"_","")</f>
        <v>ResourceListRelation</v>
      </c>
      <c r="F24" s="8" t="str">
        <f>"php artisan make:migration create_"&amp;[Table]&amp;"_table --create=__"&amp;[Name]</f>
        <v>php artisan make:migration create___resource_list_relations_table --create=__resource_list_relations</v>
      </c>
      <c r="G24" s="8" t="str">
        <f>"php artisan make:model "&amp;[Class Name]</f>
        <v>php artisan make:model ResourceListRelation</v>
      </c>
      <c r="H24" s="8" t="str">
        <f>"protected $table = '"&amp;[Table]&amp;"';"</f>
        <v>protected $table = '__resource_list_relations';</v>
      </c>
      <c r="I24" s="8" t="str">
        <f>"php artisan make:seed "&amp;[Class Name]&amp;"TableSeeder"</f>
        <v>php artisan make:seed ResourceListRelationTableSeeder</v>
      </c>
      <c r="J24" s="8" t="str">
        <f>[Class Name]&amp;"TableSeeder"&amp;"::class,"</f>
        <v>ResourceListRelationTableSeeder::class,</v>
      </c>
    </row>
    <row r="25" spans="1:10">
      <c r="A25" s="4" t="s">
        <v>11</v>
      </c>
      <c r="B25" s="7" t="str">
        <f>"__"&amp;[Name]</f>
        <v>__resource_list_scopes</v>
      </c>
      <c r="C25" s="7" t="str">
        <f>IF(RIGHT([Name],3)="ies",MID([Name],1,LEN([Name])-3)&amp;"y",IF(RIGHT([Name],1)="s",MID([Name],1,LEN([Name])-1),[Name]))</f>
        <v>resource_list_scope</v>
      </c>
      <c r="D25" s="7" t="str">
        <f>"Milestone\Appframe\Model"</f>
        <v>Milestone\Appframe\Model</v>
      </c>
      <c r="E25" s="8" t="str">
        <f>SUBSTITUTE(PROPER([Singular Name]),"_","")</f>
        <v>ResourceListScope</v>
      </c>
      <c r="F25" s="8" t="str">
        <f>"php artisan make:migration create_"&amp;[Table]&amp;"_table --create=__"&amp;[Name]</f>
        <v>php artisan make:migration create___resource_list_scopes_table --create=__resource_list_scopes</v>
      </c>
      <c r="G25" s="8" t="str">
        <f>"php artisan make:model "&amp;[Class Name]</f>
        <v>php artisan make:model ResourceListScope</v>
      </c>
      <c r="H25" s="8" t="str">
        <f>"protected $table = '"&amp;[Table]&amp;"';"</f>
        <v>protected $table = '__resource_list_scopes';</v>
      </c>
      <c r="I25" s="8" t="str">
        <f>"php artisan make:seed "&amp;[Class Name]&amp;"TableSeeder"</f>
        <v>php artisan make:seed ResourceListScopeTableSeeder</v>
      </c>
      <c r="J25" s="8" t="str">
        <f>[Class Name]&amp;"TableSeeder"&amp;"::class,"</f>
        <v>ResourceListScopeTableSeeder::class,</v>
      </c>
    </row>
    <row r="26" spans="1:10">
      <c r="A26" s="4" t="s">
        <v>441</v>
      </c>
      <c r="B26" s="7" t="str">
        <f>"__"&amp;[Name]</f>
        <v>__resource_list_layout</v>
      </c>
      <c r="C26" s="7" t="str">
        <f>IF(RIGHT([Name],3)="ies",MID([Name],1,LEN([Name])-3)&amp;"y",IF(RIGHT([Name],1)="s",MID([Name],1,LEN([Name])-1),[Name]))</f>
        <v>resource_list_layout</v>
      </c>
      <c r="D26" s="7" t="str">
        <f>"Milestone\Appframe\Model"</f>
        <v>Milestone\Appframe\Model</v>
      </c>
      <c r="E26" s="8" t="str">
        <f>SUBSTITUTE(PROPER([Singular Name]),"_","")</f>
        <v>ResourceListLayout</v>
      </c>
      <c r="F26" s="8" t="str">
        <f>"php artisan make:migration create_"&amp;[Table]&amp;"_table --create=__"&amp;[Name]</f>
        <v>php artisan make:migration create___resource_list_layout_table --create=__resource_list_layout</v>
      </c>
      <c r="G26" s="8" t="str">
        <f>"php artisan make:model "&amp;[Class Name]</f>
        <v>php artisan make:model ResourceListLayout</v>
      </c>
      <c r="H26" s="8" t="str">
        <f>"protected $table = '"&amp;[Table]&amp;"';"</f>
        <v>protected $table = '__resource_list_layout';</v>
      </c>
      <c r="I26" s="8" t="str">
        <f>"php artisan make:seed "&amp;[Class Name]&amp;"TableSeeder"</f>
        <v>php artisan make:seed ResourceListLayoutTableSeeder</v>
      </c>
      <c r="J26" s="8" t="str">
        <f>[Class Name]&amp;"TableSeeder"&amp;"::class,"</f>
        <v>ResourceListLayoutTableSeeder::class,</v>
      </c>
    </row>
    <row r="27" spans="1:10">
      <c r="A27" s="4" t="s">
        <v>532</v>
      </c>
      <c r="B27" s="7" t="str">
        <f>"__"&amp;[Name]</f>
        <v>__resource_list_search</v>
      </c>
      <c r="C27" s="7" t="str">
        <f>IF(RIGHT([Name],3)="ies",MID([Name],1,LEN([Name])-3)&amp;"y",IF(RIGHT([Name],1)="s",MID([Name],1,LEN([Name])-1),[Name]))</f>
        <v>resource_list_search</v>
      </c>
      <c r="D27" s="7" t="str">
        <f>"Milestone\Appframe\Model"</f>
        <v>Milestone\Appframe\Model</v>
      </c>
      <c r="E27" s="8" t="str">
        <f>SUBSTITUTE(PROPER([Singular Name]),"_","")</f>
        <v>ResourceListSearch</v>
      </c>
      <c r="F27" s="8" t="str">
        <f>"php artisan make:migration create_"&amp;[Table]&amp;"_table --create=__"&amp;[Name]</f>
        <v>php artisan make:migration create___resource_list_search_table --create=__resource_list_search</v>
      </c>
      <c r="G27" s="8" t="str">
        <f>"php artisan make:model "&amp;[Class Name]</f>
        <v>php artisan make:model ResourceListSearch</v>
      </c>
      <c r="H27" s="8" t="str">
        <f>"protected $table = '"&amp;[Table]&amp;"';"</f>
        <v>protected $table = '__resource_list_search';</v>
      </c>
      <c r="I27" s="8" t="str">
        <f>"php artisan make:seed "&amp;[Class Name]&amp;"TableSeeder"</f>
        <v>php artisan make:seed ResourceListSearchTableSeeder</v>
      </c>
      <c r="J27" s="8" t="str">
        <f>[Class Name]&amp;"TableSeeder"&amp;"::class,"</f>
        <v>ResourceListSearchTableSeeder::class,</v>
      </c>
    </row>
    <row r="28" spans="1:10">
      <c r="A28" s="2" t="s">
        <v>4</v>
      </c>
      <c r="B28" s="9" t="str">
        <f>"__"&amp;[Name]</f>
        <v>__resource_data</v>
      </c>
      <c r="C28" s="9" t="str">
        <f>IF(RIGHT([Name],3)="ies",MID([Name],1,LEN([Name])-3)&amp;"y",IF(RIGHT([Name],1)="s",MID([Name],1,LEN([Name])-1),[Name]))</f>
        <v>resource_data</v>
      </c>
      <c r="D28" s="9" t="str">
        <f t="shared" si="0"/>
        <v>Milestone\Appframe\Model</v>
      </c>
      <c r="E28" s="8" t="str">
        <f>SUBSTITUTE(PROPER([Singular Name]),"_","")</f>
        <v>ResourceData</v>
      </c>
      <c r="F28" s="8" t="str">
        <f>"php artisan make:migration create_"&amp;[Table]&amp;"_table --create=__"&amp;[Name]</f>
        <v>php artisan make:migration create___resource_data_table --create=__resource_data</v>
      </c>
      <c r="G28" s="8" t="str">
        <f>"php artisan make:model "&amp;[Class Name]</f>
        <v>php artisan make:model ResourceData</v>
      </c>
      <c r="H28" s="8" t="str">
        <f>"protected $table = '"&amp;[Table]&amp;"';"</f>
        <v>protected $table = '__resource_data';</v>
      </c>
      <c r="I28" s="8" t="str">
        <f>"php artisan make:seed "&amp;[Class Name]&amp;"TableSeeder"</f>
        <v>php artisan make:seed ResourceDataTableSeeder</v>
      </c>
      <c r="J28" s="8" t="str">
        <f>[Class Name]&amp;"TableSeeder"&amp;"::class,"</f>
        <v>ResourceDataTableSeeder::class,</v>
      </c>
    </row>
    <row r="29" spans="1:10">
      <c r="A29" s="4" t="s">
        <v>9</v>
      </c>
      <c r="B29" s="7" t="str">
        <f>"__"&amp;[Name]</f>
        <v>__resource_data_relations</v>
      </c>
      <c r="C29" s="7" t="str">
        <f>IF(RIGHT([Name],3)="ies",MID([Name],1,LEN([Name])-3)&amp;"y",IF(RIGHT([Name],1)="s",MID([Name],1,LEN([Name])-1),[Name]))</f>
        <v>resource_data_relation</v>
      </c>
      <c r="D29" s="7" t="str">
        <f t="shared" si="0"/>
        <v>Milestone\Appframe\Model</v>
      </c>
      <c r="E29" s="8" t="str">
        <f>SUBSTITUTE(PROPER([Singular Name]),"_","")</f>
        <v>ResourceDataRelation</v>
      </c>
      <c r="F29" s="8" t="str">
        <f>"php artisan make:migration create_"&amp;[Table]&amp;"_table --create=__"&amp;[Name]</f>
        <v>php artisan make:migration create___resource_data_relations_table --create=__resource_data_relations</v>
      </c>
      <c r="G29" s="8" t="str">
        <f>"php artisan make:model "&amp;[Class Name]</f>
        <v>php artisan make:model ResourceDataRelation</v>
      </c>
      <c r="H29" s="8" t="str">
        <f>"protected $table = '"&amp;[Table]&amp;"';"</f>
        <v>protected $table = '__resource_data_relations';</v>
      </c>
      <c r="I29" s="8" t="str">
        <f>"php artisan make:seed "&amp;[Class Name]&amp;"TableSeeder"</f>
        <v>php artisan make:seed ResourceDataRelationTableSeeder</v>
      </c>
      <c r="J29" s="8" t="str">
        <f>[Class Name]&amp;"TableSeeder"&amp;"::class,"</f>
        <v>ResourceDataRelationTableSeeder::class,</v>
      </c>
    </row>
    <row r="30" spans="1:10">
      <c r="A30" s="4" t="s">
        <v>448</v>
      </c>
      <c r="B30" s="7" t="str">
        <f>"__"&amp;[Name]</f>
        <v>__resource_data_scopes</v>
      </c>
      <c r="C30" s="7" t="str">
        <f>IF(RIGHT([Name],3)="ies",MID([Name],1,LEN([Name])-3)&amp;"y",IF(RIGHT([Name],1)="s",MID([Name],1,LEN([Name])-1),[Name]))</f>
        <v>resource_data_scope</v>
      </c>
      <c r="D30" s="7" t="str">
        <f>"Milestone\Appframe\Model"</f>
        <v>Milestone\Appframe\Model</v>
      </c>
      <c r="E30" s="8" t="str">
        <f>SUBSTITUTE(PROPER([Singular Name]),"_","")</f>
        <v>ResourceDataScope</v>
      </c>
      <c r="F30" s="8" t="str">
        <f>"php artisan make:migration create_"&amp;[Table]&amp;"_table --create=__"&amp;[Name]</f>
        <v>php artisan make:migration create___resource_data_scopes_table --create=__resource_data_scopes</v>
      </c>
      <c r="G30" s="8" t="str">
        <f>"php artisan make:model "&amp;[Class Name]</f>
        <v>php artisan make:model ResourceDataScope</v>
      </c>
      <c r="H30" s="8" t="str">
        <f>"protected $table = '"&amp;[Table]&amp;"';"</f>
        <v>protected $table = '__resource_data_scopes';</v>
      </c>
      <c r="I30" s="8" t="str">
        <f>"php artisan make:seed "&amp;[Class Name]&amp;"TableSeeder"</f>
        <v>php artisan make:seed ResourceDataScopeTableSeeder</v>
      </c>
      <c r="J30" s="8" t="str">
        <f>[Class Name]&amp;"TableSeeder"&amp;"::class,"</f>
        <v>ResourceDataScopeTableSeeder::class,</v>
      </c>
    </row>
    <row r="31" spans="1:10">
      <c r="A31" s="4" t="s">
        <v>479</v>
      </c>
      <c r="B31" s="7" t="str">
        <f>"__"&amp;[Name]</f>
        <v>__resource_data_view_sections</v>
      </c>
      <c r="C31" s="7" t="str">
        <f>IF(RIGHT([Name],3)="ies",MID([Name],1,LEN([Name])-3)&amp;"y",IF(RIGHT([Name],1)="s",MID([Name],1,LEN([Name])-1),[Name]))</f>
        <v>resource_data_view_section</v>
      </c>
      <c r="D31" s="7" t="str">
        <f>"Milestone\Appframe\Model"</f>
        <v>Milestone\Appframe\Model</v>
      </c>
      <c r="E31" s="8" t="str">
        <f>SUBSTITUTE(PROPER([Singular Name]),"_","")</f>
        <v>ResourceDataViewSection</v>
      </c>
      <c r="F31" s="8" t="str">
        <f>"php artisan make:migration create_"&amp;[Table]&amp;"_table --create=__"&amp;[Name]</f>
        <v>php artisan make:migration create___resource_data_view_sections_table --create=__resource_data_view_sections</v>
      </c>
      <c r="G31" s="8" t="str">
        <f>"php artisan make:model "&amp;[Class Name]</f>
        <v>php artisan make:model ResourceDataViewSection</v>
      </c>
      <c r="H31" s="8" t="str">
        <f>"protected $table = '"&amp;[Table]&amp;"';"</f>
        <v>protected $table = '__resource_data_view_sections';</v>
      </c>
      <c r="I31" s="8" t="str">
        <f>"php artisan make:seed "&amp;[Class Name]&amp;"TableSeeder"</f>
        <v>php artisan make:seed ResourceDataViewSectionTableSeeder</v>
      </c>
      <c r="J31" s="8" t="str">
        <f>[Class Name]&amp;"TableSeeder"&amp;"::class,"</f>
        <v>ResourceDataViewSectionTableSeeder::class,</v>
      </c>
    </row>
    <row r="32" spans="1:10">
      <c r="A32" s="4" t="s">
        <v>480</v>
      </c>
      <c r="B32" s="7" t="str">
        <f>"__"&amp;[Name]</f>
        <v>__resource_data_view_section_items</v>
      </c>
      <c r="C32" s="7" t="str">
        <f>IF(RIGHT([Name],3)="ies",MID([Name],1,LEN([Name])-3)&amp;"y",IF(RIGHT([Name],1)="s",MID([Name],1,LEN([Name])-1),[Name]))</f>
        <v>resource_data_view_section_item</v>
      </c>
      <c r="D32" s="7" t="str">
        <f>"Milestone\Appframe\Model"</f>
        <v>Milestone\Appframe\Model</v>
      </c>
      <c r="E32" s="8" t="str">
        <f>SUBSTITUTE(PROPER([Singular Name]),"_","")</f>
        <v>ResourceDataViewSectionItem</v>
      </c>
      <c r="F32" s="8" t="str">
        <f>"php artisan make:migration create_"&amp;[Table]&amp;"_table --create=__"&amp;[Name]</f>
        <v>php artisan make:migration create___resource_data_view_section_items_table --create=__resource_data_view_section_items</v>
      </c>
      <c r="G32" s="8" t="str">
        <f>"php artisan make:model "&amp;[Class Name]</f>
        <v>php artisan make:model ResourceDataViewSectionItem</v>
      </c>
      <c r="H32" s="8" t="str">
        <f>"protected $table = '"&amp;[Table]&amp;"';"</f>
        <v>protected $table = '__resource_data_view_section_items';</v>
      </c>
      <c r="I32" s="8" t="str">
        <f>"php artisan make:seed "&amp;[Class Name]&amp;"TableSeeder"</f>
        <v>php artisan make:seed ResourceDataViewSectionItemTableSeeder</v>
      </c>
      <c r="J32" s="8" t="str">
        <f>[Class Name]&amp;"TableSeeder"&amp;"::class,"</f>
        <v>ResourceDataViewSectionItemTableSeeder::class,</v>
      </c>
    </row>
    <row r="33" spans="1:10">
      <c r="A33" s="2" t="s">
        <v>8</v>
      </c>
      <c r="B33" s="9" t="str">
        <f>"__"&amp;[Name]</f>
        <v>__resource_actions</v>
      </c>
      <c r="C33" s="9" t="str">
        <f>IF(RIGHT([Name],3)="ies",MID([Name],1,LEN([Name])-3)&amp;"y",IF(RIGHT([Name],1)="s",MID([Name],1,LEN([Name])-1),[Name]))</f>
        <v>resource_action</v>
      </c>
      <c r="D33" s="9" t="str">
        <f t="shared" si="0"/>
        <v>Milestone\Appframe\Model</v>
      </c>
      <c r="E33" s="8" t="str">
        <f>SUBSTITUTE(PROPER([Singular Name]),"_","")</f>
        <v>ResourceAction</v>
      </c>
      <c r="F33" s="8" t="str">
        <f>"php artisan make:migration create_"&amp;[Table]&amp;"_table --create=__"&amp;[Name]</f>
        <v>php artisan make:migration create___resource_actions_table --create=__resource_actions</v>
      </c>
      <c r="G33" s="8" t="str">
        <f>"php artisan make:model "&amp;[Class Name]</f>
        <v>php artisan make:model ResourceAction</v>
      </c>
      <c r="H33" s="8" t="str">
        <f>"protected $table = '"&amp;[Table]&amp;"';"</f>
        <v>protected $table = '__resource_actions';</v>
      </c>
      <c r="I33" s="8" t="str">
        <f>"php artisan make:seed "&amp;[Class Name]&amp;"TableSeeder"</f>
        <v>php artisan make:seed ResourceActionTableSeeder</v>
      </c>
      <c r="J33" s="8" t="str">
        <f>[Class Name]&amp;"TableSeeder"&amp;"::class,"</f>
        <v>ResourceActionTableSeeder::class,</v>
      </c>
    </row>
    <row r="34" spans="1:10">
      <c r="A34" s="2" t="s">
        <v>99</v>
      </c>
      <c r="B34" s="7" t="str">
        <f>"__"&amp;[Name]</f>
        <v>__resource_action_attrs</v>
      </c>
      <c r="C34" s="7" t="str">
        <f>IF(RIGHT([Name],3)="ies",MID([Name],1,LEN([Name])-3)&amp;"y",IF(RIGHT([Name],1)="s",MID([Name],1,LEN([Name])-1),[Name]))</f>
        <v>resource_action_attr</v>
      </c>
      <c r="D34" s="7" t="str">
        <f t="shared" si="0"/>
        <v>Milestone\Appframe\Model</v>
      </c>
      <c r="E34" s="8" t="str">
        <f>SUBSTITUTE(PROPER([Singular Name]),"_","")</f>
        <v>ResourceActionAttr</v>
      </c>
      <c r="F34" s="8" t="str">
        <f>"php artisan make:migration create_"&amp;[Table]&amp;"_table --create=__"&amp;[Name]</f>
        <v>php artisan make:migration create___resource_action_attrs_table --create=__resource_action_attrs</v>
      </c>
      <c r="G34" s="8" t="str">
        <f>"php artisan make:model "&amp;[Class Name]</f>
        <v>php artisan make:model ResourceActionAttr</v>
      </c>
      <c r="H34" s="8" t="str">
        <f>"protected $table = '"&amp;[Table]&amp;"';"</f>
        <v>protected $table = '__resource_action_attrs';</v>
      </c>
      <c r="I34" s="8" t="str">
        <f>"php artisan make:seed "&amp;[Class Name]&amp;"TableSeeder"</f>
        <v>php artisan make:seed ResourceActionAttrTableSeeder</v>
      </c>
      <c r="J34" s="8" t="str">
        <f>[Class Name]&amp;"TableSeeder"&amp;"::class,"</f>
        <v>ResourceActionAttrTableSeeder::class,</v>
      </c>
    </row>
    <row r="35" spans="1:10">
      <c r="A35" s="2" t="s">
        <v>100</v>
      </c>
      <c r="B35" s="7" t="str">
        <f>"__"&amp;[Name]</f>
        <v>__resource_action_methods</v>
      </c>
      <c r="C35" s="7" t="str">
        <f>IF(RIGHT([Name],3)="ies",MID([Name],1,LEN([Name])-3)&amp;"y",IF(RIGHT([Name],1)="s",MID([Name],1,LEN([Name])-1),[Name]))</f>
        <v>resource_action_method</v>
      </c>
      <c r="D35" s="7" t="str">
        <f t="shared" si="0"/>
        <v>Milestone\Appframe\Model</v>
      </c>
      <c r="E35" s="8" t="str">
        <f>SUBSTITUTE(PROPER([Singular Name]),"_","")</f>
        <v>ResourceActionMethod</v>
      </c>
      <c r="F35" s="8" t="str">
        <f>"php artisan make:migration create_"&amp;[Table]&amp;"_table --create=__"&amp;[Name]</f>
        <v>php artisan make:migration create___resource_action_methods_table --create=__resource_action_methods</v>
      </c>
      <c r="G35" s="8" t="str">
        <f>"php artisan make:model "&amp;[Class Name]</f>
        <v>php artisan make:model ResourceActionMethod</v>
      </c>
      <c r="H35" s="8" t="str">
        <f>"protected $table = '"&amp;[Table]&amp;"';"</f>
        <v>protected $table = '__resource_action_methods';</v>
      </c>
      <c r="I35" s="8" t="str">
        <f>"php artisan make:seed "&amp;[Class Name]&amp;"TableSeeder"</f>
        <v>php artisan make:seed ResourceActionMethodTableSeeder</v>
      </c>
      <c r="J35" s="8" t="str">
        <f>[Class Name]&amp;"TableSeeder"&amp;"::class,"</f>
        <v>ResourceActionMethodTableSeeder::class,</v>
      </c>
    </row>
    <row r="36" spans="1:10">
      <c r="A36" s="4" t="s">
        <v>132</v>
      </c>
      <c r="B36" s="7" t="str">
        <f>"__"&amp;[Name]</f>
        <v>__resource_action_lists</v>
      </c>
      <c r="C36" s="7" t="str">
        <f>IF(RIGHT([Name],3)="ies",MID([Name],1,LEN([Name])-3)&amp;"y",IF(RIGHT([Name],1)="s",MID([Name],1,LEN([Name])-1),[Name]))</f>
        <v>resource_action_list</v>
      </c>
      <c r="D36" s="7" t="str">
        <f>"Milestone\Appframe\Model"</f>
        <v>Milestone\Appframe\Model</v>
      </c>
      <c r="E36" s="8" t="str">
        <f>SUBSTITUTE(PROPER([Singular Name]),"_","")</f>
        <v>ResourceActionList</v>
      </c>
      <c r="F36" s="8" t="str">
        <f>"php artisan make:migration create_"&amp;[Table]&amp;"_table --create=__"&amp;[Name]</f>
        <v>php artisan make:migration create___resource_action_lists_table --create=__resource_action_lists</v>
      </c>
      <c r="G36" s="8" t="str">
        <f>"php artisan make:model "&amp;[Class Name]</f>
        <v>php artisan make:model ResourceActionList</v>
      </c>
      <c r="H36" s="8" t="str">
        <f>"protected $table = '"&amp;[Table]&amp;"';"</f>
        <v>protected $table = '__resource_action_lists';</v>
      </c>
      <c r="I36" s="8" t="str">
        <f>"php artisan make:seed "&amp;[Class Name]&amp;"TableSeeder"</f>
        <v>php artisan make:seed ResourceActionListTableSeeder</v>
      </c>
      <c r="J36" s="8" t="str">
        <f>[Class Name]&amp;"TableSeeder"&amp;"::class,"</f>
        <v>ResourceActionListTableSeeder::class,</v>
      </c>
    </row>
    <row r="37" spans="1:10">
      <c r="A37" s="4" t="s">
        <v>133</v>
      </c>
      <c r="B37" s="7" t="str">
        <f>"__"&amp;[Name]</f>
        <v>__resource_action_data</v>
      </c>
      <c r="C37" s="7" t="str">
        <f>IF(RIGHT([Name],3)="ies",MID([Name],1,LEN([Name])-3)&amp;"y",IF(RIGHT([Name],1)="s",MID([Name],1,LEN([Name])-1),[Name]))</f>
        <v>resource_action_data</v>
      </c>
      <c r="D37" s="7" t="str">
        <f>"Milestone\Appframe\Model"</f>
        <v>Milestone\Appframe\Model</v>
      </c>
      <c r="E37" s="8" t="str">
        <f>SUBSTITUTE(PROPER([Singular Name]),"_","")</f>
        <v>ResourceActionData</v>
      </c>
      <c r="F37" s="8" t="str">
        <f>"php artisan make:migration create_"&amp;[Table]&amp;"_table --create=__"&amp;[Name]</f>
        <v>php artisan make:migration create___resource_action_data_table --create=__resource_action_data</v>
      </c>
      <c r="G37" s="8" t="str">
        <f>"php artisan make:model "&amp;[Class Name]</f>
        <v>php artisan make:model ResourceActionData</v>
      </c>
      <c r="H37" s="8" t="str">
        <f>"protected $table = '"&amp;[Table]&amp;"';"</f>
        <v>protected $table = '__resource_action_data';</v>
      </c>
      <c r="I37" s="8" t="str">
        <f>"php artisan make:seed "&amp;[Class Name]&amp;"TableSeeder"</f>
        <v>php artisan make:seed ResourceActionDataTableSeeder</v>
      </c>
      <c r="J37" s="8" t="str">
        <f>[Class Name]&amp;"TableSeeder"&amp;"::class,"</f>
        <v>ResourceActionDataTableSeeder::class,</v>
      </c>
    </row>
    <row r="38" spans="1:10">
      <c r="A38" s="2" t="s">
        <v>7</v>
      </c>
      <c r="B38" s="9" t="str">
        <f>"__"&amp;[Name]</f>
        <v>__resource_defaults</v>
      </c>
      <c r="C38" s="9" t="str">
        <f>IF(RIGHT([Name],3)="ies",MID([Name],1,LEN([Name])-3)&amp;"y",IF(RIGHT([Name],1)="s",MID([Name],1,LEN([Name])-1),[Name]))</f>
        <v>resource_default</v>
      </c>
      <c r="D38" s="9" t="str">
        <f t="shared" si="0"/>
        <v>Milestone\Appframe\Model</v>
      </c>
      <c r="E38" s="8" t="str">
        <f>SUBSTITUTE(PROPER([Singular Name]),"_","")</f>
        <v>ResourceDefault</v>
      </c>
      <c r="F38" s="8" t="str">
        <f>"php artisan make:migration create_"&amp;[Table]&amp;"_table --create=__"&amp;[Name]</f>
        <v>php artisan make:migration create___resource_defaults_table --create=__resource_defaults</v>
      </c>
      <c r="G38" s="8" t="str">
        <f>"php artisan make:model "&amp;[Class Name]</f>
        <v>php artisan make:model ResourceDefault</v>
      </c>
      <c r="H38" s="8" t="str">
        <f>"protected $table = '"&amp;[Table]&amp;"';"</f>
        <v>protected $table = '__resource_defaults';</v>
      </c>
      <c r="I38" s="8" t="str">
        <f>"php artisan make:seed "&amp;[Class Name]&amp;"TableSeeder"</f>
        <v>php artisan make:seed ResourceDefaultTableSeeder</v>
      </c>
      <c r="J38" s="8" t="str">
        <f>[Class Name]&amp;"TableSeeder"&amp;"::class,"</f>
        <v>ResourceDefaultTableSeeder::class,</v>
      </c>
    </row>
    <row r="39" spans="1:10">
      <c r="A39" s="4" t="s">
        <v>562</v>
      </c>
      <c r="B39" s="9" t="str">
        <f>"__"&amp;[Name]</f>
        <v>__resource_metrics</v>
      </c>
      <c r="C39" s="7" t="str">
        <f>IF(RIGHT([Name],3)="ies",MID([Name],1,LEN([Name])-3)&amp;"y",IF(RIGHT([Name],1)="s",MID([Name],1,LEN([Name])-1),[Name]))</f>
        <v>resource_metric</v>
      </c>
      <c r="D39" s="7" t="str">
        <f t="shared" si="0"/>
        <v>Milestone\Appframe\Model</v>
      </c>
      <c r="E39" s="8" t="str">
        <f>SUBSTITUTE(PROPER([Singular Name]),"_","")</f>
        <v>ResourceMetric</v>
      </c>
      <c r="F39" s="8" t="str">
        <f>"php artisan make:migration create_"&amp;[Table]&amp;"_table --create=__"&amp;[Name]</f>
        <v>php artisan make:migration create___resource_metrics_table --create=__resource_metrics</v>
      </c>
      <c r="G39" s="8" t="str">
        <f>"php artisan make:model "&amp;[Class Name]</f>
        <v>php artisan make:model ResourceMetric</v>
      </c>
      <c r="H39" s="8" t="str">
        <f>"protected $table = '"&amp;[Table]&amp;"';"</f>
        <v>protected $table = '__resource_metrics';</v>
      </c>
      <c r="I39" s="8" t="str">
        <f>"php artisan make:seed "&amp;[Class Name]&amp;"TableSeeder"</f>
        <v>php artisan make:seed ResourceMetricTableSeeder</v>
      </c>
      <c r="J39" s="8" t="str">
        <f>[Class Name]&amp;"TableSeeder"&amp;"::class,"</f>
        <v>ResourceMetricTableSeeder::class,</v>
      </c>
    </row>
    <row r="40" spans="1:10">
      <c r="A40" s="4" t="s">
        <v>584</v>
      </c>
      <c r="B40" s="9" t="str">
        <f>"__"&amp;[Name]</f>
        <v>__resource_dashboard</v>
      </c>
      <c r="C40" s="9" t="str">
        <f>IF(RIGHT([Name],3)="ies",MID([Name],1,LEN([Name])-3)&amp;"y",IF(RIGHT([Name],1)="s",MID([Name],1,LEN([Name])-1),[Name]))</f>
        <v>resource_dashboard</v>
      </c>
      <c r="D40" s="9" t="str">
        <f t="shared" si="0"/>
        <v>Milestone\Appframe\Model</v>
      </c>
      <c r="E40" s="8" t="str">
        <f>SUBSTITUTE(PROPER([Singular Name]),"_","")</f>
        <v>ResourceDashboard</v>
      </c>
      <c r="F40" s="8" t="str">
        <f>"php artisan make:migration create_"&amp;[Table]&amp;"_table --create=__"&amp;[Name]</f>
        <v>php artisan make:migration create___resource_dashboard_table --create=__resource_dashboard</v>
      </c>
      <c r="G40" s="8" t="str">
        <f>"php artisan make:model "&amp;[Class Name]</f>
        <v>php artisan make:model ResourceDashboard</v>
      </c>
      <c r="H40" s="8" t="str">
        <f>"protected $table = '"&amp;[Table]&amp;"';"</f>
        <v>protected $table = '__resource_dashboard';</v>
      </c>
      <c r="I40" s="8" t="str">
        <f>"php artisan make:seed "&amp;[Class Name]&amp;"TableSeeder"</f>
        <v>php artisan make:seed ResourceDashboardTableSeeder</v>
      </c>
      <c r="J40" s="8" t="str">
        <f>[Class Name]&amp;"TableSeeder"&amp;"::class,"</f>
        <v>ResourceDashboardTableSeeder::class,</v>
      </c>
    </row>
    <row r="41" spans="1:10">
      <c r="A41" s="4" t="s">
        <v>585</v>
      </c>
      <c r="B41" s="9" t="str">
        <f>"__"&amp;[Name]</f>
        <v>__resource_dashboard_sections</v>
      </c>
      <c r="C41" s="9" t="str">
        <f>IF(RIGHT([Name],3)="ies",MID([Name],1,LEN([Name])-3)&amp;"y",IF(RIGHT([Name],1)="s",MID([Name],1,LEN([Name])-1),[Name]))</f>
        <v>resource_dashboard_section</v>
      </c>
      <c r="D41" s="9" t="str">
        <f t="shared" si="0"/>
        <v>Milestone\Appframe\Model</v>
      </c>
      <c r="E41" s="8" t="str">
        <f>SUBSTITUTE(PROPER([Singular Name]),"_","")</f>
        <v>ResourceDashboardSection</v>
      </c>
      <c r="F41" s="8" t="str">
        <f>"php artisan make:migration create_"&amp;[Table]&amp;"_table --create=__"&amp;[Name]</f>
        <v>php artisan make:migration create___resource_dashboard_sections_table --create=__resource_dashboard_sections</v>
      </c>
      <c r="G41" s="8" t="str">
        <f>"php artisan make:model "&amp;[Class Name]</f>
        <v>php artisan make:model ResourceDashboardSection</v>
      </c>
      <c r="H41" s="8" t="str">
        <f>"protected $table = '"&amp;[Table]&amp;"';"</f>
        <v>protected $table = '__resource_dashboard_sections';</v>
      </c>
      <c r="I41" s="8" t="str">
        <f>"php artisan make:seed "&amp;[Class Name]&amp;"TableSeeder"</f>
        <v>php artisan make:seed ResourceDashboardSectionTableSeeder</v>
      </c>
      <c r="J41" s="8" t="str">
        <f>[Class Name]&amp;"TableSeeder"&amp;"::class,"</f>
        <v>ResourceDashboardSectionTableSeeder::class,</v>
      </c>
    </row>
    <row r="42" spans="1:10">
      <c r="A42" s="4" t="s">
        <v>591</v>
      </c>
      <c r="B42" s="9" t="str">
        <f>"__"&amp;[Name]</f>
        <v>__resource_dashboard_section_items</v>
      </c>
      <c r="C42" s="9" t="str">
        <f>IF(RIGHT([Name],3)="ies",MID([Name],1,LEN([Name])-3)&amp;"y",IF(RIGHT([Name],1)="s",MID([Name],1,LEN([Name])-1),[Name]))</f>
        <v>resource_dashboard_section_item</v>
      </c>
      <c r="D42" s="9" t="str">
        <f t="shared" si="0"/>
        <v>Milestone\Appframe\Model</v>
      </c>
      <c r="E42" s="8" t="str">
        <f>SUBSTITUTE(PROPER([Singular Name]),"_","")</f>
        <v>ResourceDashboardSectionItem</v>
      </c>
      <c r="F42" s="8" t="str">
        <f>"php artisan make:migration create_"&amp;[Table]&amp;"_table --create=__"&amp;[Name]</f>
        <v>php artisan make:migration create___resource_dashboard_section_items_table --create=__resource_dashboard_section_items</v>
      </c>
      <c r="G42" s="8" t="str">
        <f>"php artisan make:model "&amp;[Class Name]</f>
        <v>php artisan make:model ResourceDashboardSectionItem</v>
      </c>
      <c r="H42" s="8" t="str">
        <f>"protected $table = '"&amp;[Table]&amp;"';"</f>
        <v>protected $table = '__resource_dashboard_section_items';</v>
      </c>
      <c r="I42" s="8" t="str">
        <f>"php artisan make:seed "&amp;[Class Name]&amp;"TableSeeder"</f>
        <v>php artisan make:seed ResourceDashboardSectionItemTableSeeder</v>
      </c>
      <c r="J42" s="8" t="str">
        <f>[Class Name]&amp;"TableSeeder"&amp;"::class,"</f>
        <v>ResourceDashboardSectionItemTableSeeder::class,</v>
      </c>
    </row>
    <row r="43" spans="1:10">
      <c r="A43" s="2" t="s">
        <v>184</v>
      </c>
      <c r="B43" s="9" t="str">
        <f>"__"&amp;[Name]</f>
        <v>__organisation</v>
      </c>
      <c r="C43" s="9" t="str">
        <f>IF(RIGHT([Name],3)="ies",MID([Name],1,LEN([Name])-3)&amp;"y",IF(RIGHT([Name],1)="s",MID([Name],1,LEN([Name])-1),[Name]))</f>
        <v>organisation</v>
      </c>
      <c r="D43" s="9" t="str">
        <f t="shared" si="0"/>
        <v>Milestone\Appframe\Model</v>
      </c>
      <c r="E43" s="9" t="str">
        <f>SUBSTITUTE(PROPER([Singular Name]),"_","")</f>
        <v>Organisation</v>
      </c>
      <c r="F43" s="9" t="str">
        <f>"php artisan make:migration create_"&amp;[Table]&amp;"_table --create=__"&amp;[Name]</f>
        <v>php artisan make:migration create___organisation_table --create=__organisation</v>
      </c>
      <c r="G43" s="9" t="str">
        <f>"php artisan make:model "&amp;[Class Name]</f>
        <v>php artisan make:model Organisation</v>
      </c>
      <c r="H43" s="9" t="str">
        <f>"protected $table = '"&amp;[Table]&amp;"';"</f>
        <v>protected $table = '__organisation';</v>
      </c>
      <c r="I43" s="9" t="str">
        <f>"php artisan make:seed "&amp;[Class Name]&amp;"TableSeeder"</f>
        <v>php artisan make:seed OrganisationTableSeeder</v>
      </c>
      <c r="J43" s="9" t="str">
        <f>[Class Name]&amp;"TableSeeder"&amp;"::class,"</f>
        <v>OrganisationTableSeeder::class,</v>
      </c>
    </row>
    <row r="44" spans="1:10">
      <c r="A44" s="2" t="s">
        <v>189</v>
      </c>
      <c r="B44" s="9" t="str">
        <f>"__"&amp;[Name]</f>
        <v>__organisation_contacts</v>
      </c>
      <c r="C44" s="9" t="str">
        <f>IF(RIGHT([Name],3)="ies",MID([Name],1,LEN([Name])-3)&amp;"y",IF(RIGHT([Name],1)="s",MID([Name],1,LEN([Name])-1),[Name]))</f>
        <v>organisation_contact</v>
      </c>
      <c r="D44" s="9" t="str">
        <f t="shared" si="0"/>
        <v>Milestone\Appframe\Model</v>
      </c>
      <c r="E44" s="9" t="str">
        <f>SUBSTITUTE(PROPER([Singular Name]),"_","")</f>
        <v>OrganisationContact</v>
      </c>
      <c r="F44" s="9" t="str">
        <f>"php artisan make:migration create_"&amp;[Table]&amp;"_table --create=__"&amp;[Name]</f>
        <v>php artisan make:migration create___organisation_contacts_table --create=__organisation_contacts</v>
      </c>
      <c r="G44" s="9" t="str">
        <f>"php artisan make:model "&amp;[Class Name]</f>
        <v>php artisan make:model OrganisationContact</v>
      </c>
      <c r="H44" s="9" t="str">
        <f>"protected $table = '"&amp;[Table]&amp;"';"</f>
        <v>protected $table = '__organisation_contacts';</v>
      </c>
      <c r="I44" s="9" t="str">
        <f>"php artisan make:seed "&amp;[Class Name]&amp;"TableSeeder"</f>
        <v>php artisan make:seed OrganisationContactTableSeeder</v>
      </c>
      <c r="J44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G42"/>
  <sheetViews>
    <sheetView topLeftCell="B28" workbookViewId="0">
      <selection activeCell="B43" sqref="B43"/>
    </sheetView>
  </sheetViews>
  <sheetFormatPr defaultRowHeight="15"/>
  <cols>
    <col min="1" max="1" width="15.7109375" customWidth="1"/>
    <col min="2" max="2" width="70.5703125" bestFit="1" customWidth="1"/>
    <col min="3" max="3" width="16.5703125" customWidth="1"/>
    <col min="4" max="4" width="12.42578125" customWidth="1"/>
    <col min="5" max="5" width="55.5703125" bestFit="1" customWidth="1"/>
    <col min="6" max="6" width="67.140625" customWidth="1"/>
    <col min="7" max="7" width="113.42578125" bestFit="1" customWidth="1"/>
  </cols>
  <sheetData>
    <row r="1" spans="1:7">
      <c r="A1" s="21" t="s">
        <v>239</v>
      </c>
      <c r="B1" s="21" t="s">
        <v>676</v>
      </c>
      <c r="C1" s="21" t="s">
        <v>677</v>
      </c>
      <c r="D1" s="21" t="s">
        <v>678</v>
      </c>
      <c r="E1" s="21" t="s">
        <v>679</v>
      </c>
      <c r="F1" s="21" t="s">
        <v>721</v>
      </c>
      <c r="G1" s="21" t="s">
        <v>722</v>
      </c>
    </row>
    <row r="2" spans="1:7">
      <c r="A2" s="3">
        <f>IFERROR($A1+1,1)</f>
        <v>1</v>
      </c>
      <c r="B2" s="1" t="s">
        <v>680</v>
      </c>
      <c r="C2" s="6" t="str">
        <f>LEFT([Filename],11)</f>
        <v>2018_10_31_</v>
      </c>
      <c r="D2" s="6" t="str">
        <f>TEXT([No],"000000")</f>
        <v>000001</v>
      </c>
      <c r="E2" s="6" t="str">
        <f>RIGHT([Filename],LEN([Filename])-LEN([Date Part])-LEN([Sequence]))</f>
        <v>_create___groups_table.php</v>
      </c>
      <c r="F2" s="6" t="str">
        <f>[Date Part]&amp;[Sequence]&amp;[Name Part]</f>
        <v>2018_10_31_000001_create___groups_table.php</v>
      </c>
      <c r="G2" s="6" t="str">
        <f>"ren "&amp;[Filename]&amp;" "&amp;[New Name]</f>
        <v>ren 2018_10_31_155657_create___groups_table.php 2018_10_31_000001_create___groups_table.php</v>
      </c>
    </row>
    <row r="3" spans="1:7">
      <c r="A3" s="3">
        <f>IFERROR($A2+1,1)</f>
        <v>2</v>
      </c>
      <c r="B3" s="1" t="s">
        <v>681</v>
      </c>
      <c r="C3" s="6" t="str">
        <f>LEFT([Filename],11)</f>
        <v>2018_10_31_</v>
      </c>
      <c r="D3" s="6" t="str">
        <f>TEXT([No],"000000")</f>
        <v>000002</v>
      </c>
      <c r="E3" s="6" t="str">
        <f>RIGHT([Filename],LEN([Filename])-LEN([Date Part])-LEN([Sequence]))</f>
        <v>_create___group_users_table.php</v>
      </c>
      <c r="F3" s="6" t="str">
        <f>[Date Part]&amp;[Sequence]&amp;[Name Part]</f>
        <v>2018_10_31_000002_create___group_users_table.php</v>
      </c>
      <c r="G3" s="6" t="str">
        <f>"ren "&amp;[Filename]&amp;" "&amp;[New Name]</f>
        <v>ren 2018_10_31_155700_create___group_users_table.php 2018_10_31_000002_create___group_users_table.php</v>
      </c>
    </row>
    <row r="4" spans="1:7">
      <c r="A4" s="3">
        <f t="shared" ref="A4:A42" si="0">IFERROR($A3+1,1)</f>
        <v>3</v>
      </c>
      <c r="B4" s="1" t="s">
        <v>682</v>
      </c>
      <c r="C4" s="6" t="str">
        <f>LEFT([Filename],11)</f>
        <v>2018_10_31_</v>
      </c>
      <c r="D4" s="6" t="str">
        <f>TEXT([No],"000000")</f>
        <v>000003</v>
      </c>
      <c r="E4" s="6" t="str">
        <f>RIGHT([Filename],LEN([Filename])-LEN([Date Part])-LEN([Sequence]))</f>
        <v>_create___roles_table.php</v>
      </c>
      <c r="F4" s="6" t="str">
        <f>[Date Part]&amp;[Sequence]&amp;[Name Part]</f>
        <v>2018_10_31_000003_create___roles_table.php</v>
      </c>
      <c r="G4" s="6" t="str">
        <f>"ren "&amp;[Filename]&amp;" "&amp;[New Name]</f>
        <v>ren 2018_10_31_155703_create___roles_table.php 2018_10_31_000003_create___roles_table.php</v>
      </c>
    </row>
    <row r="5" spans="1:7">
      <c r="A5" s="3">
        <f t="shared" si="0"/>
        <v>4</v>
      </c>
      <c r="B5" s="1" t="s">
        <v>683</v>
      </c>
      <c r="C5" s="6" t="str">
        <f>LEFT([Filename],11)</f>
        <v>2018_10_31_</v>
      </c>
      <c r="D5" s="6" t="str">
        <f>TEXT([No],"000000")</f>
        <v>000004</v>
      </c>
      <c r="E5" s="6" t="str">
        <f>RIGHT([Filename],LEN([Filename])-LEN([Date Part])-LEN([Sequence]))</f>
        <v>_create___group_roles_table.php</v>
      </c>
      <c r="F5" s="6" t="str">
        <f>[Date Part]&amp;[Sequence]&amp;[Name Part]</f>
        <v>2018_10_31_000004_create___group_roles_table.php</v>
      </c>
      <c r="G5" s="6" t="str">
        <f>"ren "&amp;[Filename]&amp;" "&amp;[New Name]</f>
        <v>ren 2018_10_31_155707_create___group_roles_table.php 2018_10_31_000004_create___group_roles_table.php</v>
      </c>
    </row>
    <row r="6" spans="1:7">
      <c r="A6" s="3">
        <f t="shared" si="0"/>
        <v>5</v>
      </c>
      <c r="B6" s="1" t="s">
        <v>684</v>
      </c>
      <c r="C6" s="6" t="str">
        <f>LEFT([Filename],11)</f>
        <v>2018_10_31_</v>
      </c>
      <c r="D6" s="6" t="str">
        <f>TEXT([No],"000000")</f>
        <v>000005</v>
      </c>
      <c r="E6" s="6" t="str">
        <f>RIGHT([Filename],LEN([Filename])-LEN([Date Part])-LEN([Sequence]))</f>
        <v>_create___resources_table.php</v>
      </c>
      <c r="F6" s="6" t="str">
        <f>[Date Part]&amp;[Sequence]&amp;[Name Part]</f>
        <v>2018_10_31_000005_create___resources_table.php</v>
      </c>
      <c r="G6" s="6" t="str">
        <f>"ren "&amp;[Filename]&amp;" "&amp;[New Name]</f>
        <v>ren 2018_10_31_155710_create___resources_table.php 2018_10_31_000005_create___resources_table.php</v>
      </c>
    </row>
    <row r="7" spans="1:7">
      <c r="A7" s="3">
        <f t="shared" si="0"/>
        <v>6</v>
      </c>
      <c r="B7" s="1" t="s">
        <v>685</v>
      </c>
      <c r="C7" s="6" t="str">
        <f>LEFT([Filename],11)</f>
        <v>2018_10_31_</v>
      </c>
      <c r="D7" s="6" t="str">
        <f>TEXT([No],"000000")</f>
        <v>000006</v>
      </c>
      <c r="E7" s="6" t="str">
        <f>RIGHT([Filename],LEN([Filename])-LEN([Date Part])-LEN([Sequence]))</f>
        <v>_create___resource_scopes_table.php</v>
      </c>
      <c r="F7" s="6" t="str">
        <f>[Date Part]&amp;[Sequence]&amp;[Name Part]</f>
        <v>2018_10_31_000006_create___resource_scopes_table.php</v>
      </c>
      <c r="G7" s="6" t="str">
        <f>"ren "&amp;[Filename]&amp;" "&amp;[New Name]</f>
        <v>ren 2018_10_31_155713_create___resource_scopes_table.php 2018_10_31_000006_create___resource_scopes_table.php</v>
      </c>
    </row>
    <row r="8" spans="1:7">
      <c r="A8" s="3">
        <f t="shared" si="0"/>
        <v>7</v>
      </c>
      <c r="B8" s="1" t="s">
        <v>686</v>
      </c>
      <c r="C8" s="6" t="str">
        <f>LEFT([Filename],11)</f>
        <v>2018_10_31_</v>
      </c>
      <c r="D8" s="6" t="str">
        <f>TEXT([No],"000000")</f>
        <v>000007</v>
      </c>
      <c r="E8" s="6" t="str">
        <f>RIGHT([Filename],LEN([Filename])-LEN([Date Part])-LEN([Sequence]))</f>
        <v>_create___resource_relations_table.php</v>
      </c>
      <c r="F8" s="6" t="str">
        <f>[Date Part]&amp;[Sequence]&amp;[Name Part]</f>
        <v>2018_10_31_000007_create___resource_relations_table.php</v>
      </c>
      <c r="G8" s="6" t="str">
        <f>"ren "&amp;[Filename]&amp;" "&amp;[New Name]</f>
        <v>ren 2018_10_31_155716_create___resource_relations_table.php 2018_10_31_000007_create___resource_relations_table.php</v>
      </c>
    </row>
    <row r="9" spans="1:7">
      <c r="A9" s="3">
        <f t="shared" si="0"/>
        <v>8</v>
      </c>
      <c r="B9" s="1" t="s">
        <v>687</v>
      </c>
      <c r="C9" s="6" t="str">
        <f>LEFT([Filename],11)</f>
        <v>2018_10_31_</v>
      </c>
      <c r="D9" s="6" t="str">
        <f>TEXT([No],"000000")</f>
        <v>000008</v>
      </c>
      <c r="E9" s="6" t="str">
        <f>RIGHT([Filename],LEN([Filename])-LEN([Date Part])-LEN([Sequence]))</f>
        <v>_create___resource_data_table.php</v>
      </c>
      <c r="F9" s="6" t="str">
        <f>[Date Part]&amp;[Sequence]&amp;[Name Part]</f>
        <v>2018_10_31_000008_create___resource_data_table.php</v>
      </c>
      <c r="G9" s="6" t="str">
        <f>"ren "&amp;[Filename]&amp;" "&amp;[New Name]</f>
        <v>ren 2018_10_31_155720_create___resource_data_table.php 2018_10_31_000008_create___resource_data_table.php</v>
      </c>
    </row>
    <row r="10" spans="1:7">
      <c r="A10" s="3">
        <f t="shared" si="0"/>
        <v>9</v>
      </c>
      <c r="B10" s="1" t="s">
        <v>688</v>
      </c>
      <c r="C10" s="6" t="str">
        <f>LEFT([Filename],11)</f>
        <v>2018_10_31_</v>
      </c>
      <c r="D10" s="6" t="str">
        <f>TEXT([No],"000000")</f>
        <v>000009</v>
      </c>
      <c r="E10" s="6" t="str">
        <f>RIGHT([Filename],LEN([Filename])-LEN([Date Part])-LEN([Sequence]))</f>
        <v>_create___resource_data_relations_table.php</v>
      </c>
      <c r="F10" s="6" t="str">
        <f>[Date Part]&amp;[Sequence]&amp;[Name Part]</f>
        <v>2018_10_31_000009_create___resource_data_relations_table.php</v>
      </c>
      <c r="G10" s="6" t="str">
        <f>"ren "&amp;[Filename]&amp;" "&amp;[New Name]</f>
        <v>ren 2018_10_31_155723_create___resource_data_relations_table.php 2018_10_31_000009_create___resource_data_relations_table.php</v>
      </c>
    </row>
    <row r="11" spans="1:7">
      <c r="A11" s="3">
        <f t="shared" si="0"/>
        <v>10</v>
      </c>
      <c r="B11" s="1" t="s">
        <v>689</v>
      </c>
      <c r="C11" s="6" t="str">
        <f>LEFT([Filename],11)</f>
        <v>2018_10_31_</v>
      </c>
      <c r="D11" s="6" t="str">
        <f>TEXT([No],"000000")</f>
        <v>000010</v>
      </c>
      <c r="E11" s="6" t="str">
        <f>RIGHT([Filename],LEN([Filename])-LEN([Date Part])-LEN([Sequence]))</f>
        <v>_create___resource_data_scopes_table.php</v>
      </c>
      <c r="F11" s="6" t="str">
        <f>[Date Part]&amp;[Sequence]&amp;[Name Part]</f>
        <v>2018_10_31_000010_create___resource_data_scopes_table.php</v>
      </c>
      <c r="G11" s="6" t="str">
        <f>"ren "&amp;[Filename]&amp;" "&amp;[New Name]</f>
        <v>ren 2018_10_31_155726_create___resource_data_scopes_table.php 2018_10_31_000010_create___resource_data_scopes_table.php</v>
      </c>
    </row>
    <row r="12" spans="1:7">
      <c r="A12" s="3">
        <f t="shared" si="0"/>
        <v>11</v>
      </c>
      <c r="B12" s="1" t="s">
        <v>690</v>
      </c>
      <c r="C12" s="6" t="str">
        <f>LEFT([Filename],11)</f>
        <v>2018_10_31_</v>
      </c>
      <c r="D12" s="6" t="str">
        <f>TEXT([No],"000000")</f>
        <v>000011</v>
      </c>
      <c r="E12" s="6" t="str">
        <f>RIGHT([Filename],LEN([Filename])-LEN([Date Part])-LEN([Sequence]))</f>
        <v>_create___resource_data_view_sections_table.php</v>
      </c>
      <c r="F12" s="6" t="str">
        <f>[Date Part]&amp;[Sequence]&amp;[Name Part]</f>
        <v>2018_10_31_000011_create___resource_data_view_sections_table.php</v>
      </c>
      <c r="G12" s="6" t="str">
        <f>"ren "&amp;[Filename]&amp;" "&amp;[New Name]</f>
        <v>ren 2018_10_31_155729_create___resource_data_view_sections_table.php 2018_10_31_000011_create___resource_data_view_sections_table.php</v>
      </c>
    </row>
    <row r="13" spans="1:7">
      <c r="A13" s="3">
        <f t="shared" si="0"/>
        <v>12</v>
      </c>
      <c r="B13" s="1" t="s">
        <v>691</v>
      </c>
      <c r="C13" s="6" t="str">
        <f>LEFT([Filename],11)</f>
        <v>2018_10_31_</v>
      </c>
      <c r="D13" s="6" t="str">
        <f>TEXT([No],"000000")</f>
        <v>000012</v>
      </c>
      <c r="E13" s="6" t="str">
        <f>RIGHT([Filename],LEN([Filename])-LEN([Date Part])-LEN([Sequence]))</f>
        <v>_create___resource_data_view_section_items_table.php</v>
      </c>
      <c r="F13" s="6" t="str">
        <f>[Date Part]&amp;[Sequence]&amp;[Name Part]</f>
        <v>2018_10_31_000012_create___resource_data_view_section_items_table.php</v>
      </c>
      <c r="G13" s="6" t="str">
        <f>"ren "&amp;[Filename]&amp;" "&amp;[New Name]</f>
        <v>ren 2018_10_31_155733_create___resource_data_view_section_items_table.php 2018_10_31_000012_create___resource_data_view_section_items_table.php</v>
      </c>
    </row>
    <row r="14" spans="1:7">
      <c r="A14" s="3">
        <f t="shared" si="0"/>
        <v>13</v>
      </c>
      <c r="B14" s="1" t="s">
        <v>692</v>
      </c>
      <c r="C14" s="6" t="str">
        <f>LEFT([Filename],11)</f>
        <v>2018_10_31_</v>
      </c>
      <c r="D14" s="6" t="str">
        <f>TEXT([No],"000000")</f>
        <v>000013</v>
      </c>
      <c r="E14" s="6" t="str">
        <f>RIGHT([Filename],LEN([Filename])-LEN([Date Part])-LEN([Sequence]))</f>
        <v>_create___resource_lists_table.php</v>
      </c>
      <c r="F14" s="6" t="str">
        <f>[Date Part]&amp;[Sequence]&amp;[Name Part]</f>
        <v>2018_10_31_000013_create___resource_lists_table.php</v>
      </c>
      <c r="G14" s="6" t="str">
        <f>"ren "&amp;[Filename]&amp;" "&amp;[New Name]</f>
        <v>ren 2018_10_31_155736_create___resource_lists_table.php 2018_10_31_000013_create___resource_lists_table.php</v>
      </c>
    </row>
    <row r="15" spans="1:7">
      <c r="A15" s="3">
        <f t="shared" si="0"/>
        <v>14</v>
      </c>
      <c r="B15" s="1" t="s">
        <v>693</v>
      </c>
      <c r="C15" s="6" t="str">
        <f>LEFT([Filename],11)</f>
        <v>2018_10_31_</v>
      </c>
      <c r="D15" s="6" t="str">
        <f>TEXT([No],"000000")</f>
        <v>000014</v>
      </c>
      <c r="E15" s="6" t="str">
        <f>RIGHT([Filename],LEN([Filename])-LEN([Date Part])-LEN([Sequence]))</f>
        <v>_create___resource_list_relations_table.php</v>
      </c>
      <c r="F15" s="6" t="str">
        <f>[Date Part]&amp;[Sequence]&amp;[Name Part]</f>
        <v>2018_10_31_000014_create___resource_list_relations_table.php</v>
      </c>
      <c r="G15" s="6" t="str">
        <f>"ren "&amp;[Filename]&amp;" "&amp;[New Name]</f>
        <v>ren 2018_10_31_155739_create___resource_list_relations_table.php 2018_10_31_000014_create___resource_list_relations_table.php</v>
      </c>
    </row>
    <row r="16" spans="1:7">
      <c r="A16" s="3">
        <f t="shared" si="0"/>
        <v>15</v>
      </c>
      <c r="B16" s="1" t="s">
        <v>694</v>
      </c>
      <c r="C16" s="6" t="str">
        <f>LEFT([Filename],11)</f>
        <v>2018_10_31_</v>
      </c>
      <c r="D16" s="6" t="str">
        <f>TEXT([No],"000000")</f>
        <v>000015</v>
      </c>
      <c r="E16" s="6" t="str">
        <f>RIGHT([Filename],LEN([Filename])-LEN([Date Part])-LEN([Sequence]))</f>
        <v>_create___resource_list_scopes_table.php</v>
      </c>
      <c r="F16" s="6" t="str">
        <f>[Date Part]&amp;[Sequence]&amp;[Name Part]</f>
        <v>2018_10_31_000015_create___resource_list_scopes_table.php</v>
      </c>
      <c r="G16" s="6" t="str">
        <f>"ren "&amp;[Filename]&amp;" "&amp;[New Name]</f>
        <v>ren 2018_10_31_155742_create___resource_list_scopes_table.php 2018_10_31_000015_create___resource_list_scopes_table.php</v>
      </c>
    </row>
    <row r="17" spans="1:7">
      <c r="A17" s="3">
        <f t="shared" si="0"/>
        <v>16</v>
      </c>
      <c r="B17" s="1" t="s">
        <v>695</v>
      </c>
      <c r="C17" s="6" t="str">
        <f>LEFT([Filename],11)</f>
        <v>2018_10_31_</v>
      </c>
      <c r="D17" s="6" t="str">
        <f>TEXT([No],"000000")</f>
        <v>000016</v>
      </c>
      <c r="E17" s="6" t="str">
        <f>RIGHT([Filename],LEN([Filename])-LEN([Date Part])-LEN([Sequence]))</f>
        <v>_create___resource_list_layout_table.php</v>
      </c>
      <c r="F17" s="6" t="str">
        <f>[Date Part]&amp;[Sequence]&amp;[Name Part]</f>
        <v>2018_10_31_000016_create___resource_list_layout_table.php</v>
      </c>
      <c r="G17" s="6" t="str">
        <f>"ren "&amp;[Filename]&amp;" "&amp;[New Name]</f>
        <v>ren 2018_10_31_155746_create___resource_list_layout_table.php 2018_10_31_000016_create___resource_list_layout_table.php</v>
      </c>
    </row>
    <row r="18" spans="1:7">
      <c r="A18" s="3">
        <f t="shared" si="0"/>
        <v>17</v>
      </c>
      <c r="B18" s="1" t="s">
        <v>696</v>
      </c>
      <c r="C18" s="6" t="str">
        <f>LEFT([Filename],11)</f>
        <v>2018_10_31_</v>
      </c>
      <c r="D18" s="6" t="str">
        <f>TEXT([No],"000000")</f>
        <v>000017</v>
      </c>
      <c r="E18" s="6" t="str">
        <f>RIGHT([Filename],LEN([Filename])-LEN([Date Part])-LEN([Sequence]))</f>
        <v>_create___resource_list_search_table.php</v>
      </c>
      <c r="F18" s="6" t="str">
        <f>[Date Part]&amp;[Sequence]&amp;[Name Part]</f>
        <v>2018_10_31_000017_create___resource_list_search_table.php</v>
      </c>
      <c r="G18" s="6" t="str">
        <f>"ren "&amp;[Filename]&amp;" "&amp;[New Name]</f>
        <v>ren 2018_10_31_155749_create___resource_list_search_table.php 2018_10_31_000017_create___resource_list_search_table.php</v>
      </c>
    </row>
    <row r="19" spans="1:7">
      <c r="A19" s="3">
        <f t="shared" si="0"/>
        <v>18</v>
      </c>
      <c r="B19" s="1" t="s">
        <v>697</v>
      </c>
      <c r="C19" s="6" t="str">
        <f>LEFT([Filename],11)</f>
        <v>2018_10_31_</v>
      </c>
      <c r="D19" s="6" t="str">
        <f>TEXT([No],"000000")</f>
        <v>000018</v>
      </c>
      <c r="E19" s="6" t="str">
        <f>RIGHT([Filename],LEN([Filename])-LEN([Date Part])-LEN([Sequence]))</f>
        <v>_create___resource_forms_table.php</v>
      </c>
      <c r="F19" s="6" t="str">
        <f>[Date Part]&amp;[Sequence]&amp;[Name Part]</f>
        <v>2018_10_31_000018_create___resource_forms_table.php</v>
      </c>
      <c r="G19" s="6" t="str">
        <f>"ren "&amp;[Filename]&amp;" "&amp;[New Name]</f>
        <v>ren 2018_10_31_155752_create___resource_forms_table.php 2018_10_31_000018_create___resource_forms_table.php</v>
      </c>
    </row>
    <row r="20" spans="1:7">
      <c r="A20" s="3">
        <f t="shared" si="0"/>
        <v>19</v>
      </c>
      <c r="B20" s="1" t="s">
        <v>698</v>
      </c>
      <c r="C20" s="6" t="str">
        <f>LEFT([Filename],11)</f>
        <v>2018_10_31_</v>
      </c>
      <c r="D20" s="6" t="str">
        <f>TEXT([No],"000000")</f>
        <v>000019</v>
      </c>
      <c r="E20" s="6" t="str">
        <f>RIGHT([Filename],LEN([Filename])-LEN([Date Part])-LEN([Sequence]))</f>
        <v>_create___resource_form_defaults_table.php</v>
      </c>
      <c r="F20" s="6" t="str">
        <f>[Date Part]&amp;[Sequence]&amp;[Name Part]</f>
        <v>2018_10_31_000019_create___resource_form_defaults_table.php</v>
      </c>
      <c r="G20" s="6" t="str">
        <f>"ren "&amp;[Filename]&amp;" "&amp;[New Name]</f>
        <v>ren 2018_10_31_155756_create___resource_form_defaults_table.php 2018_10_31_000019_create___resource_form_defaults_table.php</v>
      </c>
    </row>
    <row r="21" spans="1:7">
      <c r="A21" s="3">
        <f t="shared" si="0"/>
        <v>20</v>
      </c>
      <c r="B21" s="1" t="s">
        <v>699</v>
      </c>
      <c r="C21" s="6" t="str">
        <f>LEFT([Filename],11)</f>
        <v>2018_10_31_</v>
      </c>
      <c r="D21" s="6" t="str">
        <f>TEXT([No],"000000")</f>
        <v>000020</v>
      </c>
      <c r="E21" s="6" t="str">
        <f>RIGHT([Filename],LEN([Filename])-LEN([Date Part])-LEN([Sequence]))</f>
        <v>_create___resource_defaults_table.php</v>
      </c>
      <c r="F21" s="6" t="str">
        <f>[Date Part]&amp;[Sequence]&amp;[Name Part]</f>
        <v>2018_10_31_000020_create___resource_defaults_table.php</v>
      </c>
      <c r="G21" s="6" t="str">
        <f>"ren "&amp;[Filename]&amp;" "&amp;[New Name]</f>
        <v>ren 2018_10_31_155759_create___resource_defaults_table.php 2018_10_31_000020_create___resource_defaults_table.php</v>
      </c>
    </row>
    <row r="22" spans="1:7">
      <c r="A22" s="3">
        <f t="shared" si="0"/>
        <v>21</v>
      </c>
      <c r="B22" s="1" t="s">
        <v>700</v>
      </c>
      <c r="C22" s="6" t="str">
        <f>LEFT([Filename],11)</f>
        <v>2018_10_31_</v>
      </c>
      <c r="D22" s="6" t="str">
        <f>TEXT([No],"000000")</f>
        <v>000021</v>
      </c>
      <c r="E22" s="6" t="str">
        <f>RIGHT([Filename],LEN([Filename])-LEN([Date Part])-LEN([Sequence]))</f>
        <v>_create___resource_actions_table.php</v>
      </c>
      <c r="F22" s="6" t="str">
        <f>[Date Part]&amp;[Sequence]&amp;[Name Part]</f>
        <v>2018_10_31_000021_create___resource_actions_table.php</v>
      </c>
      <c r="G22" s="6" t="str">
        <f>"ren "&amp;[Filename]&amp;" "&amp;[New Name]</f>
        <v>ren 2018_10_31_155802_create___resource_actions_table.php 2018_10_31_000021_create___resource_actions_table.php</v>
      </c>
    </row>
    <row r="23" spans="1:7">
      <c r="A23" s="3">
        <f t="shared" si="0"/>
        <v>22</v>
      </c>
      <c r="B23" s="1" t="s">
        <v>701</v>
      </c>
      <c r="C23" s="6" t="str">
        <f>LEFT([Filename],11)</f>
        <v>2018_10_31_</v>
      </c>
      <c r="D23" s="6" t="str">
        <f>TEXT([No],"000000")</f>
        <v>000022</v>
      </c>
      <c r="E23" s="6" t="str">
        <f>RIGHT([Filename],LEN([Filename])-LEN([Date Part])-LEN([Sequence]))</f>
        <v>_create___resource_action_attrs_table.php</v>
      </c>
      <c r="F23" s="6" t="str">
        <f>[Date Part]&amp;[Sequence]&amp;[Name Part]</f>
        <v>2018_10_31_000022_create___resource_action_attrs_table.php</v>
      </c>
      <c r="G23" s="6" t="str">
        <f>"ren "&amp;[Filename]&amp;" "&amp;[New Name]</f>
        <v>ren 2018_10_31_155806_create___resource_action_attrs_table.php 2018_10_31_000022_create___resource_action_attrs_table.php</v>
      </c>
    </row>
    <row r="24" spans="1:7">
      <c r="A24" s="3">
        <f t="shared" si="0"/>
        <v>23</v>
      </c>
      <c r="B24" s="1" t="s">
        <v>702</v>
      </c>
      <c r="C24" s="6" t="str">
        <f>LEFT([Filename],11)</f>
        <v>2018_10_31_</v>
      </c>
      <c r="D24" s="6" t="str">
        <f>TEXT([No],"000000")</f>
        <v>000023</v>
      </c>
      <c r="E24" s="6" t="str">
        <f>RIGHT([Filename],LEN([Filename])-LEN([Date Part])-LEN([Sequence]))</f>
        <v>_create___resource_action_methods_table.php</v>
      </c>
      <c r="F24" s="6" t="str">
        <f>[Date Part]&amp;[Sequence]&amp;[Name Part]</f>
        <v>2018_10_31_000023_create___resource_action_methods_table.php</v>
      </c>
      <c r="G24" s="6" t="str">
        <f>"ren "&amp;[Filename]&amp;" "&amp;[New Name]</f>
        <v>ren 2018_10_31_155809_create___resource_action_methods_table.php 2018_10_31_000023_create___resource_action_methods_table.php</v>
      </c>
    </row>
    <row r="25" spans="1:7">
      <c r="A25" s="3">
        <f t="shared" si="0"/>
        <v>24</v>
      </c>
      <c r="B25" s="1" t="s">
        <v>703</v>
      </c>
      <c r="C25" s="6" t="str">
        <f>LEFT([Filename],11)</f>
        <v>2018_10_31_</v>
      </c>
      <c r="D25" s="6" t="str">
        <f>TEXT([No],"000000")</f>
        <v>000024</v>
      </c>
      <c r="E25" s="6" t="str">
        <f>RIGHT([Filename],LEN([Filename])-LEN([Date Part])-LEN([Sequence]))</f>
        <v>_create___resource_action_lists_table.php</v>
      </c>
      <c r="F25" s="6" t="str">
        <f>[Date Part]&amp;[Sequence]&amp;[Name Part]</f>
        <v>2018_10_31_000024_create___resource_action_lists_table.php</v>
      </c>
      <c r="G25" s="6" t="str">
        <f>"ren "&amp;[Filename]&amp;" "&amp;[New Name]</f>
        <v>ren 2018_10_31_155812_create___resource_action_lists_table.php 2018_10_31_000024_create___resource_action_lists_table.php</v>
      </c>
    </row>
    <row r="26" spans="1:7">
      <c r="A26" s="3">
        <f t="shared" si="0"/>
        <v>25</v>
      </c>
      <c r="B26" s="1" t="s">
        <v>704</v>
      </c>
      <c r="C26" s="6" t="str">
        <f>LEFT([Filename],11)</f>
        <v>2018_10_31_</v>
      </c>
      <c r="D26" s="6" t="str">
        <f>TEXT([No],"000000")</f>
        <v>000025</v>
      </c>
      <c r="E26" s="6" t="str">
        <f>RIGHT([Filename],LEN([Filename])-LEN([Date Part])-LEN([Sequence]))</f>
        <v>_create___resource_action_data_table.php</v>
      </c>
      <c r="F26" s="6" t="str">
        <f>[Date Part]&amp;[Sequence]&amp;[Name Part]</f>
        <v>2018_10_31_000025_create___resource_action_data_table.php</v>
      </c>
      <c r="G26" s="6" t="str">
        <f>"ren "&amp;[Filename]&amp;" "&amp;[New Name]</f>
        <v>ren 2018_10_31_155815_create___resource_action_data_table.php 2018_10_31_000025_create___resource_action_data_table.php</v>
      </c>
    </row>
    <row r="27" spans="1:7">
      <c r="A27" s="3">
        <f t="shared" si="0"/>
        <v>26</v>
      </c>
      <c r="B27" s="1" t="s">
        <v>705</v>
      </c>
      <c r="C27" s="6" t="str">
        <f>LEFT([Filename],11)</f>
        <v>2018_10_31_</v>
      </c>
      <c r="D27" s="6" t="str">
        <f>TEXT([No],"000000")</f>
        <v>000026</v>
      </c>
      <c r="E27" s="6" t="str">
        <f>RIGHT([Filename],LEN([Filename])-LEN([Date Part])-LEN([Sequence]))</f>
        <v>_create___resource_roles_table.php</v>
      </c>
      <c r="F27" s="6" t="str">
        <f>[Date Part]&amp;[Sequence]&amp;[Name Part]</f>
        <v>2018_10_31_000026_create___resource_roles_table.php</v>
      </c>
      <c r="G27" s="6" t="str">
        <f>"ren "&amp;[Filename]&amp;" "&amp;[New Name]</f>
        <v>ren 2018_10_31_155818_create___resource_roles_table.php 2018_10_31_000026_create___resource_roles_table.php</v>
      </c>
    </row>
    <row r="28" spans="1:7">
      <c r="A28" s="3">
        <f t="shared" si="0"/>
        <v>27</v>
      </c>
      <c r="B28" s="1" t="s">
        <v>706</v>
      </c>
      <c r="C28" s="6" t="str">
        <f>LEFT([Filename],11)</f>
        <v>2018_10_31_</v>
      </c>
      <c r="D28" s="6" t="str">
        <f>TEXT([No],"000000")</f>
        <v>000027</v>
      </c>
      <c r="E28" s="6" t="str">
        <f>RIGHT([Filename],LEN([Filename])-LEN([Date Part])-LEN([Sequence]))</f>
        <v>_create___resource_form_fields_table.php</v>
      </c>
      <c r="F28" s="6" t="str">
        <f>[Date Part]&amp;[Sequence]&amp;[Name Part]</f>
        <v>2018_10_31_000027_create___resource_form_fields_table.php</v>
      </c>
      <c r="G28" s="6" t="str">
        <f>"ren "&amp;[Filename]&amp;" "&amp;[New Name]</f>
        <v>ren 2018_10_31_155822_create___resource_form_fields_table.php 2018_10_31_000027_create___resource_form_fields_table.php</v>
      </c>
    </row>
    <row r="29" spans="1:7">
      <c r="A29" s="3">
        <f t="shared" si="0"/>
        <v>28</v>
      </c>
      <c r="B29" s="1" t="s">
        <v>707</v>
      </c>
      <c r="C29" s="6" t="str">
        <f>LEFT([Filename],11)</f>
        <v>2018_10_31_</v>
      </c>
      <c r="D29" s="6" t="str">
        <f>TEXT([No],"000000")</f>
        <v>000028</v>
      </c>
      <c r="E29" s="6" t="str">
        <f>RIGHT([Filename],LEN([Filename])-LEN([Date Part])-LEN([Sequence]))</f>
        <v>_create___resource_form_field_attrs_table.php</v>
      </c>
      <c r="F29" s="6" t="str">
        <f>[Date Part]&amp;[Sequence]&amp;[Name Part]</f>
        <v>2018_10_31_000028_create___resource_form_field_attrs_table.php</v>
      </c>
      <c r="G29" s="6" t="str">
        <f>"ren "&amp;[Filename]&amp;" "&amp;[New Name]</f>
        <v>ren 2018_10_31_155825_create___resource_form_field_attrs_table.php 2018_10_31_000028_create___resource_form_field_attrs_table.php</v>
      </c>
    </row>
    <row r="30" spans="1:7">
      <c r="A30" s="3">
        <f t="shared" si="0"/>
        <v>29</v>
      </c>
      <c r="B30" s="1" t="s">
        <v>708</v>
      </c>
      <c r="C30" s="6" t="str">
        <f>LEFT([Filename],11)</f>
        <v>2018_10_31_</v>
      </c>
      <c r="D30" s="6" t="str">
        <f>TEXT([No],"000000")</f>
        <v>000029</v>
      </c>
      <c r="E30" s="6" t="str">
        <f>RIGHT([Filename],LEN([Filename])-LEN([Date Part])-LEN([Sequence]))</f>
        <v>_create___resource_form_field_data_table.php</v>
      </c>
      <c r="F30" s="6" t="str">
        <f>[Date Part]&amp;[Sequence]&amp;[Name Part]</f>
        <v>2018_10_31_000029_create___resource_form_field_data_table.php</v>
      </c>
      <c r="G30" s="6" t="str">
        <f>"ren "&amp;[Filename]&amp;" "&amp;[New Name]</f>
        <v>ren 2018_10_31_155828_create___resource_form_field_data_table.php 2018_10_31_000029_create___resource_form_field_data_table.php</v>
      </c>
    </row>
    <row r="31" spans="1:7">
      <c r="A31" s="3">
        <f t="shared" si="0"/>
        <v>30</v>
      </c>
      <c r="B31" s="1" t="s">
        <v>709</v>
      </c>
      <c r="C31" s="6" t="str">
        <f>LEFT([Filename],11)</f>
        <v>2018_10_31_</v>
      </c>
      <c r="D31" s="6" t="str">
        <f>TEXT([No],"000000")</f>
        <v>000030</v>
      </c>
      <c r="E31" s="6" t="str">
        <f>RIGHT([Filename],LEN([Filename])-LEN([Date Part])-LEN([Sequence]))</f>
        <v>_create___resource_form_field_validations_table.php</v>
      </c>
      <c r="F31" s="6" t="str">
        <f>[Date Part]&amp;[Sequence]&amp;[Name Part]</f>
        <v>2018_10_31_000030_create___resource_form_field_validations_table.php</v>
      </c>
      <c r="G31" s="6" t="str">
        <f>"ren "&amp;[Filename]&amp;" "&amp;[New Name]</f>
        <v>ren 2018_10_31_155831_create___resource_form_field_validations_table.php 2018_10_31_000030_create___resource_form_field_validations_table.php</v>
      </c>
    </row>
    <row r="32" spans="1:7">
      <c r="A32" s="3">
        <f t="shared" si="0"/>
        <v>31</v>
      </c>
      <c r="B32" s="1" t="s">
        <v>710</v>
      </c>
      <c r="C32" s="6" t="str">
        <f>LEFT([Filename],11)</f>
        <v>2018_10_31_</v>
      </c>
      <c r="D32" s="6" t="str">
        <f>TEXT([No],"000000")</f>
        <v>000031</v>
      </c>
      <c r="E32" s="6" t="str">
        <f>RIGHT([Filename],LEN([Filename])-LEN([Date Part])-LEN([Sequence]))</f>
        <v>_create___resource_form_field_options_table.php</v>
      </c>
      <c r="F32" s="6" t="str">
        <f>[Date Part]&amp;[Sequence]&amp;[Name Part]</f>
        <v>2018_10_31_000031_create___resource_form_field_options_table.php</v>
      </c>
      <c r="G32" s="6" t="str">
        <f>"ren "&amp;[Filename]&amp;" "&amp;[New Name]</f>
        <v>ren 2018_10_31_155835_create___resource_form_field_options_table.php 2018_10_31_000031_create___resource_form_field_options_table.php</v>
      </c>
    </row>
    <row r="33" spans="1:7">
      <c r="A33" s="3">
        <f t="shared" si="0"/>
        <v>32</v>
      </c>
      <c r="B33" s="1" t="s">
        <v>711</v>
      </c>
      <c r="C33" s="6" t="str">
        <f>LEFT([Filename],11)</f>
        <v>2018_10_31_</v>
      </c>
      <c r="D33" s="6" t="str">
        <f>TEXT([No],"000000")</f>
        <v>000032</v>
      </c>
      <c r="E33" s="6" t="str">
        <f>RIGHT([Filename],LEN([Filename])-LEN([Date Part])-LEN([Sequence]))</f>
        <v>_create___resource_form_field_depends_table.php</v>
      </c>
      <c r="F33" s="6" t="str">
        <f>[Date Part]&amp;[Sequence]&amp;[Name Part]</f>
        <v>2018_10_31_000032_create___resource_form_field_depends_table.php</v>
      </c>
      <c r="G33" s="6" t="str">
        <f>"ren "&amp;[Filename]&amp;" "&amp;[New Name]</f>
        <v>ren 2018_10_31_155838_create___resource_form_field_depends_table.php 2018_10_31_000032_create___resource_form_field_depends_table.php</v>
      </c>
    </row>
    <row r="34" spans="1:7">
      <c r="A34" s="3">
        <f t="shared" si="0"/>
        <v>33</v>
      </c>
      <c r="B34" s="1" t="s">
        <v>712</v>
      </c>
      <c r="C34" s="6" t="str">
        <f>LEFT([Filename],11)</f>
        <v>2018_10_31_</v>
      </c>
      <c r="D34" s="6" t="str">
        <f>TEXT([No],"000000")</f>
        <v>000033</v>
      </c>
      <c r="E34" s="6" t="str">
        <f>RIGHT([Filename],LEN([Filename])-LEN([Date Part])-LEN([Sequence]))</f>
        <v>_create___resource_form_field_dynamic_table.php</v>
      </c>
      <c r="F34" s="6" t="str">
        <f>[Date Part]&amp;[Sequence]&amp;[Name Part]</f>
        <v>2018_10_31_000033_create___resource_form_field_dynamic_table.php</v>
      </c>
      <c r="G34" s="6" t="str">
        <f>"ren "&amp;[Filename]&amp;" "&amp;[New Name]</f>
        <v>ren 2018_10_31_155841_create___resource_form_field_dynamic_table.php 2018_10_31_000033_create___resource_form_field_dynamic_table.php</v>
      </c>
    </row>
    <row r="35" spans="1:7">
      <c r="A35" s="3">
        <f t="shared" si="0"/>
        <v>34</v>
      </c>
      <c r="B35" s="1" t="s">
        <v>713</v>
      </c>
      <c r="C35" s="6" t="str">
        <f>LEFT([Filename],11)</f>
        <v>2018_10_31_</v>
      </c>
      <c r="D35" s="6" t="str">
        <f>TEXT([No],"000000")</f>
        <v>000034</v>
      </c>
      <c r="E35" s="6" t="str">
        <f>RIGHT([Filename],LEN([Filename])-LEN([Date Part])-LEN([Sequence]))</f>
        <v>_create___resource_form_layout_table.php</v>
      </c>
      <c r="F35" s="6" t="str">
        <f>[Date Part]&amp;[Sequence]&amp;[Name Part]</f>
        <v>2018_10_31_000034_create___resource_form_layout_table.php</v>
      </c>
      <c r="G35" s="6" t="str">
        <f>"ren "&amp;[Filename]&amp;" "&amp;[New Name]</f>
        <v>ren 2018_10_31_155844_create___resource_form_layout_table.php 2018_10_31_000034_create___resource_form_layout_table.php</v>
      </c>
    </row>
    <row r="36" spans="1:7">
      <c r="A36" s="3">
        <f t="shared" si="0"/>
        <v>35</v>
      </c>
      <c r="B36" s="1" t="s">
        <v>714</v>
      </c>
      <c r="C36" s="6" t="str">
        <f>LEFT([Filename],11)</f>
        <v>2018_10_31_</v>
      </c>
      <c r="D36" s="6" t="str">
        <f>TEXT([No],"000000")</f>
        <v>000035</v>
      </c>
      <c r="E36" s="6" t="str">
        <f>RIGHT([Filename],LEN([Filename])-LEN([Date Part])-LEN([Sequence]))</f>
        <v>_create___resource_form_collection_table.php</v>
      </c>
      <c r="F36" s="6" t="str">
        <f>[Date Part]&amp;[Sequence]&amp;[Name Part]</f>
        <v>2018_10_31_000035_create___resource_form_collection_table.php</v>
      </c>
      <c r="G36" s="6" t="str">
        <f>"ren "&amp;[Filename]&amp;" "&amp;[New Name]</f>
        <v>ren 2018_10_31_155848_create___resource_form_collection_table.php 2018_10_31_000035_create___resource_form_collection_table.php</v>
      </c>
    </row>
    <row r="37" spans="1:7">
      <c r="A37" s="3">
        <f t="shared" si="0"/>
        <v>36</v>
      </c>
      <c r="B37" s="1" t="s">
        <v>715</v>
      </c>
      <c r="C37" s="6" t="str">
        <f>LEFT([Filename],11)</f>
        <v>2018_10_31_</v>
      </c>
      <c r="D37" s="6" t="str">
        <f>TEXT([No],"000000")</f>
        <v>000036</v>
      </c>
      <c r="E37" s="6" t="str">
        <f>RIGHT([Filename],LEN([Filename])-LEN([Date Part])-LEN([Sequence]))</f>
        <v>_create___resource_dashboard_table.php</v>
      </c>
      <c r="F37" s="6" t="str">
        <f>[Date Part]&amp;[Sequence]&amp;[Name Part]</f>
        <v>2018_10_31_000036_create___resource_dashboard_table.php</v>
      </c>
      <c r="G37" s="6" t="str">
        <f>"ren "&amp;[Filename]&amp;" "&amp;[New Name]</f>
        <v>ren 2018_10_31_155851_create___resource_dashboard_table.php 2018_10_31_000036_create___resource_dashboard_table.php</v>
      </c>
    </row>
    <row r="38" spans="1:7">
      <c r="A38" s="3">
        <f t="shared" si="0"/>
        <v>37</v>
      </c>
      <c r="B38" s="1" t="s">
        <v>716</v>
      </c>
      <c r="C38" s="6" t="str">
        <f>LEFT([Filename],11)</f>
        <v>2018_10_31_</v>
      </c>
      <c r="D38" s="6" t="str">
        <f>TEXT([No],"000000")</f>
        <v>000037</v>
      </c>
      <c r="E38" s="6" t="str">
        <f>RIGHT([Filename],LEN([Filename])-LEN([Date Part])-LEN([Sequence]))</f>
        <v>_create___resource_dashboard_sections_table.php</v>
      </c>
      <c r="F38" s="6" t="str">
        <f>[Date Part]&amp;[Sequence]&amp;[Name Part]</f>
        <v>2018_10_31_000037_create___resource_dashboard_sections_table.php</v>
      </c>
      <c r="G38" s="6" t="str">
        <f>"ren "&amp;[Filename]&amp;" "&amp;[New Name]</f>
        <v>ren 2018_10_31_155854_create___resource_dashboard_sections_table.php 2018_10_31_000037_create___resource_dashboard_sections_table.php</v>
      </c>
    </row>
    <row r="39" spans="1:7">
      <c r="A39" s="3">
        <f t="shared" si="0"/>
        <v>38</v>
      </c>
      <c r="B39" s="1" t="s">
        <v>717</v>
      </c>
      <c r="C39" s="6" t="str">
        <f>LEFT([Filename],11)</f>
        <v>2018_10_31_</v>
      </c>
      <c r="D39" s="6" t="str">
        <f>TEXT([No],"000000")</f>
        <v>000038</v>
      </c>
      <c r="E39" s="6" t="str">
        <f>RIGHT([Filename],LEN([Filename])-LEN([Date Part])-LEN([Sequence]))</f>
        <v>_create___resource_dashboard_section_items_table.php</v>
      </c>
      <c r="F39" s="6" t="str">
        <f>[Date Part]&amp;[Sequence]&amp;[Name Part]</f>
        <v>2018_10_31_000038_create___resource_dashboard_section_items_table.php</v>
      </c>
      <c r="G39" s="6" t="str">
        <f>"ren "&amp;[Filename]&amp;" "&amp;[New Name]</f>
        <v>ren 2018_10_31_155857_create___resource_dashboard_section_items_table.php 2018_10_31_000038_create___resource_dashboard_section_items_table.php</v>
      </c>
    </row>
    <row r="40" spans="1:7">
      <c r="A40" s="3">
        <f t="shared" si="0"/>
        <v>39</v>
      </c>
      <c r="B40" s="1" t="s">
        <v>718</v>
      </c>
      <c r="C40" s="6" t="str">
        <f>LEFT([Filename],11)</f>
        <v>2018_10_31_</v>
      </c>
      <c r="D40" s="6" t="str">
        <f>TEXT([No],"000000")</f>
        <v>000039</v>
      </c>
      <c r="E40" s="6" t="str">
        <f>RIGHT([Filename],LEN([Filename])-LEN([Date Part])-LEN([Sequence]))</f>
        <v>_create___resource_metrics_table.php</v>
      </c>
      <c r="F40" s="6" t="str">
        <f>[Date Part]&amp;[Sequence]&amp;[Name Part]</f>
        <v>2018_10_31_000039_create___resource_metrics_table.php</v>
      </c>
      <c r="G40" s="6" t="str">
        <f>"ren "&amp;[Filename]&amp;" "&amp;[New Name]</f>
        <v>ren 2018_10_31_155901_create___resource_metrics_table.php 2018_10_31_000039_create___resource_metrics_table.php</v>
      </c>
    </row>
    <row r="41" spans="1:7">
      <c r="A41" s="3">
        <f t="shared" si="0"/>
        <v>40</v>
      </c>
      <c r="B41" s="1" t="s">
        <v>719</v>
      </c>
      <c r="C41" s="6" t="str">
        <f>LEFT([Filename],11)</f>
        <v>2018_10_31_</v>
      </c>
      <c r="D41" s="6" t="str">
        <f>TEXT([No],"000000")</f>
        <v>000040</v>
      </c>
      <c r="E41" s="6" t="str">
        <f>RIGHT([Filename],LEN([Filename])-LEN([Date Part])-LEN([Sequence]))</f>
        <v>_create___organisation_table.php</v>
      </c>
      <c r="F41" s="6" t="str">
        <f>[Date Part]&amp;[Sequence]&amp;[Name Part]</f>
        <v>2018_10_31_000040_create___organisation_table.php</v>
      </c>
      <c r="G41" s="6" t="str">
        <f>"ren "&amp;[Filename]&amp;" "&amp;[New Name]</f>
        <v>ren 2018_10_31_155904_create___organisation_table.php 2018_10_31_000040_create___organisation_table.php</v>
      </c>
    </row>
    <row r="42" spans="1:7">
      <c r="A42" s="3">
        <f t="shared" si="0"/>
        <v>41</v>
      </c>
      <c r="B42" s="1" t="s">
        <v>720</v>
      </c>
      <c r="C42" s="6" t="str">
        <f>LEFT([Filename],11)</f>
        <v>2018_10_31_</v>
      </c>
      <c r="D42" s="6" t="str">
        <f>TEXT([No],"000000")</f>
        <v>000041</v>
      </c>
      <c r="E42" s="6" t="str">
        <f>RIGHT([Filename],LEN([Filename])-LEN([Date Part])-LEN([Sequence]))</f>
        <v>_create___organisation_contacts_table.php</v>
      </c>
      <c r="F42" s="6" t="str">
        <f>[Date Part]&amp;[Sequence]&amp;[Name Part]</f>
        <v>2018_10_31_000041_create___organisation_contacts_table.php</v>
      </c>
      <c r="G42" s="6" t="str">
        <f>"ren "&amp;[Filename]&amp;" "&amp;[New Name]</f>
        <v>ren 2018_10_31_155907_create___organisation_contacts_table.php 2018_10_31_000041_create___organisation_contacts_table.php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AS44"/>
  <sheetViews>
    <sheetView topLeftCell="J10" workbookViewId="0">
      <selection activeCell="AA23" sqref="AA23"/>
    </sheetView>
  </sheetViews>
  <sheetFormatPr defaultRowHeight="15"/>
  <cols>
    <col min="1" max="1" width="18.85546875" hidden="1" customWidth="1"/>
    <col min="2" max="2" width="18.85546875" style="21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1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1" hidden="1" customWidth="1"/>
    <col min="18" max="19" width="7.140625" hidden="1" customWidth="1"/>
    <col min="20" max="20" width="30.7109375" bestFit="1" customWidth="1"/>
    <col min="21" max="21" width="29.42578125" style="21" bestFit="1" customWidth="1"/>
    <col min="22" max="24" width="29.42578125" style="21" hidden="1" customWidth="1"/>
    <col min="25" max="25" width="7.5703125" style="21" customWidth="1"/>
    <col min="26" max="26" width="12" style="21" customWidth="1"/>
    <col min="27" max="27" width="27.28515625" style="21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850</v>
      </c>
      <c r="B1" s="1" t="s">
        <v>836</v>
      </c>
      <c r="C1" s="1" t="s">
        <v>240</v>
      </c>
      <c r="D1" s="1" t="s">
        <v>239</v>
      </c>
      <c r="E1" s="1" t="s">
        <v>204</v>
      </c>
      <c r="F1" s="1" t="s">
        <v>1</v>
      </c>
      <c r="G1" s="1" t="s">
        <v>242</v>
      </c>
      <c r="H1" s="1" t="s">
        <v>236</v>
      </c>
      <c r="I1" s="1" t="s">
        <v>14</v>
      </c>
      <c r="J1" s="1" t="s">
        <v>268</v>
      </c>
      <c r="K1" s="1" t="s">
        <v>884</v>
      </c>
      <c r="L1" s="1" t="s">
        <v>885</v>
      </c>
      <c r="M1" s="1" t="s">
        <v>804</v>
      </c>
      <c r="N1" s="1" t="s">
        <v>660</v>
      </c>
      <c r="O1" s="1" t="s">
        <v>805</v>
      </c>
      <c r="P1" s="1" t="s">
        <v>806</v>
      </c>
      <c r="Q1" s="1" t="s">
        <v>1038</v>
      </c>
      <c r="R1" s="1" t="s">
        <v>1039</v>
      </c>
      <c r="S1" s="1" t="s">
        <v>1040</v>
      </c>
      <c r="T1" s="1" t="s">
        <v>1041</v>
      </c>
      <c r="U1" s="1" t="s">
        <v>1045</v>
      </c>
      <c r="V1" s="1" t="s">
        <v>1056</v>
      </c>
      <c r="W1" s="1" t="s">
        <v>1057</v>
      </c>
      <c r="X1" s="1" t="s">
        <v>1058</v>
      </c>
      <c r="Y1" s="1" t="s">
        <v>1001</v>
      </c>
      <c r="Z1"/>
      <c r="AA1" s="1" t="s">
        <v>890</v>
      </c>
      <c r="AB1" s="1" t="s">
        <v>807</v>
      </c>
      <c r="AC1" s="1" t="s">
        <v>1003</v>
      </c>
      <c r="AD1" s="1" t="s">
        <v>439</v>
      </c>
      <c r="AE1" s="1" t="s">
        <v>891</v>
      </c>
      <c r="AF1" s="1" t="s">
        <v>893</v>
      </c>
      <c r="AG1" s="1" t="s">
        <v>894</v>
      </c>
      <c r="AH1" s="1" t="s">
        <v>278</v>
      </c>
      <c r="AI1" s="1" t="s">
        <v>892</v>
      </c>
      <c r="AJ1" s="1" t="s">
        <v>896</v>
      </c>
      <c r="AK1" s="1" t="s">
        <v>895</v>
      </c>
      <c r="AL1" s="1" t="s">
        <v>302</v>
      </c>
      <c r="AN1" s="1" t="s">
        <v>966</v>
      </c>
      <c r="AO1" s="1" t="s">
        <v>850</v>
      </c>
      <c r="AP1" s="1" t="s">
        <v>239</v>
      </c>
      <c r="AQ1" s="1" t="s">
        <v>807</v>
      </c>
      <c r="AR1" s="1" t="s">
        <v>1</v>
      </c>
      <c r="AS1" s="1" t="s">
        <v>665</v>
      </c>
    </row>
    <row r="2" spans="1:45">
      <c r="A2" s="45" t="str">
        <f>'Table Seed Map'!$A$32&amp;"-"&amp;(COUNTA($E$1:ResourceAction[[#This Row],[Resource]])-2)</f>
        <v>Resource Actions-0</v>
      </c>
      <c r="B2" s="45" t="str">
        <f>ResourceAction[[#This Row],[Resource Name]]&amp;"/"&amp;ResourceAction[[#This Row],[Name]]</f>
        <v>/name</v>
      </c>
      <c r="C2" s="38"/>
      <c r="D2" s="45" t="str">
        <f>IF(ResourceAction[[#This Row],[Resource Name]]="","id",COUNTA($C$3:ResourceAction[[#This Row],[Resource Name]])+IF(VLOOKUP('Table Seed Map'!$A$32,SeedMap[],9,0),VLOOKUP('Table Seed Map'!$A$10,SeedMap[],32,0),0))</f>
        <v>id</v>
      </c>
      <c r="E2" s="45" t="s">
        <v>23</v>
      </c>
      <c r="F2" s="45" t="s">
        <v>26</v>
      </c>
      <c r="G2" s="45" t="s">
        <v>28</v>
      </c>
      <c r="H2" s="45" t="s">
        <v>30</v>
      </c>
      <c r="I2" s="45" t="s">
        <v>48</v>
      </c>
      <c r="J2" s="45" t="s">
        <v>266</v>
      </c>
      <c r="K2" s="47" t="str">
        <f>'Table Seed Map'!$A$33&amp;"-"&amp;(COUNTA($E$1:ResourceAction[[#This Row],[Resource]])-2)</f>
        <v>Action Method-0</v>
      </c>
      <c r="L2" s="45" t="str">
        <f>IF(ResourceAction[[#This Row],[Resource Name]]="","id",COUNTA($C$3:ResourceAction[[#This Row],[Resource Name]])+IF(VLOOKUP('Table Seed Map'!$A$33,SeedMap[],9,0),VLOOKUP('Table Seed Map'!$A$33,SeedMap[],9,0),0))</f>
        <v>id</v>
      </c>
      <c r="M2" s="45" t="s">
        <v>96</v>
      </c>
      <c r="N2" s="76" t="s">
        <v>48</v>
      </c>
      <c r="O2" s="77" t="str">
        <f>IF(ResourceAction[[#This Row],[Resource Name]]="","idn1",IF(ResourceAction[[#This Row],[IDN1]]="","",VLOOKUP(ResourceAction[[#This Row],[IDN1]],IDNMaps[[Display]:[ID]],2,0)))</f>
        <v>idn1</v>
      </c>
      <c r="P2" s="77" t="str">
        <f>IF(ResourceAction[[#This Row],[Resource Name]]="","idn2",IF(ResourceAction[[#This Row],[IDN2]]="","",VLOOKUP(ResourceAction[[#This Row],[IDN2]],IDNMaps[[Display]:[ID]],2,0)))</f>
        <v>idn2</v>
      </c>
      <c r="Q2" s="77" t="str">
        <f>IF(ResourceAction[[#This Row],[Resource Name]]="","idn3",IF(ResourceAction[[#This Row],[IDN3]]="","",VLOOKUP(ResourceAction[[#This Row],[IDN3]],IDNMaps[[Display]:[ID]],2,0)))</f>
        <v>idn3</v>
      </c>
      <c r="R2" s="77" t="str">
        <f>IF(ResourceAction[[#This Row],[Resource Name]]="","idn4",IF(ResourceAction[[#This Row],[IDN4]]="","",VLOOKUP(ResourceAction[[#This Row],[IDN4]],IDNMaps[[Display]:[ID]],2,0)))</f>
        <v>idn4</v>
      </c>
      <c r="S2" s="77" t="str">
        <f>IF(ResourceAction[[#This Row],[Resource Name]]="","idn5",IF(ResourceAction[[#This Row],[IDN5]]="","",VLOOKUP(ResourceAction[[#This Row],[IDN5]],IDNMaps[[Display]:[ID]],2,0)))</f>
        <v>idn5</v>
      </c>
      <c r="T2" s="105"/>
      <c r="U2" s="105"/>
      <c r="V2" s="105"/>
      <c r="W2" s="105"/>
      <c r="X2" s="105"/>
      <c r="Y2" s="90" t="str">
        <f>[No]</f>
        <v>id</v>
      </c>
      <c r="Z2"/>
      <c r="AA2" s="1"/>
      <c r="AB2" s="15" t="s">
        <v>96</v>
      </c>
      <c r="AC2" s="15"/>
      <c r="AD2" s="15"/>
      <c r="AE2" s="15" t="str">
        <f>'Table Seed Map'!$A$35&amp;"-"&amp;COUNT($AH$2:ActionListNData[[#This Row],[List]])</f>
        <v>Action List-0</v>
      </c>
      <c r="AF2" s="15" t="str">
        <f>IF(ActionListNData[[#This Row],[Action Name]]="","id",COUNTA($AC$3:ActionListNData[[#This Row],[Resource List]])+IF(VLOOKUP('Table Seed Map'!$A$35,SeedMap[],9,0),VLOOKUP('Table Seed Map'!$A$10,SeedMap[],35,0),0))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Map'!$A$36&amp;"-"&amp;COUNT($AL$2:ActionListNData[[#This Row],[Data]])</f>
        <v>Action Data-0</v>
      </c>
      <c r="AJ2" s="15" t="str">
        <f>IF(ActionListNData[[#This Row],[Action Name]]="","id",COUNTA($AD$3:ActionListNData[[#This Row],[Resource Data]])+IF(VLOOKUP('Table Seed Map'!$A$36,SeedMap[],9,0),VLOOKUP('Table Seed Map'!$A$10,SeedMap[],36,0),0))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Map'!$A$34&amp;"-"&amp;(COUNTA($AN$2:ActionAttr[[#This Row],[Action Name for Attr]]))</f>
        <v>Action Attrs-0</v>
      </c>
      <c r="AP2" s="15" t="str">
        <f>IF(ActionAttr[[#This Row],[Action Name for Attr]]="","id",IFERROR($AP1+1,IF(ISNUMBER(VLOOKUP('Table Seed Map'!$A$34,SeedMap[],9,0)),VLOOKUP('Table Seed Map'!$A$34,SeedMap[],9,0)+1,1)))</f>
        <v>id</v>
      </c>
      <c r="AQ2" s="45" t="str">
        <f>IF(ActionAttr[[#This Row],[Action Name for Attr]]="","resource_action",VLOOKUP(ActionAttr[[#This Row],[Action Name for Attr]],ResourceAction[[Display]:[No]],3,0))</f>
        <v>resource_action</v>
      </c>
      <c r="AR2" s="38" t="s">
        <v>26</v>
      </c>
      <c r="AS2" s="38" t="s">
        <v>95</v>
      </c>
    </row>
    <row r="3" spans="1:45">
      <c r="A3" s="45" t="str">
        <f>'Table Seed Map'!$A$32&amp;"-"&amp;(COUNTA($E$1:ResourceAction[[#This Row],[Resource]])-2)</f>
        <v>Resource Actions-1</v>
      </c>
      <c r="B3" s="45" t="str">
        <f>ResourceAction[[#This Row],[Resource Name]]&amp;"/"&amp;ResourceAction[[#This Row],[Name]]</f>
        <v>User/NewUserFormAction</v>
      </c>
      <c r="C3" s="38" t="s">
        <v>174</v>
      </c>
      <c r="D3" s="45">
        <f>IF(ResourceAction[[#This Row],[Resource Name]]="","id",COUNTA($C$3:ResourceAction[[#This Row],[Resource Name]])+IF(VLOOKUP('Table Seed Map'!$A$32,SeedMap[],9,0),VLOOKUP('Table Seed Map'!$A$10,SeedMap[],32,0),0))</f>
        <v>1</v>
      </c>
      <c r="E3" s="45">
        <f>VLOOKUP(ResourceAction[[#This Row],[Resource Name]],ResourceTable[[RName]:[RID]],2,0)</f>
        <v>1</v>
      </c>
      <c r="F3" s="45" t="s">
        <v>808</v>
      </c>
      <c r="G3" s="45" t="s">
        <v>809</v>
      </c>
      <c r="H3" s="45" t="s">
        <v>273</v>
      </c>
      <c r="I3" s="45" t="s">
        <v>803</v>
      </c>
      <c r="J3" s="45" t="s">
        <v>225</v>
      </c>
      <c r="K3" s="47" t="str">
        <f>'Table Seed Map'!$A$33&amp;"-"&amp;(COUNTA($E$1:ResourceAction[[#This Row],[Resource]])-2)</f>
        <v>Action Method-1</v>
      </c>
      <c r="L3" s="45">
        <f>IF(ResourceAction[[#This Row],[Resource Name]]="","id",COUNTA($C$3:ResourceAction[[#This Row],[Resource Name]])+IF(VLOOKUP('Table Seed Map'!$A$33,SeedMap[],9,0),VLOOKUP('Table Seed Map'!$A$33,SeedMap[],9,0),0))</f>
        <v>1</v>
      </c>
      <c r="M3" s="45">
        <f>[No]</f>
        <v>1</v>
      </c>
      <c r="N3" s="76" t="s">
        <v>276</v>
      </c>
      <c r="O3" s="77">
        <f ca="1">IF(ResourceAction[[#This Row],[Resource Name]]="","idn1",IF(ResourceAction[[#This Row],[IDN1]]="","",VLOOKUP(ResourceAction[[#This Row],[IDN1]],IDNMaps[[Display]:[ID]],2,0)))</f>
        <v>1</v>
      </c>
      <c r="P3" s="77" t="str">
        <f>IF(ResourceAction[[#This Row],[Resource Name]]="","idn2",IF(ResourceAction[[#This Row],[IDN2]]="","",VLOOKUP(ResourceAction[[#This Row],[IDN2]],IDNMaps[[Display]:[ID]],2,0)))</f>
        <v/>
      </c>
      <c r="Q3" s="77" t="str">
        <f>IF(ResourceAction[[#This Row],[Resource Name]]="","idn3",IF(ResourceAction[[#This Row],[IDN3]]="","",VLOOKUP(ResourceAction[[#This Row],[IDN3]],IDNMaps[[Display]:[ID]],2,0)))</f>
        <v/>
      </c>
      <c r="R3" s="77" t="str">
        <f>IF(ResourceAction[[#This Row],[Resource Name]]="","idn4",IF(ResourceAction[[#This Row],[IDN4]]="","",VLOOKUP(ResourceAction[[#This Row],[IDN4]],IDNMaps[[Display]:[ID]],2,0)))</f>
        <v/>
      </c>
      <c r="S3" s="77" t="str">
        <f>IF(ResourceAction[[#This Row],[Resource Name]]="","idn5",IF(ResourceAction[[#This Row],[IDN5]]="","",VLOOKUP(ResourceAction[[#This Row],[IDN5]],IDNMaps[[Display]:[ID]],2,0)))</f>
        <v/>
      </c>
      <c r="T3" s="105" t="s">
        <v>1043</v>
      </c>
      <c r="U3" s="105"/>
      <c r="V3" s="105"/>
      <c r="W3" s="105"/>
      <c r="X3" s="105"/>
      <c r="Y3" s="90">
        <f>[No]</f>
        <v>1</v>
      </c>
      <c r="Z3"/>
      <c r="AA3" s="1" t="s">
        <v>888</v>
      </c>
      <c r="AB3" s="15">
        <f>VLOOKUP(ActionListNData[[#This Row],[Action Name]],ResourceAction[[Display]:[No]],3,0)</f>
        <v>3</v>
      </c>
      <c r="AC3" s="15" t="s">
        <v>936</v>
      </c>
      <c r="AD3" s="15"/>
      <c r="AE3" s="15" t="str">
        <f>'Table Seed Map'!$A$35&amp;"-"&amp;COUNT($AH$2:ActionListNData[[#This Row],[List]])</f>
        <v>Action List-1</v>
      </c>
      <c r="AF3" s="15">
        <f>IF(ActionListNData[[#This Row],[Action Name]]="","id",COUNTA($AC$3:ActionListNData[[#This Row],[Resource List]])+IF(VLOOKUP('Table Seed Map'!$A$35,SeedMap[],9,0),VLOOKUP('Table Seed Map'!$A$10,SeedMap[],35,0),0))</f>
        <v>1</v>
      </c>
      <c r="AG3" s="15">
        <f>ActionListNData[[#This Row],[Action]]</f>
        <v>3</v>
      </c>
      <c r="AH3" s="15">
        <f>IF(ActionListNData[[#This Row],[Action Name]]="","resource_list",IFERROR(VLOOKUP(ActionListNData[[#This Row],[Resource List]],ResourceList[[ListDisplayName]:[No]],2,0),""))</f>
        <v>1</v>
      </c>
      <c r="AI3" s="15" t="str">
        <f>'Table Seed Map'!$A$36&amp;"-"&amp;COUNT($AL$2:ActionListNData[[#This Row],[Data]])</f>
        <v>Action Data-0</v>
      </c>
      <c r="AJ3" s="15">
        <f>IF(ActionListNData[[#This Row],[Action Name]]="","id",COUNTA($AD$3:ActionListNData[[#This Row],[Resource Data]])+IF(VLOOKUP('Table Seed Map'!$A$36,SeedMap[],9,0),VLOOKUP('Table Seed Map'!$A$10,SeedMap[],36,0),0))</f>
        <v>0</v>
      </c>
      <c r="AK3" s="15">
        <f>ActionListNData[[#This Row],[Action]]</f>
        <v>3</v>
      </c>
      <c r="AL3" s="15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46" t="str">
        <f>'Table Seed Map'!$A$32&amp;"-"&amp;(COUNTA($E$1:ResourceAction[[#This Row],[Resource]])-2)</f>
        <v>Resource Actions-2</v>
      </c>
      <c r="B4" s="46" t="str">
        <f>ResourceAction[[#This Row],[Resource Name]]&amp;"/"&amp;ResourceAction[[#This Row],[Name]]</f>
        <v>User/UsersListAction</v>
      </c>
      <c r="C4" s="48" t="s">
        <v>174</v>
      </c>
      <c r="D4" s="46">
        <f>IF(ResourceAction[[#This Row],[Resource Name]]="","id",COUNTA($C$3:ResourceAction[[#This Row],[Resource Name]])+IF(VLOOKUP('Table Seed Map'!$A$32,SeedMap[],9,0),VLOOKUP('Table Seed Map'!$A$10,SeedMap[],32,0),0))</f>
        <v>2</v>
      </c>
      <c r="E4" s="46">
        <f>VLOOKUP(ResourceAction[[#This Row],[Resource Name]],ResourceTable[[RName]:[RID]],2,0)</f>
        <v>1</v>
      </c>
      <c r="F4" s="46" t="s">
        <v>812</v>
      </c>
      <c r="G4" s="46" t="s">
        <v>813</v>
      </c>
      <c r="H4" s="46" t="s">
        <v>180</v>
      </c>
      <c r="I4" s="45" t="s">
        <v>803</v>
      </c>
      <c r="J4" s="46" t="s">
        <v>277</v>
      </c>
      <c r="K4" s="49" t="str">
        <f>'Table Seed Map'!$A$33&amp;"-"&amp;(COUNTA($E$1:ResourceAction[[#This Row],[Resource]])-2)</f>
        <v>Action Method-2</v>
      </c>
      <c r="L4" s="46">
        <f>IF(ResourceAction[[#This Row],[Resource Name]]="","id",COUNTA($C$3:ResourceAction[[#This Row],[Resource Name]])+IF(VLOOKUP('Table Seed Map'!$A$33,SeedMap[],9,0),VLOOKUP('Table Seed Map'!$A$33,SeedMap[],9,0),0))</f>
        <v>2</v>
      </c>
      <c r="M4" s="46">
        <f>[No]</f>
        <v>2</v>
      </c>
      <c r="N4" s="78" t="s">
        <v>278</v>
      </c>
      <c r="O4" s="77">
        <f ca="1">IF(ResourceAction[[#This Row],[Resource Name]]="","idn1",IF(ResourceAction[[#This Row],[IDN1]]="","",VLOOKUP(ResourceAction[[#This Row],[IDN1]],IDNMaps[[Display]:[ID]],2,0)))</f>
        <v>1</v>
      </c>
      <c r="P4" s="79" t="str">
        <f>IF(ResourceAction[[#This Row],[Resource Name]]="","idn2",IF(ResourceAction[[#This Row],[IDN2]]="","",VLOOKUP(ResourceAction[[#This Row],[IDN2]],IDNMaps[[Display]:[ID]],2,0)))</f>
        <v/>
      </c>
      <c r="Q4" s="79" t="str">
        <f>IF(ResourceAction[[#This Row],[Resource Name]]="","idn3",IF(ResourceAction[[#This Row],[IDN3]]="","",VLOOKUP(ResourceAction[[#This Row],[IDN3]],IDNMaps[[Display]:[ID]],2,0)))</f>
        <v/>
      </c>
      <c r="R4" s="79" t="str">
        <f>IF(ResourceAction[[#This Row],[Resource Name]]="","idn4",IF(ResourceAction[[#This Row],[IDN4]]="","",VLOOKUP(ResourceAction[[#This Row],[IDN4]],IDNMaps[[Display]:[ID]],2,0)))</f>
        <v/>
      </c>
      <c r="S4" s="79" t="str">
        <f>IF(ResourceAction[[#This Row],[Resource Name]]="","idn5",IF(ResourceAction[[#This Row],[IDN5]]="","",VLOOKUP(ResourceAction[[#This Row],[IDN5]],IDNMaps[[Display]:[ID]],2,0)))</f>
        <v/>
      </c>
      <c r="T4" s="105" t="s">
        <v>1042</v>
      </c>
      <c r="U4" s="105"/>
      <c r="V4" s="105"/>
      <c r="W4" s="105"/>
      <c r="X4" s="105"/>
      <c r="Y4" s="91">
        <f>[No]</f>
        <v>2</v>
      </c>
      <c r="Z4"/>
      <c r="AA4" s="2" t="s">
        <v>889</v>
      </c>
      <c r="AB4" s="15">
        <f>VLOOKUP(ActionListNData[[#This Row],[Action Name]],ResourceAction[[Display]:[No]],3,0)</f>
        <v>4</v>
      </c>
      <c r="AC4" s="15" t="s">
        <v>936</v>
      </c>
      <c r="AD4" s="15"/>
      <c r="AE4" s="15" t="str">
        <f>'Table Seed Map'!$A$35&amp;"-"&amp;COUNT($AH$2:ActionListNData[[#This Row],[List]])</f>
        <v>Action List-2</v>
      </c>
      <c r="AF4" s="15">
        <f>IF(ActionListNData[[#This Row],[Action Name]]="","id",COUNTA($AC$3:ActionListNData[[#This Row],[Resource List]])+IF(VLOOKUP('Table Seed Map'!$A$35,SeedMap[],9,0),VLOOKUP('Table Seed Map'!$A$10,SeedMap[],35,0),0))</f>
        <v>2</v>
      </c>
      <c r="AG4" s="15">
        <f>ActionListNData[[#This Row],[Action]]</f>
        <v>4</v>
      </c>
      <c r="AH4" s="16">
        <f>IF(ActionListNData[[#This Row],[Action Name]]="","resource_list",IFERROR(VLOOKUP(ActionListNData[[#This Row],[Resource List]],ResourceList[[ListDisplayName]:[No]],2,0),""))</f>
        <v>1</v>
      </c>
      <c r="AI4" s="16" t="str">
        <f>'Table Seed Map'!$A$36&amp;"-"&amp;COUNT($AL$2:ActionListNData[[#This Row],[Data]])</f>
        <v>Action Data-0</v>
      </c>
      <c r="AJ4" s="16">
        <f>IF(ActionListNData[[#This Row],[Action Name]]="","id",COUNTA($AD$3:ActionListNData[[#This Row],[Resource Data]])+IF(VLOOKUP('Table Seed Map'!$A$36,SeedMap[],9,0),VLOOKUP('Table Seed Map'!$A$10,SeedMap[],36,0),0))</f>
        <v>0</v>
      </c>
      <c r="AK4" s="16">
        <f>ActionListNData[[#This Row],[Action]]</f>
        <v>4</v>
      </c>
      <c r="AL4" s="16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46" t="str">
        <f>'Table Seed Map'!$A$32&amp;"-"&amp;(COUNTA($E$1:ResourceAction[[#This Row],[Resource]])-2)</f>
        <v>Resource Actions-3</v>
      </c>
      <c r="B5" s="46" t="str">
        <f>ResourceAction[[#This Row],[Resource Name]]&amp;"/"&amp;ResourceAction[[#This Row],[Name]]</f>
        <v>User/EditUserAction</v>
      </c>
      <c r="C5" s="48" t="s">
        <v>174</v>
      </c>
      <c r="D5" s="46">
        <f>IF(ResourceAction[[#This Row],[Resource Name]]="","id",COUNTA($C$3:ResourceAction[[#This Row],[Resource Name]])+IF(VLOOKUP('Table Seed Map'!$A$32,SeedMap[],9,0),VLOOKUP('Table Seed Map'!$A$10,SeedMap[],32,0),0))</f>
        <v>3</v>
      </c>
      <c r="E5" s="46">
        <f>VLOOKUP(ResourceAction[[#This Row],[Resource Name]],ResourceTable[[RName]:[RID]],2,0)</f>
        <v>1</v>
      </c>
      <c r="F5" s="46" t="s">
        <v>825</v>
      </c>
      <c r="G5" s="46" t="s">
        <v>826</v>
      </c>
      <c r="H5" s="46" t="s">
        <v>827</v>
      </c>
      <c r="I5" s="45" t="s">
        <v>803</v>
      </c>
      <c r="J5" s="46"/>
      <c r="K5" s="49" t="str">
        <f>'Table Seed Map'!$A$33&amp;"-"&amp;(COUNTA($E$1:ResourceAction[[#This Row],[Resource]])-2)</f>
        <v>Action Method-3</v>
      </c>
      <c r="L5" s="46">
        <f>IF(ResourceAction[[#This Row],[Resource Name]]="","id",COUNTA($C$3:ResourceAction[[#This Row],[Resource Name]])+IF(VLOOKUP('Table Seed Map'!$A$33,SeedMap[],9,0),VLOOKUP('Table Seed Map'!$A$33,SeedMap[],9,0),0))</f>
        <v>3</v>
      </c>
      <c r="M5" s="46">
        <f>[No]</f>
        <v>3</v>
      </c>
      <c r="N5" s="78" t="s">
        <v>500</v>
      </c>
      <c r="O5" s="77">
        <f ca="1">IF(ResourceAction[[#This Row],[Resource Name]]="","idn1",IF(ResourceAction[[#This Row],[IDN1]]="","",VLOOKUP(ResourceAction[[#This Row],[IDN1]],IDNMaps[[Display]:[ID]],2,0)))</f>
        <v>2</v>
      </c>
      <c r="P5" s="79">
        <f ca="1">IF(ResourceAction[[#This Row],[Resource Name]]="","idn2",IF(ResourceAction[[#This Row],[IDN2]]="","",VLOOKUP(ResourceAction[[#This Row],[IDN2]],IDNMaps[[Display]:[ID]],2,0)))</f>
        <v>1</v>
      </c>
      <c r="Q5" s="79" t="str">
        <f>IF(ResourceAction[[#This Row],[Resource Name]]="","idn3",IF(ResourceAction[[#This Row],[IDN3]]="","",VLOOKUP(ResourceAction[[#This Row],[IDN3]],IDNMaps[[Display]:[ID]],2,0)))</f>
        <v/>
      </c>
      <c r="R5" s="79" t="str">
        <f>IF(ResourceAction[[#This Row],[Resource Name]]="","idn4",IF(ResourceAction[[#This Row],[IDN4]]="","",VLOOKUP(ResourceAction[[#This Row],[IDN4]],IDNMaps[[Display]:[ID]],2,0)))</f>
        <v/>
      </c>
      <c r="S5" s="79" t="str">
        <f>IF(ResourceAction[[#This Row],[Resource Name]]="","idn5",IF(ResourceAction[[#This Row],[IDN5]]="","",VLOOKUP(ResourceAction[[#This Row],[IDN5]],IDNMaps[[Display]:[ID]],2,0)))</f>
        <v/>
      </c>
      <c r="T5" s="106" t="s">
        <v>1044</v>
      </c>
      <c r="U5" s="106" t="s">
        <v>1046</v>
      </c>
      <c r="V5" s="106"/>
      <c r="W5" s="106"/>
      <c r="X5" s="106"/>
      <c r="Y5" s="91">
        <f>[No]</f>
        <v>3</v>
      </c>
      <c r="Z5"/>
      <c r="AA5" s="2" t="s">
        <v>1098</v>
      </c>
      <c r="AB5" s="16">
        <f>VLOOKUP(ActionListNData[[#This Row],[Action Name]],ResourceAction[[Display]:[No]],3,0)</f>
        <v>8</v>
      </c>
      <c r="AC5" s="16" t="s">
        <v>982</v>
      </c>
      <c r="AD5" s="16"/>
      <c r="AE5" s="16" t="str">
        <f>'Table Seed Map'!$A$35&amp;"-"&amp;COUNT($AH$2:ActionListNData[[#This Row],[List]])</f>
        <v>Action List-3</v>
      </c>
      <c r="AF5" s="16">
        <f>IF(ActionListNData[[#This Row],[Action Name]]="","id",COUNTA($AC$3:ActionListNData[[#This Row],[Resource List]])+IF(VLOOKUP('Table Seed Map'!$A$35,SeedMap[],9,0),VLOOKUP('Table Seed Map'!$A$10,SeedMap[],35,0),0))</f>
        <v>3</v>
      </c>
      <c r="AG5" s="16">
        <f>ActionListNData[[#This Row],[Action]]</f>
        <v>8</v>
      </c>
      <c r="AH5" s="16">
        <f>IF(ActionListNData[[#This Row],[Action Name]]="","resource_list",IFERROR(VLOOKUP(ActionListNData[[#This Row],[Resource List]],ResourceList[[ListDisplayName]:[No]],2,0),""))</f>
        <v>2</v>
      </c>
      <c r="AI5" s="16" t="str">
        <f>'Table Seed Map'!$A$36&amp;"-"&amp;COUNT($AL$2:ActionListNData[[#This Row],[Data]])</f>
        <v>Action Data-0</v>
      </c>
      <c r="AJ5" s="16">
        <f>IF(ActionListNData[[#This Row],[Action Name]]="","id",COUNTA($AD$3:ActionListNData[[#This Row],[Resource Data]])+IF(VLOOKUP('Table Seed Map'!$A$36,SeedMap[],9,0),VLOOKUP('Table Seed Map'!$A$10,SeedMap[],36,0),0))</f>
        <v>0</v>
      </c>
      <c r="AK5" s="16">
        <f>ActionListNData[[#This Row],[Action]]</f>
        <v>8</v>
      </c>
      <c r="AL5" s="16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46" t="str">
        <f>'Table Seed Map'!$A$32&amp;"-"&amp;(COUNTA($E$1:ResourceAction[[#This Row],[Resource]])-2)</f>
        <v>Resource Actions-4</v>
      </c>
      <c r="B6" s="46" t="str">
        <f>ResourceAction[[#This Row],[Resource Name]]&amp;"/"&amp;ResourceAction[[#This Row],[Name]]</f>
        <v>User/ChangeUserPasswordAction</v>
      </c>
      <c r="C6" s="48" t="s">
        <v>174</v>
      </c>
      <c r="D6" s="46">
        <f>IF(ResourceAction[[#This Row],[Resource Name]]="","id",COUNTA($C$3:ResourceAction[[#This Row],[Resource Name]])+IF(VLOOKUP('Table Seed Map'!$A$32,SeedMap[],9,0),VLOOKUP('Table Seed Map'!$A$10,SeedMap[],32,0),0))</f>
        <v>4</v>
      </c>
      <c r="E6" s="50">
        <f>VLOOKUP(ResourceAction[[#This Row],[Resource Name]],ResourceTable[[RName]:[RID]],2,0)</f>
        <v>1</v>
      </c>
      <c r="F6" s="50" t="s">
        <v>843</v>
      </c>
      <c r="G6" s="50" t="s">
        <v>844</v>
      </c>
      <c r="H6" s="50" t="s">
        <v>832</v>
      </c>
      <c r="I6" s="45" t="s">
        <v>803</v>
      </c>
      <c r="J6" s="50"/>
      <c r="K6" s="51" t="str">
        <f>'Table Seed Map'!$A$33&amp;"-"&amp;(COUNTA($E$1:ResourceAction[[#This Row],[Resource]])-2)</f>
        <v>Action Method-4</v>
      </c>
      <c r="L6" s="50">
        <f>IF(ResourceAction[[#This Row],[Resource Name]]="","id",COUNTA($C$3:ResourceAction[[#This Row],[Resource Name]])+IF(VLOOKUP('Table Seed Map'!$A$33,SeedMap[],9,0),VLOOKUP('Table Seed Map'!$A$33,SeedMap[],9,0),0))</f>
        <v>4</v>
      </c>
      <c r="M6" s="50">
        <f>[No]</f>
        <v>4</v>
      </c>
      <c r="N6" s="80" t="s">
        <v>500</v>
      </c>
      <c r="O6" s="77">
        <f ca="1">IF(ResourceAction[[#This Row],[Resource Name]]="","idn1",IF(ResourceAction[[#This Row],[IDN1]]="","",VLOOKUP(ResourceAction[[#This Row],[IDN1]],IDNMaps[[Display]:[ID]],2,0)))</f>
        <v>3</v>
      </c>
      <c r="P6" s="79">
        <f ca="1">IF(ResourceAction[[#This Row],[Resource Name]]="","idn2",IF(ResourceAction[[#This Row],[IDN2]]="","",VLOOKUP(ResourceAction[[#This Row],[IDN2]],IDNMaps[[Display]:[ID]],2,0)))</f>
        <v>1</v>
      </c>
      <c r="Q6" s="79" t="str">
        <f>IF(ResourceAction[[#This Row],[Resource Name]]="","idn3",IF(ResourceAction[[#This Row],[IDN3]]="","",VLOOKUP(ResourceAction[[#This Row],[IDN3]],IDNMaps[[Display]:[ID]],2,0)))</f>
        <v/>
      </c>
      <c r="R6" s="79" t="str">
        <f>IF(ResourceAction[[#This Row],[Resource Name]]="","idn4",IF(ResourceAction[[#This Row],[IDN4]]="","",VLOOKUP(ResourceAction[[#This Row],[IDN4]],IDNMaps[[Display]:[ID]],2,0)))</f>
        <v/>
      </c>
      <c r="S6" s="79" t="str">
        <f>IF(ResourceAction[[#This Row],[Resource Name]]="","idn5",IF(ResourceAction[[#This Row],[IDN5]]="","",VLOOKUP(ResourceAction[[#This Row],[IDN5]],IDNMaps[[Display]:[ID]],2,0)))</f>
        <v/>
      </c>
      <c r="T6" s="106" t="s">
        <v>1047</v>
      </c>
      <c r="U6" s="106" t="s">
        <v>1046</v>
      </c>
      <c r="V6" s="106"/>
      <c r="W6" s="106"/>
      <c r="X6" s="106"/>
      <c r="Y6" s="91">
        <f>[No]</f>
        <v>4</v>
      </c>
      <c r="Z6"/>
      <c r="AA6" s="2" t="s">
        <v>1002</v>
      </c>
      <c r="AB6" s="16">
        <f>VLOOKUP(ActionListNData[[#This Row],[Action Name]],ResourceAction[[Display]:[No]],3,0)</f>
        <v>12</v>
      </c>
      <c r="AC6" s="16" t="s">
        <v>982</v>
      </c>
      <c r="AD6" s="16"/>
      <c r="AE6" s="16" t="str">
        <f>'Table Seed Map'!$A$35&amp;"-"&amp;COUNT($AH$2:ActionListNData[[#This Row],[List]])</f>
        <v>Action List-4</v>
      </c>
      <c r="AF6" s="16">
        <f>IF(ActionListNData[[#This Row],[Action Name]]="","id",COUNTA($AC$3:ActionListNData[[#This Row],[Resource List]])+IF(VLOOKUP('Table Seed Map'!$A$35,SeedMap[],9,0),VLOOKUP('Table Seed Map'!$A$10,SeedMap[],35,0),0))</f>
        <v>4</v>
      </c>
      <c r="AG6" s="16">
        <f>ActionListNData[[#This Row],[Action]]</f>
        <v>12</v>
      </c>
      <c r="AH6" s="16">
        <f>IF(ActionListNData[[#This Row],[Action Name]]="","resource_list",IFERROR(VLOOKUP(ActionListNData[[#This Row],[Resource List]],ResourceList[[ListDisplayName]:[No]],2,0),""))</f>
        <v>2</v>
      </c>
      <c r="AI6" s="16" t="str">
        <f>'Table Seed Map'!$A$36&amp;"-"&amp;COUNT($AL$2:ActionListNData[[#This Row],[Data]])</f>
        <v>Action Data-0</v>
      </c>
      <c r="AJ6" s="16">
        <f>IF(ActionListNData[[#This Row],[Action Name]]="","id",COUNTA($AD$3:ActionListNData[[#This Row],[Resource Data]])+IF(VLOOKUP('Table Seed Map'!$A$36,SeedMap[],9,0),VLOOKUP('Table Seed Map'!$A$10,SeedMap[],36,0),0))</f>
        <v>0</v>
      </c>
      <c r="AK6" s="16">
        <f>ActionListNData[[#This Row],[Action]]</f>
        <v>12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46" t="str">
        <f>'Table Seed Map'!$A$32&amp;"-"&amp;(COUNTA($E$1:ResourceAction[[#This Row],[Resource]])-2)</f>
        <v>Resource Actions-5</v>
      </c>
      <c r="B7" s="46" t="str">
        <f>ResourceAction[[#This Row],[Resource Name]]&amp;"/"&amp;ResourceAction[[#This Row],[Name]]</f>
        <v>Resource/NewResourceFormAction</v>
      </c>
      <c r="C7" s="48" t="s">
        <v>204</v>
      </c>
      <c r="D7" s="46">
        <f>IF(ResourceAction[[#This Row],[Resource Name]]="","id",COUNTA($C$3:ResourceAction[[#This Row],[Resource Name]])+IF(VLOOKUP('Table Seed Map'!$A$32,SeedMap[],9,0),VLOOKUP('Table Seed Map'!$A$10,SeedMap[],32,0),0))</f>
        <v>5</v>
      </c>
      <c r="E7" s="46">
        <f>VLOOKUP(ResourceAction[[#This Row],[Resource Name]],ResourceTable[[RName]:[RID]],2,0)</f>
        <v>4</v>
      </c>
      <c r="F7" s="46" t="s">
        <v>977</v>
      </c>
      <c r="G7" s="46" t="s">
        <v>978</v>
      </c>
      <c r="H7" s="46" t="s">
        <v>970</v>
      </c>
      <c r="I7" s="46"/>
      <c r="J7" s="46" t="s">
        <v>971</v>
      </c>
      <c r="K7" s="49" t="str">
        <f>'Table Seed Map'!$A$33&amp;"-"&amp;(COUNTA($E$1:ResourceAction[[#This Row],[Resource]])-2)</f>
        <v>Action Method-5</v>
      </c>
      <c r="L7" s="46">
        <f>IF(ResourceAction[[#This Row],[Resource Name]]="","id",COUNTA($C$3:ResourceAction[[#This Row],[Resource Name]])+IF(VLOOKUP('Table Seed Map'!$A$33,SeedMap[],9,0),VLOOKUP('Table Seed Map'!$A$33,SeedMap[],9,0),0))</f>
        <v>5</v>
      </c>
      <c r="M7" s="46">
        <f>[No]</f>
        <v>5</v>
      </c>
      <c r="N7" s="78" t="s">
        <v>276</v>
      </c>
      <c r="O7" s="77">
        <f ca="1">IF(ResourceAction[[#This Row],[Resource Name]]="","idn1",IF(ResourceAction[[#This Row],[IDN1]]="","",VLOOKUP(ResourceAction[[#This Row],[IDN1]],IDNMaps[[Display]:[ID]],2,0)))</f>
        <v>4</v>
      </c>
      <c r="P7" s="79" t="str">
        <f>IF(ResourceAction[[#This Row],[Resource Name]]="","idn2",IF(ResourceAction[[#This Row],[IDN2]]="","",VLOOKUP(ResourceAction[[#This Row],[IDN2]],IDNMaps[[Display]:[ID]],2,0)))</f>
        <v/>
      </c>
      <c r="Q7" s="79" t="str">
        <f>IF(ResourceAction[[#This Row],[Resource Name]]="","idn3",IF(ResourceAction[[#This Row],[IDN3]]="","",VLOOKUP(ResourceAction[[#This Row],[IDN3]],IDNMaps[[Display]:[ID]],2,0)))</f>
        <v/>
      </c>
      <c r="R7" s="79" t="str">
        <f>IF(ResourceAction[[#This Row],[Resource Name]]="","idn4",IF(ResourceAction[[#This Row],[IDN4]]="","",VLOOKUP(ResourceAction[[#This Row],[IDN4]],IDNMaps[[Display]:[ID]],2,0)))</f>
        <v/>
      </c>
      <c r="S7" s="79" t="str">
        <f>IF(ResourceAction[[#This Row],[Resource Name]]="","idn5",IF(ResourceAction[[#This Row],[IDN5]]="","",VLOOKUP(ResourceAction[[#This Row],[IDN5]],IDNMaps[[Display]:[ID]],2,0)))</f>
        <v/>
      </c>
      <c r="T7" s="106" t="s">
        <v>1048</v>
      </c>
      <c r="U7" s="106"/>
      <c r="V7" s="106"/>
      <c r="W7" s="106"/>
      <c r="X7" s="106"/>
      <c r="Y7" s="91">
        <f>[No]</f>
        <v>5</v>
      </c>
      <c r="Z7"/>
      <c r="AA7" s="2" t="s">
        <v>1030</v>
      </c>
      <c r="AB7" s="17">
        <f>VLOOKUP(ActionListNData[[#This Row],[Action Name]],ResourceAction[[Display]:[No]],3,0)</f>
        <v>15</v>
      </c>
      <c r="AC7" s="17" t="s">
        <v>982</v>
      </c>
      <c r="AD7" s="17"/>
      <c r="AE7" s="17" t="str">
        <f>'Table Seed Map'!$A$35&amp;"-"&amp;COUNT($AH$2:ActionListNData[[#This Row],[List]])</f>
        <v>Action List-5</v>
      </c>
      <c r="AF7" s="17">
        <f>IF(ActionListNData[[#This Row],[Action Name]]="","id",COUNTA($AC$3:ActionListNData[[#This Row],[Resource List]])+IF(VLOOKUP('Table Seed Map'!$A$35,SeedMap[],9,0),VLOOKUP('Table Seed Map'!$A$10,SeedMap[],35,0),0))</f>
        <v>5</v>
      </c>
      <c r="AG7" s="17">
        <f>ActionListNData[[#This Row],[Action]]</f>
        <v>15</v>
      </c>
      <c r="AH7" s="17">
        <f>IF(ActionListNData[[#This Row],[Action Name]]="","resource_list",IFERROR(VLOOKUP(ActionListNData[[#This Row],[Resource List]],ResourceList[[ListDisplayName]:[No]],2,0),""))</f>
        <v>2</v>
      </c>
      <c r="AI7" s="17" t="str">
        <f>'Table Seed Map'!$A$36&amp;"-"&amp;COUNT($AL$2:ActionListNData[[#This Row],[Data]])</f>
        <v>Action Data-0</v>
      </c>
      <c r="AJ7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7" s="17">
        <f>ActionListNData[[#This Row],[Action]]</f>
        <v>15</v>
      </c>
      <c r="AL7" s="17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46" t="str">
        <f>'Table Seed Map'!$A$32&amp;"-"&amp;(COUNTA($E$1:ResourceAction[[#This Row],[Resource]])-2)</f>
        <v>Resource Actions-6</v>
      </c>
      <c r="B8" s="46" t="str">
        <f>ResourceAction[[#This Row],[Resource Name]]&amp;"/"&amp;ResourceAction[[#This Row],[Name]]</f>
        <v>Resource/ResourcesListAction</v>
      </c>
      <c r="C8" s="48" t="s">
        <v>204</v>
      </c>
      <c r="D8" s="46">
        <f>IF(ResourceAction[[#This Row],[Resource Name]]="","id",COUNTA($C$3:ResourceAction[[#This Row],[Resource Name]])+IF(VLOOKUP('Table Seed Map'!$A$32,SeedMap[],9,0),VLOOKUP('Table Seed Map'!$A$10,SeedMap[],32,0),0))</f>
        <v>6</v>
      </c>
      <c r="E8" s="46">
        <f>VLOOKUP(ResourceAction[[#This Row],[Resource Name]],ResourceTable[[RName]:[RID]],2,0)</f>
        <v>4</v>
      </c>
      <c r="F8" s="46" t="s">
        <v>983</v>
      </c>
      <c r="G8" s="46" t="s">
        <v>984</v>
      </c>
      <c r="H8" s="46" t="s">
        <v>216</v>
      </c>
      <c r="I8" s="46"/>
      <c r="J8" s="46" t="s">
        <v>216</v>
      </c>
      <c r="K8" s="49" t="str">
        <f>'Table Seed Map'!$A$33&amp;"-"&amp;(COUNTA($E$1:ResourceAction[[#This Row],[Resource]])-2)</f>
        <v>Action Method-6</v>
      </c>
      <c r="L8" s="46">
        <f>IF(ResourceAction[[#This Row],[Resource Name]]="","id",COUNTA($C$3:ResourceAction[[#This Row],[Resource Name]])+IF(VLOOKUP('Table Seed Map'!$A$33,SeedMap[],9,0),VLOOKUP('Table Seed Map'!$A$33,SeedMap[],9,0),0))</f>
        <v>6</v>
      </c>
      <c r="M8" s="46">
        <f>[No]</f>
        <v>6</v>
      </c>
      <c r="N8" s="78" t="s">
        <v>278</v>
      </c>
      <c r="O8" s="77">
        <f ca="1">IF(ResourceAction[[#This Row],[Resource Name]]="","idn1",IF(ResourceAction[[#This Row],[IDN1]]="","",VLOOKUP(ResourceAction[[#This Row],[IDN1]],IDNMaps[[Display]:[ID]],2,0)))</f>
        <v>2</v>
      </c>
      <c r="P8" s="79" t="str">
        <f>IF(ResourceAction[[#This Row],[Resource Name]]="","idn2",IF(ResourceAction[[#This Row],[IDN2]]="","",VLOOKUP(ResourceAction[[#This Row],[IDN2]],IDNMaps[[Display]:[ID]],2,0)))</f>
        <v/>
      </c>
      <c r="Q8" s="79" t="str">
        <f>IF(ResourceAction[[#This Row],[Resource Name]]="","idn3",IF(ResourceAction[[#This Row],[IDN3]]="","",VLOOKUP(ResourceAction[[#This Row],[IDN3]],IDNMaps[[Display]:[ID]],2,0)))</f>
        <v/>
      </c>
      <c r="R8" s="79" t="str">
        <f>IF(ResourceAction[[#This Row],[Resource Name]]="","idn4",IF(ResourceAction[[#This Row],[IDN4]]="","",VLOOKUP(ResourceAction[[#This Row],[IDN4]],IDNMaps[[Display]:[ID]],2,0)))</f>
        <v/>
      </c>
      <c r="S8" s="79" t="str">
        <f>IF(ResourceAction[[#This Row],[Resource Name]]="","idn5",IF(ResourceAction[[#This Row],[IDN5]]="","",VLOOKUP(ResourceAction[[#This Row],[IDN5]],IDNMaps[[Display]:[ID]],2,0)))</f>
        <v/>
      </c>
      <c r="T8" s="106" t="s">
        <v>1049</v>
      </c>
      <c r="U8" s="106"/>
      <c r="V8" s="106"/>
      <c r="W8" s="106"/>
      <c r="X8" s="106"/>
      <c r="Y8" s="91">
        <f>[No]</f>
        <v>6</v>
      </c>
      <c r="Z8"/>
      <c r="AA8" s="2" t="s">
        <v>1075</v>
      </c>
      <c r="AB8" s="16">
        <f>VLOOKUP(ActionListNData[[#This Row],[Action Name]],ResourceAction[[Display]:[No]],3,0)</f>
        <v>18</v>
      </c>
      <c r="AC8" s="17" t="s">
        <v>982</v>
      </c>
      <c r="AD8" s="16"/>
      <c r="AE8" s="16" t="str">
        <f>'Table Seed Map'!$A$35&amp;"-"&amp;COUNT($AH$2:ActionListNData[[#This Row],[List]])</f>
        <v>Action List-6</v>
      </c>
      <c r="AF8" s="16">
        <f>IF(ActionListNData[[#This Row],[Action Name]]="","id",COUNTA($AC$3:ActionListNData[[#This Row],[Resource List]])+IF(VLOOKUP('Table Seed Map'!$A$35,SeedMap[],9,0),VLOOKUP('Table Seed Map'!$A$10,SeedMap[],35,0),0))</f>
        <v>6</v>
      </c>
      <c r="AG8" s="16">
        <f>ActionListNData[[#This Row],[Action]]</f>
        <v>18</v>
      </c>
      <c r="AH8" s="16">
        <f>IF(ActionListNData[[#This Row],[Action Name]]="","resource_list",IFERROR(VLOOKUP(ActionListNData[[#This Row],[Resource List]],ResourceList[[ListDisplayName]:[No]],2,0),""))</f>
        <v>2</v>
      </c>
      <c r="AI8" s="16" t="str">
        <f>'Table Seed Map'!$A$36&amp;"-"&amp;COUNT($AL$2:ActionListNData[[#This Row],[Data]])</f>
        <v>Action Data-0</v>
      </c>
      <c r="AJ8" s="16">
        <f>IF(ActionListNData[[#This Row],[Action Name]]="","id",COUNTA($AD$3:ActionListNData[[#This Row],[Resource Data]])+IF(VLOOKUP('Table Seed Map'!$A$36,SeedMap[],9,0),VLOOKUP('Table Seed Map'!$A$10,SeedMap[],36,0),0))</f>
        <v>0</v>
      </c>
      <c r="AK8" s="16">
        <f>ActionListNData[[#This Row],[Action]]</f>
        <v>18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46" t="str">
        <f>'Table Seed Map'!$A$32&amp;"-"&amp;(COUNTA($E$1:ResourceAction[[#This Row],[Resource]])-2)</f>
        <v>Resource Actions-7</v>
      </c>
      <c r="B9" s="46" t="str">
        <f>ResourceAction[[#This Row],[Resource Name]]&amp;"/"&amp;ResourceAction[[#This Row],[Name]]</f>
        <v>ResourceAction/NewActionAction</v>
      </c>
      <c r="C9" s="48" t="s">
        <v>256</v>
      </c>
      <c r="D9" s="46">
        <f>IF(ResourceAction[[#This Row],[Resource Name]]="","id",COUNTA($C$3:ResourceAction[[#This Row],[Resource Name]])+IF(VLOOKUP('Table Seed Map'!$A$32,SeedMap[],9,0),VLOOKUP('Table Seed Map'!$A$10,SeedMap[],32,0),0))</f>
        <v>7</v>
      </c>
      <c r="E9" s="46">
        <f>VLOOKUP(ResourceAction[[#This Row],[Resource Name]],ResourceTable[[RName]:[RID]],2,0)</f>
        <v>30</v>
      </c>
      <c r="F9" s="46" t="s">
        <v>1092</v>
      </c>
      <c r="G9" s="46" t="s">
        <v>1093</v>
      </c>
      <c r="H9" s="46" t="s">
        <v>1078</v>
      </c>
      <c r="I9" s="46"/>
      <c r="J9" s="46" t="s">
        <v>1077</v>
      </c>
      <c r="K9" s="49" t="str">
        <f>'Table Seed Map'!$A$33&amp;"-"&amp;(COUNTA($E$1:ResourceAction[[#This Row],[Resource]])-2)</f>
        <v>Action Method-7</v>
      </c>
      <c r="L9" s="46">
        <f>IF(ResourceAction[[#This Row],[Resource Name]]="","id",COUNTA($C$3:ResourceAction[[#This Row],[Resource Name]])+IF(VLOOKUP('Table Seed Map'!$A$33,SeedMap[],9,0),VLOOKUP('Table Seed Map'!$A$33,SeedMap[],9,0),0))</f>
        <v>7</v>
      </c>
      <c r="M9" s="46">
        <f>[No]</f>
        <v>7</v>
      </c>
      <c r="N9" s="78" t="s">
        <v>276</v>
      </c>
      <c r="O9" s="77">
        <f ca="1">IF(ResourceAction[[#This Row],[Resource Name]]="","idn1",IF(ResourceAction[[#This Row],[IDN1]]="","",VLOOKUP(ResourceAction[[#This Row],[IDN1]],IDNMaps[[Display]:[ID]],2,0)))</f>
        <v>5</v>
      </c>
      <c r="P9" s="79" t="str">
        <f>IF(ResourceAction[[#This Row],[Resource Name]]="","idn2",IF(ResourceAction[[#This Row],[IDN2]]="","",VLOOKUP(ResourceAction[[#This Row],[IDN2]],IDNMaps[[Display]:[ID]],2,0)))</f>
        <v/>
      </c>
      <c r="Q9" s="79" t="str">
        <f>IF(ResourceAction[[#This Row],[Resource Name]]="","idn3",IF(ResourceAction[[#This Row],[IDN3]]="","",VLOOKUP(ResourceAction[[#This Row],[IDN3]],IDNMaps[[Display]:[ID]],2,0)))</f>
        <v/>
      </c>
      <c r="R9" s="79" t="str">
        <f>IF(ResourceAction[[#This Row],[Resource Name]]="","idn4",IF(ResourceAction[[#This Row],[IDN4]]="","",VLOOKUP(ResourceAction[[#This Row],[IDN4]],IDNMaps[[Display]:[ID]],2,0)))</f>
        <v/>
      </c>
      <c r="S9" s="79" t="str">
        <f>IF(ResourceAction[[#This Row],[Resource Name]]="","idn5",IF(ResourceAction[[#This Row],[IDN5]]="","",VLOOKUP(ResourceAction[[#This Row],[IDN5]],IDNMaps[[Display]:[ID]],2,0)))</f>
        <v/>
      </c>
      <c r="T9" s="106" t="s">
        <v>1095</v>
      </c>
      <c r="U9" s="106"/>
      <c r="V9" s="106"/>
      <c r="W9" s="106"/>
      <c r="X9" s="106"/>
      <c r="Y9" s="91">
        <f>[No]</f>
        <v>7</v>
      </c>
      <c r="Z9"/>
      <c r="AA9" s="2" t="s">
        <v>1163</v>
      </c>
      <c r="AB9" s="17">
        <f>VLOOKUP(ActionListNData[[#This Row],[Action Name]],ResourceAction[[Display]:[No]],3,0)</f>
        <v>19</v>
      </c>
      <c r="AC9" s="17" t="s">
        <v>982</v>
      </c>
      <c r="AD9" s="17"/>
      <c r="AE9" s="17" t="str">
        <f>'Table Seed Map'!$A$35&amp;"-"&amp;COUNT($AH$2:ActionListNData[[#This Row],[List]])</f>
        <v>Action List-7</v>
      </c>
      <c r="AF9" s="17">
        <f>IF(ActionListNData[[#This Row],[Action Name]]="","id",COUNTA($AC$3:ActionListNData[[#This Row],[Resource List]])+IF(VLOOKUP('Table Seed Map'!$A$35,SeedMap[],9,0),VLOOKUP('Table Seed Map'!$A$10,SeedMap[],35,0),0))</f>
        <v>7</v>
      </c>
      <c r="AG9" s="17">
        <f>ActionListNData[[#This Row],[Action]]</f>
        <v>19</v>
      </c>
      <c r="AH9" s="17">
        <f>IF(ActionListNData[[#This Row],[Action Name]]="","resource_list",IFERROR(VLOOKUP(ActionListNData[[#This Row],[Resource List]],ResourceList[[ListDisplayName]:[No]],2,0),""))</f>
        <v>2</v>
      </c>
      <c r="AI9" s="17" t="str">
        <f>'Table Seed Map'!$A$36&amp;"-"&amp;COUNT($AL$2:ActionListNData[[#This Row],[Data]])</f>
        <v>Action Data-0</v>
      </c>
      <c r="AJ9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9" s="17">
        <f>ActionListNData[[#This Row],[Action]]</f>
        <v>19</v>
      </c>
      <c r="AL9" s="17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46" t="str">
        <f>'Table Seed Map'!$A$32&amp;"-"&amp;(COUNTA($E$1:ResourceAction[[#This Row],[Resource]])-2)</f>
        <v>Resource Actions-8</v>
      </c>
      <c r="B10" s="46" t="str">
        <f>ResourceAction[[#This Row],[Resource Name]]&amp;"/"&amp;ResourceAction[[#This Row],[Name]]</f>
        <v>ResourceAction/AddActionAction</v>
      </c>
      <c r="C10" s="48" t="s">
        <v>256</v>
      </c>
      <c r="D10" s="46">
        <f>IF(ResourceAction[[#This Row],[Resource Name]]="","id",COUNTA($C$3:ResourceAction[[#This Row],[Resource Name]])+IF(VLOOKUP('Table Seed Map'!$A$32,SeedMap[],9,0),VLOOKUP('Table Seed Map'!$A$10,SeedMap[],32,0),0))</f>
        <v>8</v>
      </c>
      <c r="E10" s="46">
        <f>VLOOKUP(ResourceAction[[#This Row],[Resource Name]],ResourceTable[[RName]:[RID]],2,0)</f>
        <v>30</v>
      </c>
      <c r="F10" s="46" t="s">
        <v>1091</v>
      </c>
      <c r="G10" s="46" t="s">
        <v>1094</v>
      </c>
      <c r="H10" s="46" t="s">
        <v>1082</v>
      </c>
      <c r="I10" s="46" t="s">
        <v>803</v>
      </c>
      <c r="J10" s="46"/>
      <c r="K10" s="49" t="str">
        <f>'Table Seed Map'!$A$33&amp;"-"&amp;(COUNTA($E$1:ResourceAction[[#This Row],[Resource]])-2)</f>
        <v>Action Method-8</v>
      </c>
      <c r="L10" s="46">
        <f>IF(ResourceAction[[#This Row],[Resource Name]]="","id",COUNTA($C$3:ResourceAction[[#This Row],[Resource Name]])+IF(VLOOKUP('Table Seed Map'!$A$33,SeedMap[],9,0),VLOOKUP('Table Seed Map'!$A$33,SeedMap[],9,0),0))</f>
        <v>8</v>
      </c>
      <c r="M10" s="46">
        <f>[No]</f>
        <v>8</v>
      </c>
      <c r="N10" s="78" t="s">
        <v>1000</v>
      </c>
      <c r="O10" s="77">
        <f ca="1">IF(ResourceAction[[#This Row],[Resource Name]]="","idn1",IF(ResourceAction[[#This Row],[IDN1]]="","",VLOOKUP(ResourceAction[[#This Row],[IDN1]],IDNMaps[[Display]:[ID]],2,0)))</f>
        <v>7</v>
      </c>
      <c r="P10" s="79">
        <f ca="1">IF(ResourceAction[[#This Row],[Resource Name]]="","idn2",IF(ResourceAction[[#This Row],[IDN2]]="","",VLOOKUP(ResourceAction[[#This Row],[IDN2]],IDNMaps[[Display]:[ID]],2,0)))</f>
        <v>6</v>
      </c>
      <c r="Q10" s="79" t="str">
        <f>IF(ResourceAction[[#This Row],[Resource Name]]="","idn3",IF(ResourceAction[[#This Row],[IDN3]]="","",VLOOKUP(ResourceAction[[#This Row],[IDN3]],IDNMaps[[Display]:[ID]],2,0)))</f>
        <v/>
      </c>
      <c r="R10" s="79" t="str">
        <f>IF(ResourceAction[[#This Row],[Resource Name]]="","idn4",IF(ResourceAction[[#This Row],[IDN4]]="","",VLOOKUP(ResourceAction[[#This Row],[IDN4]],IDNMaps[[Display]:[ID]],2,0)))</f>
        <v/>
      </c>
      <c r="S10" s="79" t="str">
        <f>IF(ResourceAction[[#This Row],[Resource Name]]="","idn5",IF(ResourceAction[[#This Row],[IDN5]]="","",VLOOKUP(ResourceAction[[#This Row],[IDN5]],IDNMaps[[Display]:[ID]],2,0)))</f>
        <v/>
      </c>
      <c r="T10" s="106" t="s">
        <v>1096</v>
      </c>
      <c r="U10" s="106" t="s">
        <v>1097</v>
      </c>
      <c r="V10" s="106"/>
      <c r="W10" s="106"/>
      <c r="X10" s="106"/>
      <c r="Y10" s="91">
        <f>[No]</f>
        <v>8</v>
      </c>
      <c r="Z10"/>
      <c r="AA10" s="2" t="s">
        <v>1164</v>
      </c>
      <c r="AB10" s="17">
        <f>VLOOKUP(ActionListNData[[#This Row],[Action Name]],ResourceAction[[Display]:[No]],3,0)</f>
        <v>20</v>
      </c>
      <c r="AC10" s="17" t="s">
        <v>982</v>
      </c>
      <c r="AD10" s="17"/>
      <c r="AE10" s="17" t="str">
        <f>'Table Seed Map'!$A$35&amp;"-"&amp;COUNT($AH$2:ActionListNData[[#This Row],[List]])</f>
        <v>Action List-8</v>
      </c>
      <c r="AF10" s="17">
        <f>IF(ActionListNData[[#This Row],[Action Name]]="","id",COUNTA($AC$3:ActionListNData[[#This Row],[Resource List]])+IF(VLOOKUP('Table Seed Map'!$A$35,SeedMap[],9,0),VLOOKUP('Table Seed Map'!$A$10,SeedMap[],35,0),0))</f>
        <v>8</v>
      </c>
      <c r="AG10" s="17">
        <f>ActionListNData[[#This Row],[Action]]</f>
        <v>20</v>
      </c>
      <c r="AH10" s="17">
        <f>IF(ActionListNData[[#This Row],[Action Name]]="","resource_list",IFERROR(VLOOKUP(ActionListNData[[#This Row],[Resource List]],ResourceList[[ListDisplayName]:[No]],2,0),""))</f>
        <v>2</v>
      </c>
      <c r="AI10" s="17" t="str">
        <f>'Table Seed Map'!$A$36&amp;"-"&amp;COUNT($AL$2:ActionListNData[[#This Row],[Data]])</f>
        <v>Action Data-0</v>
      </c>
      <c r="AJ10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10" s="17">
        <f>ActionListNData[[#This Row],[Action]]</f>
        <v>20</v>
      </c>
      <c r="AL10" s="17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50" t="str">
        <f>'Table Seed Map'!$A$32&amp;"-"&amp;(COUNTA($E$1:ResourceAction[[#This Row],[Resource]])-2)</f>
        <v>Resource Actions-9</v>
      </c>
      <c r="B11" s="50" t="str">
        <f>ResourceAction[[#This Row],[Resource Name]]&amp;"/"&amp;ResourceAction[[#This Row],[Name]]</f>
        <v>ResourceAction/ActionsListAction</v>
      </c>
      <c r="C11" s="48" t="s">
        <v>256</v>
      </c>
      <c r="D11" s="50">
        <f>IF(ResourceAction[[#This Row],[Resource Name]]="","id",COUNTA($C$3:ResourceAction[[#This Row],[Resource Name]])+IF(VLOOKUP('Table Seed Map'!$A$32,SeedMap[],9,0),VLOOKUP('Table Seed Map'!$A$10,SeedMap[],32,0),0))</f>
        <v>9</v>
      </c>
      <c r="E11" s="50">
        <f>VLOOKUP(ResourceAction[[#This Row],[Resource Name]],ResourceTable[[RName]:[RID]],2,0)</f>
        <v>30</v>
      </c>
      <c r="F11" s="50" t="s">
        <v>1137</v>
      </c>
      <c r="G11" s="50" t="s">
        <v>1138</v>
      </c>
      <c r="H11" s="50"/>
      <c r="I11" s="50"/>
      <c r="J11" s="50" t="s">
        <v>1139</v>
      </c>
      <c r="K11" s="51" t="str">
        <f>'Table Seed Map'!$A$33&amp;"-"&amp;(COUNTA($E$1:ResourceAction[[#This Row],[Resource]])-2)</f>
        <v>Action Method-9</v>
      </c>
      <c r="L11" s="50">
        <f>IF(ResourceAction[[#This Row],[Resource Name]]="","id",COUNTA($C$3:ResourceAction[[#This Row],[Resource Name]])+IF(VLOOKUP('Table Seed Map'!$A$33,SeedMap[],9,0),VLOOKUP('Table Seed Map'!$A$33,SeedMap[],9,0),0))</f>
        <v>9</v>
      </c>
      <c r="M11" s="50">
        <f>[No]</f>
        <v>9</v>
      </c>
      <c r="N11" s="80" t="s">
        <v>278</v>
      </c>
      <c r="O11" s="111">
        <f ca="1">IF(ResourceAction[[#This Row],[Resource Name]]="","idn1",IF(ResourceAction[[#This Row],[IDN1]]="","",VLOOKUP(ResourceAction[[#This Row],[IDN1]],IDNMaps[[Display]:[ID]],2,0)))</f>
        <v>3</v>
      </c>
      <c r="P11" s="81" t="str">
        <f>IF(ResourceAction[[#This Row],[Resource Name]]="","idn2",IF(ResourceAction[[#This Row],[IDN2]]="","",VLOOKUP(ResourceAction[[#This Row],[IDN2]],IDNMaps[[Display]:[ID]],2,0)))</f>
        <v/>
      </c>
      <c r="Q11" s="81" t="str">
        <f>IF(ResourceAction[[#This Row],[Resource Name]]="","idn3",IF(ResourceAction[[#This Row],[IDN3]]="","",VLOOKUP(ResourceAction[[#This Row],[IDN3]],IDNMaps[[Display]:[ID]],2,0)))</f>
        <v/>
      </c>
      <c r="R11" s="81" t="str">
        <f>IF(ResourceAction[[#This Row],[Resource Name]]="","idn4",IF(ResourceAction[[#This Row],[IDN4]]="","",VLOOKUP(ResourceAction[[#This Row],[IDN4]],IDNMaps[[Display]:[ID]],2,0)))</f>
        <v/>
      </c>
      <c r="S11" s="81" t="str">
        <f>IF(ResourceAction[[#This Row],[Resource Name]]="","idn5",IF(ResourceAction[[#This Row],[IDN5]]="","",VLOOKUP(ResourceAction[[#This Row],[IDN5]],IDNMaps[[Display]:[ID]],2,0)))</f>
        <v/>
      </c>
      <c r="T11" s="107" t="s">
        <v>1140</v>
      </c>
      <c r="U11" s="107"/>
      <c r="V11" s="107"/>
      <c r="W11" s="107"/>
      <c r="X11" s="107"/>
      <c r="Y11" s="93">
        <f>[No]</f>
        <v>9</v>
      </c>
      <c r="Z11"/>
      <c r="AA11" s="2" t="s">
        <v>1165</v>
      </c>
      <c r="AB11" s="17">
        <f>VLOOKUP(ActionListNData[[#This Row],[Action Name]],ResourceAction[[Display]:[No]],3,0)</f>
        <v>21</v>
      </c>
      <c r="AC11" s="17" t="s">
        <v>982</v>
      </c>
      <c r="AD11" s="17"/>
      <c r="AE11" s="17" t="str">
        <f>'Table Seed Map'!$A$35&amp;"-"&amp;COUNT($AH$2:ActionListNData[[#This Row],[List]])</f>
        <v>Action List-9</v>
      </c>
      <c r="AF11" s="17">
        <f>IF(ActionListNData[[#This Row],[Action Name]]="","id",COUNTA($AC$3:ActionListNData[[#This Row],[Resource List]])+IF(VLOOKUP('Table Seed Map'!$A$35,SeedMap[],9,0),VLOOKUP('Table Seed Map'!$A$10,SeedMap[],35,0),0))</f>
        <v>9</v>
      </c>
      <c r="AG11" s="17">
        <f>ActionListNData[[#This Row],[Action]]</f>
        <v>21</v>
      </c>
      <c r="AH11" s="17">
        <f>IF(ActionListNData[[#This Row],[Action Name]]="","resource_list",IFERROR(VLOOKUP(ActionListNData[[#This Row],[Resource List]],ResourceList[[ListDisplayName]:[No]],2,0),""))</f>
        <v>2</v>
      </c>
      <c r="AI11" s="17" t="str">
        <f>'Table Seed Map'!$A$36&amp;"-"&amp;COUNT($AL$2:ActionListNData[[#This Row],[Data]])</f>
        <v>Action Data-0</v>
      </c>
      <c r="AJ11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11" s="17">
        <f>ActionListNData[[#This Row],[Action]]</f>
        <v>21</v>
      </c>
      <c r="AL11" s="17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46" t="str">
        <f>'Table Seed Map'!$A$32&amp;"-"&amp;(COUNTA($E$1:ResourceAction[[#This Row],[Resource]])-2)</f>
        <v>Resource Actions-10</v>
      </c>
      <c r="B12" s="46" t="str">
        <f>ResourceAction[[#This Row],[Resource Name]]&amp;"/"&amp;ResourceAction[[#This Row],[Name]]</f>
        <v>ResourceForm/NewFormAction</v>
      </c>
      <c r="C12" s="48" t="s">
        <v>311</v>
      </c>
      <c r="D12" s="46">
        <f>IF(ResourceAction[[#This Row],[Resource Name]]="","id",COUNTA($C$3:ResourceAction[[#This Row],[Resource Name]])+IF(VLOOKUP('Table Seed Map'!$A$32,SeedMap[],9,0),VLOOKUP('Table Seed Map'!$A$10,SeedMap[],32,0),0))</f>
        <v>10</v>
      </c>
      <c r="E12" s="46">
        <f>VLOOKUP(ResourceAction[[#This Row],[Resource Name]],ResourceTable[[RName]:[RID]],2,0)</f>
        <v>8</v>
      </c>
      <c r="F12" s="46" t="s">
        <v>994</v>
      </c>
      <c r="G12" s="46" t="s">
        <v>995</v>
      </c>
      <c r="H12" s="46" t="s">
        <v>996</v>
      </c>
      <c r="I12" s="46"/>
      <c r="J12" s="46" t="s">
        <v>996</v>
      </c>
      <c r="K12" s="49" t="str">
        <f>'Table Seed Map'!$A$33&amp;"-"&amp;(COUNTA($E$1:ResourceAction[[#This Row],[Resource]])-2)</f>
        <v>Action Method-10</v>
      </c>
      <c r="L12" s="46">
        <f>IF(ResourceAction[[#This Row],[Resource Name]]="","id",COUNTA($C$3:ResourceAction[[#This Row],[Resource Name]])+IF(VLOOKUP('Table Seed Map'!$A$33,SeedMap[],9,0),VLOOKUP('Table Seed Map'!$A$33,SeedMap[],9,0),0))</f>
        <v>10</v>
      </c>
      <c r="M12" s="46">
        <f>[No]</f>
        <v>10</v>
      </c>
      <c r="N12" s="78" t="s">
        <v>276</v>
      </c>
      <c r="O12" s="77">
        <f ca="1">IF(ResourceAction[[#This Row],[Resource Name]]="","idn1",IF(ResourceAction[[#This Row],[IDN1]]="","",VLOOKUP(ResourceAction[[#This Row],[IDN1]],IDNMaps[[Display]:[ID]],2,0)))</f>
        <v>7</v>
      </c>
      <c r="P12" s="79" t="str">
        <f>IF(ResourceAction[[#This Row],[Resource Name]]="","idn2",IF(ResourceAction[[#This Row],[IDN2]]="","",VLOOKUP(ResourceAction[[#This Row],[IDN2]],IDNMaps[[Display]:[ID]],2,0)))</f>
        <v/>
      </c>
      <c r="Q12" s="79" t="str">
        <f>IF(ResourceAction[[#This Row],[Resource Name]]="","idn3",IF(ResourceAction[[#This Row],[IDN3]]="","",VLOOKUP(ResourceAction[[#This Row],[IDN3]],IDNMaps[[Display]:[ID]],2,0)))</f>
        <v/>
      </c>
      <c r="R12" s="79" t="str">
        <f>IF(ResourceAction[[#This Row],[Resource Name]]="","idn4",IF(ResourceAction[[#This Row],[IDN4]]="","",VLOOKUP(ResourceAction[[#This Row],[IDN4]],IDNMaps[[Display]:[ID]],2,0)))</f>
        <v/>
      </c>
      <c r="S12" s="79" t="str">
        <f>IF(ResourceAction[[#This Row],[Resource Name]]="","idn5",IF(ResourceAction[[#This Row],[IDN5]]="","",VLOOKUP(ResourceAction[[#This Row],[IDN5]],IDNMaps[[Display]:[ID]],2,0)))</f>
        <v/>
      </c>
      <c r="T12" s="106" t="s">
        <v>1050</v>
      </c>
      <c r="U12" s="106"/>
      <c r="V12" s="106"/>
      <c r="W12" s="106"/>
      <c r="X12" s="106"/>
      <c r="Y12" s="91">
        <f>[No]</f>
        <v>10</v>
      </c>
      <c r="Z12"/>
      <c r="AA12" s="2" t="s">
        <v>1166</v>
      </c>
      <c r="AB12" s="17">
        <f>VLOOKUP(ActionListNData[[#This Row],[Action Name]],ResourceAction[[Display]:[No]],3,0)</f>
        <v>22</v>
      </c>
      <c r="AC12" s="17" t="s">
        <v>982</v>
      </c>
      <c r="AD12" s="17"/>
      <c r="AE12" s="17" t="str">
        <f>'Table Seed Map'!$A$35&amp;"-"&amp;COUNT($AH$2:ActionListNData[[#This Row],[List]])</f>
        <v>Action List-10</v>
      </c>
      <c r="AF12" s="17">
        <f>IF(ActionListNData[[#This Row],[Action Name]]="","id",COUNTA($AC$3:ActionListNData[[#This Row],[Resource List]])+IF(VLOOKUP('Table Seed Map'!$A$35,SeedMap[],9,0),VLOOKUP('Table Seed Map'!$A$10,SeedMap[],35,0),0))</f>
        <v>10</v>
      </c>
      <c r="AG12" s="17">
        <f>ActionListNData[[#This Row],[Action]]</f>
        <v>22</v>
      </c>
      <c r="AH12" s="17">
        <f>IF(ActionListNData[[#This Row],[Action Name]]="","resource_list",IFERROR(VLOOKUP(ActionListNData[[#This Row],[Resource List]],ResourceList[[ListDisplayName]:[No]],2,0),""))</f>
        <v>2</v>
      </c>
      <c r="AI12" s="17" t="str">
        <f>'Table Seed Map'!$A$36&amp;"-"&amp;COUNT($AL$2:ActionListNData[[#This Row],[Data]])</f>
        <v>Action Data-0</v>
      </c>
      <c r="AJ12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12" s="17">
        <f>ActionListNData[[#This Row],[Action]]</f>
        <v>22</v>
      </c>
      <c r="AL12" s="17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50" t="str">
        <f>'Table Seed Map'!$A$32&amp;"-"&amp;(COUNTA($E$1:ResourceAction[[#This Row],[Resource]])-2)</f>
        <v>Resource Actions-11</v>
      </c>
      <c r="B13" s="50" t="str">
        <f>ResourceAction[[#This Row],[Resource Name]]&amp;"/"&amp;ResourceAction[[#This Row],[Name]]</f>
        <v>ResourceForm/FormsListAction</v>
      </c>
      <c r="C13" s="48" t="s">
        <v>311</v>
      </c>
      <c r="D13" s="50">
        <f>IF(ResourceAction[[#This Row],[Resource Name]]="","id",COUNTA($C$3:ResourceAction[[#This Row],[Resource Name]])+IF(VLOOKUP('Table Seed Map'!$A$32,SeedMap[],9,0),VLOOKUP('Table Seed Map'!$A$10,SeedMap[],32,0),0))</f>
        <v>11</v>
      </c>
      <c r="E13" s="50">
        <f>VLOOKUP(ResourceAction[[#This Row],[Resource Name]],ResourceTable[[RName]:[RID]],2,0)</f>
        <v>8</v>
      </c>
      <c r="F13" s="50" t="s">
        <v>1141</v>
      </c>
      <c r="G13" s="50" t="s">
        <v>1142</v>
      </c>
      <c r="H13" s="50"/>
      <c r="I13" s="50"/>
      <c r="J13" s="50" t="s">
        <v>1139</v>
      </c>
      <c r="K13" s="51" t="str">
        <f>'Table Seed Map'!$A$33&amp;"-"&amp;(COUNTA($E$1:ResourceAction[[#This Row],[Resource]])-2)</f>
        <v>Action Method-11</v>
      </c>
      <c r="L13" s="50">
        <f>IF(ResourceAction[[#This Row],[Resource Name]]="","id",COUNTA($C$3:ResourceAction[[#This Row],[Resource Name]])+IF(VLOOKUP('Table Seed Map'!$A$33,SeedMap[],9,0),VLOOKUP('Table Seed Map'!$A$33,SeedMap[],9,0),0))</f>
        <v>11</v>
      </c>
      <c r="M13" s="50">
        <f>[No]</f>
        <v>11</v>
      </c>
      <c r="N13" s="80" t="s">
        <v>278</v>
      </c>
      <c r="O13" s="111">
        <f ca="1">IF(ResourceAction[[#This Row],[Resource Name]]="","idn1",IF(ResourceAction[[#This Row],[IDN1]]="","",VLOOKUP(ResourceAction[[#This Row],[IDN1]],IDNMaps[[Display]:[ID]],2,0)))</f>
        <v>4</v>
      </c>
      <c r="P13" s="81" t="str">
        <f>IF(ResourceAction[[#This Row],[Resource Name]]="","idn2",IF(ResourceAction[[#This Row],[IDN2]]="","",VLOOKUP(ResourceAction[[#This Row],[IDN2]],IDNMaps[[Display]:[ID]],2,0)))</f>
        <v/>
      </c>
      <c r="Q13" s="81" t="str">
        <f>IF(ResourceAction[[#This Row],[Resource Name]]="","idn3",IF(ResourceAction[[#This Row],[IDN3]]="","",VLOOKUP(ResourceAction[[#This Row],[IDN3]],IDNMaps[[Display]:[ID]],2,0)))</f>
        <v/>
      </c>
      <c r="R13" s="81" t="str">
        <f>IF(ResourceAction[[#This Row],[Resource Name]]="","idn4",IF(ResourceAction[[#This Row],[IDN4]]="","",VLOOKUP(ResourceAction[[#This Row],[IDN4]],IDNMaps[[Display]:[ID]],2,0)))</f>
        <v/>
      </c>
      <c r="S13" s="81" t="str">
        <f>IF(ResourceAction[[#This Row],[Resource Name]]="","idn5",IF(ResourceAction[[#This Row],[IDN5]]="","",VLOOKUP(ResourceAction[[#This Row],[IDN5]],IDNMaps[[Display]:[ID]],2,0)))</f>
        <v/>
      </c>
      <c r="T13" s="107" t="s">
        <v>1143</v>
      </c>
      <c r="U13" s="107"/>
      <c r="V13" s="107"/>
      <c r="W13" s="107"/>
      <c r="X13" s="107"/>
      <c r="Y13" s="93">
        <f>[No]</f>
        <v>11</v>
      </c>
      <c r="AA13" s="2" t="s">
        <v>1176</v>
      </c>
      <c r="AB13" s="17">
        <f>VLOOKUP(ActionListNData[[#This Row],[Action Name]],ResourceAction[[Display]:[No]],3,0)</f>
        <v>23</v>
      </c>
      <c r="AC13" s="17" t="s">
        <v>1128</v>
      </c>
      <c r="AD13" s="17"/>
      <c r="AE13" s="17" t="str">
        <f>'Table Seed Map'!$A$35&amp;"-"&amp;COUNT($AH$2:ActionListNData[[#This Row],[List]])</f>
        <v>Action List-11</v>
      </c>
      <c r="AF13" s="17">
        <f>IF(ActionListNData[[#This Row],[Action Name]]="","id",COUNTA($AC$3:ActionListNData[[#This Row],[Resource List]])+IF(VLOOKUP('Table Seed Map'!$A$35,SeedMap[],9,0),VLOOKUP('Table Seed Map'!$A$10,SeedMap[],35,0),0))</f>
        <v>11</v>
      </c>
      <c r="AG13" s="17">
        <f>ActionListNData[[#This Row],[Action]]</f>
        <v>23</v>
      </c>
      <c r="AH13" s="17">
        <f>IF(ActionListNData[[#This Row],[Action Name]]="","resource_list",IFERROR(VLOOKUP(ActionListNData[[#This Row],[Resource List]],ResourceList[[ListDisplayName]:[No]],2,0),""))</f>
        <v>4</v>
      </c>
      <c r="AI13" s="17" t="str">
        <f>'Table Seed Map'!$A$36&amp;"-"&amp;COUNT($AL$2:ActionListNData[[#This Row],[Data]])</f>
        <v>Action Data-0</v>
      </c>
      <c r="AJ13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13" s="17">
        <f>ActionListNData[[#This Row],[Action]]</f>
        <v>23</v>
      </c>
      <c r="AL13" s="17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46" t="str">
        <f>'Table Seed Map'!$A$32&amp;"-"&amp;(COUNTA($E$1:ResourceAction[[#This Row],[Resource]])-2)</f>
        <v>Resource Actions-12</v>
      </c>
      <c r="B14" s="46" t="str">
        <f>ResourceAction[[#This Row],[Resource Name]]&amp;"/"&amp;ResourceAction[[#This Row],[Name]]</f>
        <v>Resource/AddNewFormAction</v>
      </c>
      <c r="C14" s="48" t="s">
        <v>204</v>
      </c>
      <c r="D14" s="46">
        <f>IF(ResourceAction[[#This Row],[Resource Name]]="","id",COUNTA($C$3:ResourceAction[[#This Row],[Resource Name]])+IF(VLOOKUP('Table Seed Map'!$A$32,SeedMap[],9,0),VLOOKUP('Table Seed Map'!$A$10,SeedMap[],32,0),0))</f>
        <v>12</v>
      </c>
      <c r="E14" s="46">
        <f>VLOOKUP(ResourceAction[[#This Row],[Resource Name]],ResourceTable[[RName]:[RID]],2,0)</f>
        <v>4</v>
      </c>
      <c r="F14" s="46" t="s">
        <v>997</v>
      </c>
      <c r="G14" s="46" t="s">
        <v>998</v>
      </c>
      <c r="H14" s="46" t="s">
        <v>999</v>
      </c>
      <c r="I14" s="46" t="s">
        <v>803</v>
      </c>
      <c r="J14" s="46"/>
      <c r="K14" s="49" t="str">
        <f>'Table Seed Map'!$A$33&amp;"-"&amp;(COUNTA($E$1:ResourceAction[[#This Row],[Resource]])-2)</f>
        <v>Action Method-12</v>
      </c>
      <c r="L14" s="46">
        <f>IF(ResourceAction[[#This Row],[Resource Name]]="","id",COUNTA($C$3:ResourceAction[[#This Row],[Resource Name]])+IF(VLOOKUP('Table Seed Map'!$A$33,SeedMap[],9,0),VLOOKUP('Table Seed Map'!$A$33,SeedMap[],9,0),0))</f>
        <v>12</v>
      </c>
      <c r="M14" s="46">
        <f>[No]</f>
        <v>12</v>
      </c>
      <c r="N14" s="78" t="s">
        <v>1000</v>
      </c>
      <c r="O14" s="77">
        <f ca="1">IF(ResourceAction[[#This Row],[Resource Name]]="","idn1",IF(ResourceAction[[#This Row],[IDN1]]="","",VLOOKUP(ResourceAction[[#This Row],[IDN1]],IDNMaps[[Display]:[ID]],2,0)))</f>
        <v>14</v>
      </c>
      <c r="P14" s="79">
        <f ca="1">IF(ResourceAction[[#This Row],[Resource Name]]="","idn2",IF(ResourceAction[[#This Row],[IDN2]]="","",VLOOKUP(ResourceAction[[#This Row],[IDN2]],IDNMaps[[Display]:[ID]],2,0)))</f>
        <v>8</v>
      </c>
      <c r="Q14" s="79" t="str">
        <f>IF(ResourceAction[[#This Row],[Resource Name]]="","idn3",IF(ResourceAction[[#This Row],[IDN3]]="","",VLOOKUP(ResourceAction[[#This Row],[IDN3]],IDNMaps[[Display]:[ID]],2,0)))</f>
        <v/>
      </c>
      <c r="R14" s="79" t="str">
        <f>IF(ResourceAction[[#This Row],[Resource Name]]="","idn4",IF(ResourceAction[[#This Row],[IDN4]]="","",VLOOKUP(ResourceAction[[#This Row],[IDN4]],IDNMaps[[Display]:[ID]],2,0)))</f>
        <v/>
      </c>
      <c r="S14" s="79" t="str">
        <f>IF(ResourceAction[[#This Row],[Resource Name]]="","idn5",IF(ResourceAction[[#This Row],[IDN5]]="","",VLOOKUP(ResourceAction[[#This Row],[IDN5]],IDNMaps[[Display]:[ID]],2,0)))</f>
        <v/>
      </c>
      <c r="T14" s="106" t="s">
        <v>1051</v>
      </c>
      <c r="U14" s="106" t="s">
        <v>1055</v>
      </c>
      <c r="V14" s="106"/>
      <c r="W14" s="106"/>
      <c r="X14" s="106"/>
      <c r="Y14" s="91">
        <f>[No]</f>
        <v>12</v>
      </c>
      <c r="AA14" s="2" t="s">
        <v>1190</v>
      </c>
      <c r="AB14" s="17">
        <f>VLOOKUP(ActionListNData[[#This Row],[Action Name]],ResourceAction[[Display]:[No]],3,0)</f>
        <v>24</v>
      </c>
      <c r="AC14" s="17" t="s">
        <v>1128</v>
      </c>
      <c r="AD14" s="17"/>
      <c r="AE14" s="17" t="str">
        <f>'Table Seed Map'!$A$35&amp;"-"&amp;COUNT($AH$2:ActionListNData[[#This Row],[List]])</f>
        <v>Action List-12</v>
      </c>
      <c r="AF14" s="17">
        <f>IF(ActionListNData[[#This Row],[Action Name]]="","id",COUNTA($AC$3:ActionListNData[[#This Row],[Resource List]])+IF(VLOOKUP('Table Seed Map'!$A$35,SeedMap[],9,0),VLOOKUP('Table Seed Map'!$A$10,SeedMap[],35,0),0))</f>
        <v>12</v>
      </c>
      <c r="AG14" s="17">
        <f>ActionListNData[[#This Row],[Action]]</f>
        <v>24</v>
      </c>
      <c r="AH14" s="17">
        <f>IF(ActionListNData[[#This Row],[Action Name]]="","resource_list",IFERROR(VLOOKUP(ActionListNData[[#This Row],[Resource List]],ResourceList[[ListDisplayName]:[No]],2,0),""))</f>
        <v>4</v>
      </c>
      <c r="AI14" s="17" t="str">
        <f>'Table Seed Map'!$A$36&amp;"-"&amp;COUNT($AL$2:ActionListNData[[#This Row],[Data]])</f>
        <v>Action Data-0</v>
      </c>
      <c r="AJ14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14" s="17">
        <f>ActionListNData[[#This Row],[Action]]</f>
        <v>24</v>
      </c>
      <c r="AL14" s="17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50" t="str">
        <f>'Table Seed Map'!$A$32&amp;"-"&amp;(COUNTA($E$1:ResourceAction[[#This Row],[Resource]])-2)</f>
        <v>Resource Actions-13</v>
      </c>
      <c r="B15" s="50" t="str">
        <f>ResourceAction[[#This Row],[Resource Name]]&amp;"/"&amp;ResourceAction[[#This Row],[Name]]</f>
        <v>ResourceList/CreateListFormAction</v>
      </c>
      <c r="C15" s="48" t="s">
        <v>407</v>
      </c>
      <c r="D15" s="50">
        <f>IF(ResourceAction[[#This Row],[Resource Name]]="","id",COUNTA($C$3:ResourceAction[[#This Row],[Resource Name]])+IF(VLOOKUP('Table Seed Map'!$A$32,SeedMap[],9,0),VLOOKUP('Table Seed Map'!$A$10,SeedMap[],32,0),0))</f>
        <v>13</v>
      </c>
      <c r="E15" s="50">
        <f>VLOOKUP(ResourceAction[[#This Row],[Resource Name]],ResourceTable[[RName]:[RID]],2,0)</f>
        <v>20</v>
      </c>
      <c r="F15" s="50" t="s">
        <v>1026</v>
      </c>
      <c r="G15" s="50" t="s">
        <v>1027</v>
      </c>
      <c r="H15" s="50" t="s">
        <v>1018</v>
      </c>
      <c r="I15" s="50"/>
      <c r="J15" s="50" t="s">
        <v>1017</v>
      </c>
      <c r="K15" s="51" t="str">
        <f>'Table Seed Map'!$A$33&amp;"-"&amp;(COUNTA($E$1:ResourceAction[[#This Row],[Resource]])-2)</f>
        <v>Action Method-13</v>
      </c>
      <c r="L15" s="50">
        <f>IF(ResourceAction[[#This Row],[Resource Name]]="","id",COUNTA($C$3:ResourceAction[[#This Row],[Resource Name]])+IF(VLOOKUP('Table Seed Map'!$A$33,SeedMap[],9,0),VLOOKUP('Table Seed Map'!$A$33,SeedMap[],9,0),0))</f>
        <v>13</v>
      </c>
      <c r="M15" s="50">
        <f>[No]</f>
        <v>13</v>
      </c>
      <c r="N15" s="80" t="s">
        <v>276</v>
      </c>
      <c r="O15" s="77">
        <f ca="1">IF(ResourceAction[[#This Row],[Resource Name]]="","idn1",IF(ResourceAction[[#This Row],[IDN1]]="","",VLOOKUP(ResourceAction[[#This Row],[IDN1]],IDNMaps[[Display]:[ID]],2,0)))</f>
        <v>10</v>
      </c>
      <c r="P15" s="81" t="str">
        <f>IF(ResourceAction[[#This Row],[Resource Name]]="","idn2",IF(ResourceAction[[#This Row],[IDN2]]="","",VLOOKUP(ResourceAction[[#This Row],[IDN2]],IDNMaps[[Display]:[ID]],2,0)))</f>
        <v/>
      </c>
      <c r="Q15" s="81" t="str">
        <f>IF(ResourceAction[[#This Row],[Resource Name]]="","idn3",IF(ResourceAction[[#This Row],[IDN3]]="","",VLOOKUP(ResourceAction[[#This Row],[IDN3]],IDNMaps[[Display]:[ID]],2,0)))</f>
        <v/>
      </c>
      <c r="R15" s="81" t="str">
        <f>IF(ResourceAction[[#This Row],[Resource Name]]="","idn4",IF(ResourceAction[[#This Row],[IDN4]]="","",VLOOKUP(ResourceAction[[#This Row],[IDN4]],IDNMaps[[Display]:[ID]],2,0)))</f>
        <v/>
      </c>
      <c r="S15" s="81" t="str">
        <f>IF(ResourceAction[[#This Row],[Resource Name]]="","idn5",IF(ResourceAction[[#This Row],[IDN5]]="","",VLOOKUP(ResourceAction[[#This Row],[IDN5]],IDNMaps[[Display]:[ID]],2,0)))</f>
        <v/>
      </c>
      <c r="T15" s="107" t="s">
        <v>1052</v>
      </c>
      <c r="U15" s="107"/>
      <c r="V15" s="107"/>
      <c r="W15" s="107"/>
      <c r="X15" s="107"/>
      <c r="Y15" s="93">
        <f>[No]</f>
        <v>13</v>
      </c>
      <c r="AA15" s="2" t="s">
        <v>1207</v>
      </c>
      <c r="AB15" s="17">
        <f>VLOOKUP(ActionListNData[[#This Row],[Action Name]],ResourceAction[[Display]:[No]],3,0)</f>
        <v>25</v>
      </c>
      <c r="AC15" s="17" t="s">
        <v>1128</v>
      </c>
      <c r="AD15" s="17"/>
      <c r="AE15" s="17" t="str">
        <f>'Table Seed Map'!$A$35&amp;"-"&amp;COUNT($AH$2:ActionListNData[[#This Row],[List]])</f>
        <v>Action List-13</v>
      </c>
      <c r="AF15" s="17">
        <f>IF(ActionListNData[[#This Row],[Action Name]]="","id",COUNTA($AC$3:ActionListNData[[#This Row],[Resource List]])+IF(VLOOKUP('Table Seed Map'!$A$35,SeedMap[],9,0),VLOOKUP('Table Seed Map'!$A$10,SeedMap[],35,0),0))</f>
        <v>13</v>
      </c>
      <c r="AG15" s="17">
        <f>ActionListNData[[#This Row],[Action]]</f>
        <v>25</v>
      </c>
      <c r="AH15" s="17">
        <f>IF(ActionListNData[[#This Row],[Action Name]]="","resource_list",IFERROR(VLOOKUP(ActionListNData[[#This Row],[Resource List]],ResourceList[[ListDisplayName]:[No]],2,0),""))</f>
        <v>4</v>
      </c>
      <c r="AI15" s="17" t="str">
        <f>'Table Seed Map'!$A$36&amp;"-"&amp;COUNT($AL$2:ActionListNData[[#This Row],[Data]])</f>
        <v>Action Data-0</v>
      </c>
      <c r="AJ15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15" s="17">
        <f>ActionListNData[[#This Row],[Action]]</f>
        <v>25</v>
      </c>
      <c r="AL15" s="17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50" t="str">
        <f>'Table Seed Map'!$A$32&amp;"-"&amp;(COUNTA($E$1:ResourceAction[[#This Row],[Resource]])-2)</f>
        <v>Resource Actions-14</v>
      </c>
      <c r="B16" s="50" t="str">
        <f>ResourceAction[[#This Row],[Resource Name]]&amp;"/"&amp;ResourceAction[[#This Row],[Name]]</f>
        <v>ResourceList/ListsListAction</v>
      </c>
      <c r="C16" s="48" t="s">
        <v>407</v>
      </c>
      <c r="D16" s="50">
        <f>IF(ResourceAction[[#This Row],[Resource Name]]="","id",COUNTA($C$3:ResourceAction[[#This Row],[Resource Name]])+IF(VLOOKUP('Table Seed Map'!$A$32,SeedMap[],9,0),VLOOKUP('Table Seed Map'!$A$10,SeedMap[],32,0),0))</f>
        <v>14</v>
      </c>
      <c r="E16" s="50">
        <f>VLOOKUP(ResourceAction[[#This Row],[Resource Name]],ResourceTable[[RName]:[RID]],2,0)</f>
        <v>20</v>
      </c>
      <c r="F16" s="50" t="s">
        <v>1144</v>
      </c>
      <c r="G16" s="50" t="s">
        <v>1145</v>
      </c>
      <c r="H16" s="50"/>
      <c r="I16" s="50"/>
      <c r="J16" s="50" t="s">
        <v>1139</v>
      </c>
      <c r="K16" s="51" t="str">
        <f>'Table Seed Map'!$A$33&amp;"-"&amp;(COUNTA($E$1:ResourceAction[[#This Row],[Resource]])-2)</f>
        <v>Action Method-14</v>
      </c>
      <c r="L16" s="50">
        <f>IF(ResourceAction[[#This Row],[Resource Name]]="","id",COUNTA($C$3:ResourceAction[[#This Row],[Resource Name]])+IF(VLOOKUP('Table Seed Map'!$A$33,SeedMap[],9,0),VLOOKUP('Table Seed Map'!$A$33,SeedMap[],9,0),0))</f>
        <v>14</v>
      </c>
      <c r="M16" s="50">
        <f>[No]</f>
        <v>14</v>
      </c>
      <c r="N16" s="80" t="s">
        <v>278</v>
      </c>
      <c r="O16" s="111">
        <f ca="1">IF(ResourceAction[[#This Row],[Resource Name]]="","idn1",IF(ResourceAction[[#This Row],[IDN1]]="","",VLOOKUP(ResourceAction[[#This Row],[IDN1]],IDNMaps[[Display]:[ID]],2,0)))</f>
        <v>5</v>
      </c>
      <c r="P16" s="81" t="str">
        <f>IF(ResourceAction[[#This Row],[Resource Name]]="","idn2",IF(ResourceAction[[#This Row],[IDN2]]="","",VLOOKUP(ResourceAction[[#This Row],[IDN2]],IDNMaps[[Display]:[ID]],2,0)))</f>
        <v/>
      </c>
      <c r="Q16" s="81" t="str">
        <f>IF(ResourceAction[[#This Row],[Resource Name]]="","idn3",IF(ResourceAction[[#This Row],[IDN3]]="","",VLOOKUP(ResourceAction[[#This Row],[IDN3]],IDNMaps[[Display]:[ID]],2,0)))</f>
        <v/>
      </c>
      <c r="R16" s="81" t="str">
        <f>IF(ResourceAction[[#This Row],[Resource Name]]="","idn4",IF(ResourceAction[[#This Row],[IDN4]]="","",VLOOKUP(ResourceAction[[#This Row],[IDN4]],IDNMaps[[Display]:[ID]],2,0)))</f>
        <v/>
      </c>
      <c r="S16" s="81" t="str">
        <f>IF(ResourceAction[[#This Row],[Resource Name]]="","idn5",IF(ResourceAction[[#This Row],[IDN5]]="","",VLOOKUP(ResourceAction[[#This Row],[IDN5]],IDNMaps[[Display]:[ID]],2,0)))</f>
        <v/>
      </c>
      <c r="T16" s="107" t="s">
        <v>1146</v>
      </c>
      <c r="U16" s="107"/>
      <c r="V16" s="107"/>
      <c r="W16" s="107"/>
      <c r="X16" s="107"/>
      <c r="Y16" s="93">
        <f>[No]</f>
        <v>14</v>
      </c>
      <c r="AA16" s="2" t="s">
        <v>1314</v>
      </c>
      <c r="AB16" s="17">
        <f>VLOOKUP(ActionListNData[[#This Row],[Action Name]],ResourceAction[[Display]:[No]],3,0)</f>
        <v>26</v>
      </c>
      <c r="AC16" s="17" t="s">
        <v>1127</v>
      </c>
      <c r="AD16" s="17"/>
      <c r="AE16" s="17" t="str">
        <f>'Table Seed Map'!$A$35&amp;"-"&amp;COUNT($AH$2:ActionListNData[[#This Row],[List]])</f>
        <v>Action List-14</v>
      </c>
      <c r="AF16" s="17">
        <f>IF(ActionListNData[[#This Row],[Action Name]]="","id",COUNTA($AC$3:ActionListNData[[#This Row],[Resource List]])+IF(VLOOKUP('Table Seed Map'!$A$35,SeedMap[],9,0),VLOOKUP('Table Seed Map'!$A$10,SeedMap[],35,0),0))</f>
        <v>14</v>
      </c>
      <c r="AG16" s="17">
        <f>ActionListNData[[#This Row],[Action]]</f>
        <v>26</v>
      </c>
      <c r="AH16" s="17">
        <f>IF(ActionListNData[[#This Row],[Action Name]]="","resource_list",IFERROR(VLOOKUP(ActionListNData[[#This Row],[Resource List]],ResourceList[[ListDisplayName]:[No]],2,0),""))</f>
        <v>5</v>
      </c>
      <c r="AI16" s="17" t="str">
        <f>'Table Seed Map'!$A$36&amp;"-"&amp;COUNT($AL$2:ActionListNData[[#This Row],[Data]])</f>
        <v>Action Data-0</v>
      </c>
      <c r="AJ16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16" s="17">
        <f>ActionListNData[[#This Row],[Action]]</f>
        <v>26</v>
      </c>
      <c r="AL16" s="17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50" t="str">
        <f>'Table Seed Map'!$A$32&amp;"-"&amp;(COUNTA($E$1:ResourceAction[[#This Row],[Resource]])-2)</f>
        <v>Resource Actions-15</v>
      </c>
      <c r="B17" s="50" t="str">
        <f>ResourceAction[[#This Row],[Resource Name]]&amp;"/"&amp;ResourceAction[[#This Row],[Name]]</f>
        <v>ResourceList/AddListFormAction</v>
      </c>
      <c r="C17" s="48" t="s">
        <v>407</v>
      </c>
      <c r="D17" s="50">
        <f>IF(ResourceAction[[#This Row],[Resource Name]]="","id",COUNTA($C$3:ResourceAction[[#This Row],[Resource Name]])+IF(VLOOKUP('Table Seed Map'!$A$32,SeedMap[],9,0),VLOOKUP('Table Seed Map'!$A$10,SeedMap[],32,0),0))</f>
        <v>15</v>
      </c>
      <c r="E17" s="50">
        <f>VLOOKUP(ResourceAction[[#This Row],[Resource Name]],ResourceTable[[RName]:[RID]],2,0)</f>
        <v>20</v>
      </c>
      <c r="F17" s="50" t="s">
        <v>1028</v>
      </c>
      <c r="G17" s="50" t="s">
        <v>1029</v>
      </c>
      <c r="H17" s="50" t="s">
        <v>1024</v>
      </c>
      <c r="I17" s="50" t="s">
        <v>803</v>
      </c>
      <c r="J17" s="50"/>
      <c r="K17" s="51" t="str">
        <f>'Table Seed Map'!$A$33&amp;"-"&amp;(COUNTA($E$1:ResourceAction[[#This Row],[Resource]])-2)</f>
        <v>Action Method-15</v>
      </c>
      <c r="L17" s="50">
        <f>IF(ResourceAction[[#This Row],[Resource Name]]="","id",COUNTA($C$3:ResourceAction[[#This Row],[Resource Name]])+IF(VLOOKUP('Table Seed Map'!$A$33,SeedMap[],9,0),VLOOKUP('Table Seed Map'!$A$33,SeedMap[],9,0),0))</f>
        <v>15</v>
      </c>
      <c r="M17" s="50">
        <f>[No]</f>
        <v>15</v>
      </c>
      <c r="N17" s="80" t="s">
        <v>1000</v>
      </c>
      <c r="O17" s="77">
        <f ca="1">IF(ResourceAction[[#This Row],[Resource Name]]="","idn1",IF(ResourceAction[[#This Row],[IDN1]]="","",VLOOKUP(ResourceAction[[#This Row],[IDN1]],IDNMaps[[Display]:[ID]],2,0)))</f>
        <v>54</v>
      </c>
      <c r="P17" s="81">
        <f ca="1">IF(ResourceAction[[#This Row],[Resource Name]]="","idn2",IF(ResourceAction[[#This Row],[IDN2]]="","",VLOOKUP(ResourceAction[[#This Row],[IDN2]],IDNMaps[[Display]:[ID]],2,0)))</f>
        <v>11</v>
      </c>
      <c r="Q17" s="81" t="str">
        <f>IF(ResourceAction[[#This Row],[Resource Name]]="","idn3",IF(ResourceAction[[#This Row],[IDN3]]="","",VLOOKUP(ResourceAction[[#This Row],[IDN3]],IDNMaps[[Display]:[ID]],2,0)))</f>
        <v/>
      </c>
      <c r="R17" s="81" t="str">
        <f>IF(ResourceAction[[#This Row],[Resource Name]]="","idn4",IF(ResourceAction[[#This Row],[IDN4]]="","",VLOOKUP(ResourceAction[[#This Row],[IDN4]],IDNMaps[[Display]:[ID]],2,0)))</f>
        <v/>
      </c>
      <c r="S17" s="81" t="str">
        <f>IF(ResourceAction[[#This Row],[Resource Name]]="","idn5",IF(ResourceAction[[#This Row],[IDN5]]="","",VLOOKUP(ResourceAction[[#This Row],[IDN5]],IDNMaps[[Display]:[ID]],2,0)))</f>
        <v/>
      </c>
      <c r="T17" s="107" t="s">
        <v>1053</v>
      </c>
      <c r="U17" s="107" t="s">
        <v>1054</v>
      </c>
      <c r="V17" s="107"/>
      <c r="W17" s="107"/>
      <c r="X17" s="107"/>
      <c r="Y17" s="93">
        <f>[No]</f>
        <v>15</v>
      </c>
      <c r="AA17" s="2" t="s">
        <v>1313</v>
      </c>
      <c r="AB17" s="17">
        <f>VLOOKUP(ActionListNData[[#This Row],[Action Name]],ResourceAction[[Display]:[No]],3,0)</f>
        <v>27</v>
      </c>
      <c r="AC17" s="17" t="s">
        <v>1127</v>
      </c>
      <c r="AD17" s="17"/>
      <c r="AE17" s="17" t="str">
        <f>'Table Seed Map'!$A$35&amp;"-"&amp;COUNT($AH$2:ActionListNData[[#This Row],[List]])</f>
        <v>Action List-15</v>
      </c>
      <c r="AF17" s="17">
        <f>IF(ActionListNData[[#This Row],[Action Name]]="","id",COUNTA($AC$3:ActionListNData[[#This Row],[Resource List]])+IF(VLOOKUP('Table Seed Map'!$A$35,SeedMap[],9,0),VLOOKUP('Table Seed Map'!$A$10,SeedMap[],35,0),0))</f>
        <v>15</v>
      </c>
      <c r="AG17" s="17">
        <f>ActionListNData[[#This Row],[Action]]</f>
        <v>27</v>
      </c>
      <c r="AH17" s="17">
        <f>IF(ActionListNData[[#This Row],[Action Name]]="","resource_list",IFERROR(VLOOKUP(ActionListNData[[#This Row],[Resource List]],ResourceList[[ListDisplayName]:[No]],2,0),""))</f>
        <v>5</v>
      </c>
      <c r="AI17" s="17" t="str">
        <f>'Table Seed Map'!$A$36&amp;"-"&amp;COUNT($AL$2:ActionListNData[[#This Row],[Data]])</f>
        <v>Action Data-0</v>
      </c>
      <c r="AJ17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17" s="17">
        <f>ActionListNData[[#This Row],[Action]]</f>
        <v>27</v>
      </c>
      <c r="AL17" s="17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46" t="str">
        <f>'Table Seed Map'!$A$32&amp;"-"&amp;(COUNTA($E$1:ResourceAction[[#This Row],[Resource]])-2)</f>
        <v>Resource Actions-16</v>
      </c>
      <c r="B18" s="46" t="str">
        <f>ResourceAction[[#This Row],[Resource Name]]&amp;"/"&amp;ResourceAction[[#This Row],[Name]]</f>
        <v>ResourceData/CreateDataFormAction</v>
      </c>
      <c r="C18" s="48" t="s">
        <v>430</v>
      </c>
      <c r="D18" s="46">
        <f>IF(ResourceAction[[#This Row],[Resource Name]]="","id",COUNTA($C$3:ResourceAction[[#This Row],[Resource Name]])+IF(VLOOKUP('Table Seed Map'!$A$32,SeedMap[],9,0),VLOOKUP('Table Seed Map'!$A$10,SeedMap[],32,0),0))</f>
        <v>16</v>
      </c>
      <c r="E18" s="46">
        <f>VLOOKUP(ResourceAction[[#This Row],[Resource Name]],ResourceTable[[RName]:[RID]],2,0)</f>
        <v>25</v>
      </c>
      <c r="F18" s="46" t="s">
        <v>1067</v>
      </c>
      <c r="G18" s="46" t="s">
        <v>1069</v>
      </c>
      <c r="H18" s="46" t="s">
        <v>1061</v>
      </c>
      <c r="I18" s="46"/>
      <c r="J18" s="46" t="s">
        <v>1071</v>
      </c>
      <c r="K18" s="49" t="str">
        <f>'Table Seed Map'!$A$33&amp;"-"&amp;(COUNTA($E$1:ResourceAction[[#This Row],[Resource]])-2)</f>
        <v>Action Method-16</v>
      </c>
      <c r="L18" s="46">
        <f>IF(ResourceAction[[#This Row],[Resource Name]]="","id",COUNTA($C$3:ResourceAction[[#This Row],[Resource Name]])+IF(VLOOKUP('Table Seed Map'!$A$33,SeedMap[],9,0),VLOOKUP('Table Seed Map'!$A$33,SeedMap[],9,0),0))</f>
        <v>16</v>
      </c>
      <c r="M18" s="46">
        <f>[No]</f>
        <v>16</v>
      </c>
      <c r="N18" s="78" t="s">
        <v>276</v>
      </c>
      <c r="O18" s="79">
        <f ca="1">IF(ResourceAction[[#This Row],[Resource Name]]="","idn1",IF(ResourceAction[[#This Row],[IDN1]]="","",VLOOKUP(ResourceAction[[#This Row],[IDN1]],IDNMaps[[Display]:[ID]],2,0)))</f>
        <v>12</v>
      </c>
      <c r="P18" s="79" t="str">
        <f>IF(ResourceAction[[#This Row],[Resource Name]]="","idn2",IF(ResourceAction[[#This Row],[IDN2]]="","",VLOOKUP(ResourceAction[[#This Row],[IDN2]],IDNMaps[[Display]:[ID]],2,0)))</f>
        <v/>
      </c>
      <c r="Q18" s="79" t="str">
        <f>IF(ResourceAction[[#This Row],[Resource Name]]="","idn3",IF(ResourceAction[[#This Row],[IDN3]]="","",VLOOKUP(ResourceAction[[#This Row],[IDN3]],IDNMaps[[Display]:[ID]],2,0)))</f>
        <v/>
      </c>
      <c r="R18" s="79" t="str">
        <f>IF(ResourceAction[[#This Row],[Resource Name]]="","idn4",IF(ResourceAction[[#This Row],[IDN4]]="","",VLOOKUP(ResourceAction[[#This Row],[IDN4]],IDNMaps[[Display]:[ID]],2,0)))</f>
        <v/>
      </c>
      <c r="S18" s="79" t="str">
        <f>IF(ResourceAction[[#This Row],[Resource Name]]="","idn5",IF(ResourceAction[[#This Row],[IDN5]]="","",VLOOKUP(ResourceAction[[#This Row],[IDN5]],IDNMaps[[Display]:[ID]],2,0)))</f>
        <v/>
      </c>
      <c r="T18" s="106" t="s">
        <v>1072</v>
      </c>
      <c r="U18" s="106"/>
      <c r="V18" s="106"/>
      <c r="W18" s="106"/>
      <c r="X18" s="106"/>
      <c r="Y18" s="91">
        <f>[No]</f>
        <v>16</v>
      </c>
      <c r="AA18" s="2" t="s">
        <v>1315</v>
      </c>
      <c r="AB18" s="17">
        <f>VLOOKUP(ActionListNData[[#This Row],[Action Name]],ResourceAction[[Display]:[No]],3,0)</f>
        <v>28</v>
      </c>
      <c r="AC18" s="17" t="s">
        <v>1127</v>
      </c>
      <c r="AD18" s="17"/>
      <c r="AE18" s="17" t="str">
        <f>'Table Seed Map'!$A$35&amp;"-"&amp;COUNT($AH$2:ActionListNData[[#This Row],[List]])</f>
        <v>Action List-16</v>
      </c>
      <c r="AF18" s="17">
        <f>IF(ActionListNData[[#This Row],[Action Name]]="","id",COUNTA($AC$3:ActionListNData[[#This Row],[Resource List]])+IF(VLOOKUP('Table Seed Map'!$A$35,SeedMap[],9,0),VLOOKUP('Table Seed Map'!$A$10,SeedMap[],35,0),0))</f>
        <v>16</v>
      </c>
      <c r="AG18" s="17">
        <f>ActionListNData[[#This Row],[Action]]</f>
        <v>28</v>
      </c>
      <c r="AH18" s="17">
        <f>IF(ActionListNData[[#This Row],[Action Name]]="","resource_list",IFERROR(VLOOKUP(ActionListNData[[#This Row],[Resource List]],ResourceList[[ListDisplayName]:[No]],2,0),""))</f>
        <v>5</v>
      </c>
      <c r="AI18" s="17" t="str">
        <f>'Table Seed Map'!$A$36&amp;"-"&amp;COUNT($AL$2:ActionListNData[[#This Row],[Data]])</f>
        <v>Action Data-0</v>
      </c>
      <c r="AJ18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18" s="17">
        <f>ActionListNData[[#This Row],[Action]]</f>
        <v>28</v>
      </c>
      <c r="AL18" s="17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50" t="str">
        <f>'Table Seed Map'!$A$32&amp;"-"&amp;(COUNTA($E$1:ResourceAction[[#This Row],[Resource]])-2)</f>
        <v>Resource Actions-17</v>
      </c>
      <c r="B19" s="50" t="str">
        <f>ResourceAction[[#This Row],[Resource Name]]&amp;"/"&amp;ResourceAction[[#This Row],[Name]]</f>
        <v>ResourceData/DataListAction</v>
      </c>
      <c r="C19" s="48" t="s">
        <v>430</v>
      </c>
      <c r="D19" s="50">
        <f>IF(ResourceAction[[#This Row],[Resource Name]]="","id",COUNTA($C$3:ResourceAction[[#This Row],[Resource Name]])+IF(VLOOKUP('Table Seed Map'!$A$32,SeedMap[],9,0),VLOOKUP('Table Seed Map'!$A$10,SeedMap[],32,0),0))</f>
        <v>17</v>
      </c>
      <c r="E19" s="50">
        <f>VLOOKUP(ResourceAction[[#This Row],[Resource Name]],ResourceTable[[RName]:[RID]],2,0)</f>
        <v>25</v>
      </c>
      <c r="F19" s="50" t="s">
        <v>1147</v>
      </c>
      <c r="G19" s="50" t="s">
        <v>1148</v>
      </c>
      <c r="H19" s="50"/>
      <c r="I19" s="50"/>
      <c r="J19" s="50" t="s">
        <v>1139</v>
      </c>
      <c r="K19" s="51" t="str">
        <f>'Table Seed Map'!$A$33&amp;"-"&amp;(COUNTA($E$1:ResourceAction[[#This Row],[Resource]])-2)</f>
        <v>Action Method-17</v>
      </c>
      <c r="L19" s="50">
        <f>IF(ResourceAction[[#This Row],[Resource Name]]="","id",COUNTA($C$3:ResourceAction[[#This Row],[Resource Name]])+IF(VLOOKUP('Table Seed Map'!$A$33,SeedMap[],9,0),VLOOKUP('Table Seed Map'!$A$33,SeedMap[],9,0),0))</f>
        <v>17</v>
      </c>
      <c r="M19" s="50">
        <f>[No]</f>
        <v>17</v>
      </c>
      <c r="N19" s="80" t="s">
        <v>278</v>
      </c>
      <c r="O19" s="81">
        <f ca="1">IF(ResourceAction[[#This Row],[Resource Name]]="","idn1",IF(ResourceAction[[#This Row],[IDN1]]="","",VLOOKUP(ResourceAction[[#This Row],[IDN1]],IDNMaps[[Display]:[ID]],2,0)))</f>
        <v>6</v>
      </c>
      <c r="P19" s="81" t="str">
        <f>IF(ResourceAction[[#This Row],[Resource Name]]="","idn2",IF(ResourceAction[[#This Row],[IDN2]]="","",VLOOKUP(ResourceAction[[#This Row],[IDN2]],IDNMaps[[Display]:[ID]],2,0)))</f>
        <v/>
      </c>
      <c r="Q19" s="81" t="str">
        <f>IF(ResourceAction[[#This Row],[Resource Name]]="","idn3",IF(ResourceAction[[#This Row],[IDN3]]="","",VLOOKUP(ResourceAction[[#This Row],[IDN3]],IDNMaps[[Display]:[ID]],2,0)))</f>
        <v/>
      </c>
      <c r="R19" s="81" t="str">
        <f>IF(ResourceAction[[#This Row],[Resource Name]]="","idn4",IF(ResourceAction[[#This Row],[IDN4]]="","",VLOOKUP(ResourceAction[[#This Row],[IDN4]],IDNMaps[[Display]:[ID]],2,0)))</f>
        <v/>
      </c>
      <c r="S19" s="81" t="str">
        <f>IF(ResourceAction[[#This Row],[Resource Name]]="","idn5",IF(ResourceAction[[#This Row],[IDN5]]="","",VLOOKUP(ResourceAction[[#This Row],[IDN5]],IDNMaps[[Display]:[ID]],2,0)))</f>
        <v/>
      </c>
      <c r="T19" s="107" t="s">
        <v>1149</v>
      </c>
      <c r="U19" s="107"/>
      <c r="V19" s="107"/>
      <c r="W19" s="107"/>
      <c r="X19" s="107"/>
      <c r="Y19" s="93">
        <f>[No]</f>
        <v>17</v>
      </c>
      <c r="AA19" s="2" t="s">
        <v>1316</v>
      </c>
      <c r="AB19" s="17">
        <f>VLOOKUP(ActionListNData[[#This Row],[Action Name]],ResourceAction[[Display]:[No]],3,0)</f>
        <v>29</v>
      </c>
      <c r="AC19" s="17" t="s">
        <v>1127</v>
      </c>
      <c r="AD19" s="17"/>
      <c r="AE19" s="17" t="str">
        <f>'Table Seed Map'!$A$35&amp;"-"&amp;COUNT($AH$2:ActionListNData[[#This Row],[List]])</f>
        <v>Action List-17</v>
      </c>
      <c r="AF19" s="17">
        <f>IF(ActionListNData[[#This Row],[Action Name]]="","id",COUNTA($AC$3:ActionListNData[[#This Row],[Resource List]])+IF(VLOOKUP('Table Seed Map'!$A$35,SeedMap[],9,0),VLOOKUP('Table Seed Map'!$A$10,SeedMap[],35,0),0))</f>
        <v>17</v>
      </c>
      <c r="AG19" s="17">
        <f>ActionListNData[[#This Row],[Action]]</f>
        <v>29</v>
      </c>
      <c r="AH19" s="17">
        <f>IF(ActionListNData[[#This Row],[Action Name]]="","resource_list",IFERROR(VLOOKUP(ActionListNData[[#This Row],[Resource List]],ResourceList[[ListDisplayName]:[No]],2,0),""))</f>
        <v>5</v>
      </c>
      <c r="AI19" s="17" t="str">
        <f>'Table Seed Map'!$A$36&amp;"-"&amp;COUNT($AL$2:ActionListNData[[#This Row],[Data]])</f>
        <v>Action Data-0</v>
      </c>
      <c r="AJ19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19" s="17">
        <f>ActionListNData[[#This Row],[Action]]</f>
        <v>29</v>
      </c>
      <c r="AL19" s="17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46" t="str">
        <f>'Table Seed Map'!$A$32&amp;"-"&amp;(COUNTA($E$1:ResourceAction[[#This Row],[Resource]])-2)</f>
        <v>Resource Actions-18</v>
      </c>
      <c r="B20" s="46" t="str">
        <f>ResourceAction[[#This Row],[Resource Name]]&amp;"/"&amp;ResourceAction[[#This Row],[Name]]</f>
        <v>ResourceData/AddDataFormAction</v>
      </c>
      <c r="C20" s="48" t="s">
        <v>430</v>
      </c>
      <c r="D20" s="46">
        <f>IF(ResourceAction[[#This Row],[Resource Name]]="","id",COUNTA($C$3:ResourceAction[[#This Row],[Resource Name]])+IF(VLOOKUP('Table Seed Map'!$A$32,SeedMap[],9,0),VLOOKUP('Table Seed Map'!$A$10,SeedMap[],32,0),0))</f>
        <v>18</v>
      </c>
      <c r="E20" s="46">
        <f>VLOOKUP(ResourceAction[[#This Row],[Resource Name]],ResourceTable[[RName]:[RID]],2,0)</f>
        <v>25</v>
      </c>
      <c r="F20" s="46" t="s">
        <v>1068</v>
      </c>
      <c r="G20" s="46" t="s">
        <v>1070</v>
      </c>
      <c r="H20" s="46" t="s">
        <v>1064</v>
      </c>
      <c r="I20" s="46" t="s">
        <v>803</v>
      </c>
      <c r="J20" s="46"/>
      <c r="K20" s="49" t="str">
        <f>'Table Seed Map'!$A$33&amp;"-"&amp;(COUNTA($E$1:ResourceAction[[#This Row],[Resource]])-2)</f>
        <v>Action Method-18</v>
      </c>
      <c r="L20" s="46">
        <f>IF(ResourceAction[[#This Row],[Resource Name]]="","id",COUNTA($C$3:ResourceAction[[#This Row],[Resource Name]])+IF(VLOOKUP('Table Seed Map'!$A$33,SeedMap[],9,0),VLOOKUP('Table Seed Map'!$A$33,SeedMap[],9,0),0))</f>
        <v>18</v>
      </c>
      <c r="M20" s="46">
        <f>[No]</f>
        <v>18</v>
      </c>
      <c r="N20" s="78" t="s">
        <v>1000</v>
      </c>
      <c r="O20" s="79">
        <f ca="1">IF(ResourceAction[[#This Row],[Resource Name]]="","idn1",IF(ResourceAction[[#This Row],[IDN1]]="","",VLOOKUP(ResourceAction[[#This Row],[IDN1]],IDNMaps[[Display]:[ID]],2,0)))</f>
        <v>55</v>
      </c>
      <c r="P20" s="79">
        <f ca="1">IF(ResourceAction[[#This Row],[Resource Name]]="","idn2",IF(ResourceAction[[#This Row],[IDN2]]="","",VLOOKUP(ResourceAction[[#This Row],[IDN2]],IDNMaps[[Display]:[ID]],2,0)))</f>
        <v>13</v>
      </c>
      <c r="Q20" s="79" t="str">
        <f>IF(ResourceAction[[#This Row],[Resource Name]]="","idn3",IF(ResourceAction[[#This Row],[IDN3]]="","",VLOOKUP(ResourceAction[[#This Row],[IDN3]],IDNMaps[[Display]:[ID]],2,0)))</f>
        <v/>
      </c>
      <c r="R20" s="79" t="str">
        <f>IF(ResourceAction[[#This Row],[Resource Name]]="","idn4",IF(ResourceAction[[#This Row],[IDN4]]="","",VLOOKUP(ResourceAction[[#This Row],[IDN4]],IDNMaps[[Display]:[ID]],2,0)))</f>
        <v/>
      </c>
      <c r="S20" s="79" t="str">
        <f>IF(ResourceAction[[#This Row],[Resource Name]]="","idn5",IF(ResourceAction[[#This Row],[IDN5]]="","",VLOOKUP(ResourceAction[[#This Row],[IDN5]],IDNMaps[[Display]:[ID]],2,0)))</f>
        <v/>
      </c>
      <c r="T20" s="106" t="s">
        <v>1073</v>
      </c>
      <c r="U20" s="106" t="s">
        <v>1074</v>
      </c>
      <c r="V20" s="106"/>
      <c r="W20" s="106"/>
      <c r="X20" s="106"/>
      <c r="Y20" s="91">
        <f>[No]</f>
        <v>18</v>
      </c>
      <c r="AA20" s="2" t="s">
        <v>1317</v>
      </c>
      <c r="AB20" s="17">
        <f>VLOOKUP(ActionListNData[[#This Row],[Action Name]],ResourceAction[[Display]:[No]],3,0)</f>
        <v>30</v>
      </c>
      <c r="AC20" s="17" t="s">
        <v>1135</v>
      </c>
      <c r="AD20" s="17"/>
      <c r="AE20" s="17" t="str">
        <f>'Table Seed Map'!$A$35&amp;"-"&amp;COUNT($AH$2:ActionListNData[[#This Row],[List]])</f>
        <v>Action List-18</v>
      </c>
      <c r="AF20" s="17">
        <f>IF(ActionListNData[[#This Row],[Action Name]]="","id",COUNTA($AC$3:ActionListNData[[#This Row],[Resource List]])+IF(VLOOKUP('Table Seed Map'!$A$35,SeedMap[],9,0),VLOOKUP('Table Seed Map'!$A$10,SeedMap[],35,0),0))</f>
        <v>18</v>
      </c>
      <c r="AG20" s="17">
        <f>ActionListNData[[#This Row],[Action]]</f>
        <v>30</v>
      </c>
      <c r="AH20" s="17">
        <f>IF(ActionListNData[[#This Row],[Action Name]]="","resource_list",IFERROR(VLOOKUP(ActionListNData[[#This Row],[Resource List]],ResourceList[[ListDisplayName]:[No]],2,0),""))</f>
        <v>6</v>
      </c>
      <c r="AI20" s="17" t="str">
        <f>'Table Seed Map'!$A$36&amp;"-"&amp;COUNT($AL$2:ActionListNData[[#This Row],[Data]])</f>
        <v>Action Data-0</v>
      </c>
      <c r="AJ20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20" s="17">
        <f>ActionListNData[[#This Row],[Action]]</f>
        <v>30</v>
      </c>
      <c r="AL20" s="17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50" t="str">
        <f>'Table Seed Map'!$A$32&amp;"-"&amp;(COUNTA($E$1:ResourceAction[[#This Row],[Resource]])-2)</f>
        <v>Resource Actions-19</v>
      </c>
      <c r="B21" s="50" t="str">
        <f>ResourceAction[[#This Row],[Resource Name]]&amp;"/"&amp;ResourceAction[[#This Row],[Name]]</f>
        <v>Resource/ListResourceFormsAction</v>
      </c>
      <c r="C21" s="39" t="s">
        <v>204</v>
      </c>
      <c r="D21" s="50">
        <f>IF(ResourceAction[[#This Row],[Resource Name]]="","id",COUNTA($C$3:ResourceAction[[#This Row],[Resource Name]])+IF(VLOOKUP('Table Seed Map'!$A$32,SeedMap[],9,0),VLOOKUP('Table Seed Map'!$A$10,SeedMap[],32,0),0))</f>
        <v>19</v>
      </c>
      <c r="E21" s="50">
        <f>VLOOKUP(ResourceAction[[#This Row],[Resource Name]],ResourceTable[[RName]:[RID]],2,0)</f>
        <v>4</v>
      </c>
      <c r="F21" s="50" t="s">
        <v>1150</v>
      </c>
      <c r="G21" s="50" t="s">
        <v>1157</v>
      </c>
      <c r="H21" s="50" t="s">
        <v>1151</v>
      </c>
      <c r="I21" s="46" t="s">
        <v>803</v>
      </c>
      <c r="J21" s="50"/>
      <c r="K21" s="51" t="str">
        <f>'Table Seed Map'!$A$33&amp;"-"&amp;(COUNTA($E$1:ResourceAction[[#This Row],[Resource]])-2)</f>
        <v>Action Method-19</v>
      </c>
      <c r="L21" s="50">
        <f>IF(ResourceAction[[#This Row],[Resource Name]]="","id",COUNTA($C$3:ResourceAction[[#This Row],[Resource Name]])+IF(VLOOKUP('Table Seed Map'!$A$33,SeedMap[],9,0),VLOOKUP('Table Seed Map'!$A$33,SeedMap[],9,0),0))</f>
        <v>19</v>
      </c>
      <c r="M21" s="50">
        <f>[No]</f>
        <v>19</v>
      </c>
      <c r="N21" s="80" t="s">
        <v>1152</v>
      </c>
      <c r="O21" s="81">
        <f ca="1">IF(ResourceAction[[#This Row],[Resource Name]]="","idn1",IF(ResourceAction[[#This Row],[IDN1]]="","",VLOOKUP(ResourceAction[[#This Row],[IDN1]],IDNMaps[[Display]:[ID]],2,0)))</f>
        <v>14</v>
      </c>
      <c r="P21" s="81">
        <f ca="1">IF(ResourceAction[[#This Row],[Resource Name]]="","idn2",IF(ResourceAction[[#This Row],[IDN2]]="","",VLOOKUP(ResourceAction[[#This Row],[IDN2]],IDNMaps[[Display]:[ID]],2,0)))</f>
        <v>4</v>
      </c>
      <c r="Q21" s="81" t="str">
        <f>IF(ResourceAction[[#This Row],[Resource Name]]="","idn3",IF(ResourceAction[[#This Row],[IDN3]]="","",VLOOKUP(ResourceAction[[#This Row],[IDN3]],IDNMaps[[Display]:[ID]],2,0)))</f>
        <v/>
      </c>
      <c r="R21" s="81" t="str">
        <f>IF(ResourceAction[[#This Row],[Resource Name]]="","idn4",IF(ResourceAction[[#This Row],[IDN4]]="","",VLOOKUP(ResourceAction[[#This Row],[IDN4]],IDNMaps[[Display]:[ID]],2,0)))</f>
        <v/>
      </c>
      <c r="S21" s="81" t="str">
        <f>IF(ResourceAction[[#This Row],[Resource Name]]="","idn5",IF(ResourceAction[[#This Row],[IDN5]]="","",VLOOKUP(ResourceAction[[#This Row],[IDN5]],IDNMaps[[Display]:[ID]],2,0)))</f>
        <v/>
      </c>
      <c r="T21" s="107" t="s">
        <v>1051</v>
      </c>
      <c r="U21" s="107" t="s">
        <v>1143</v>
      </c>
      <c r="V21" s="107"/>
      <c r="W21" s="107"/>
      <c r="X21" s="107"/>
      <c r="Y21" s="93">
        <f>[No]</f>
        <v>19</v>
      </c>
      <c r="AA21" s="2" t="s">
        <v>1318</v>
      </c>
      <c r="AB21" s="17">
        <f>VLOOKUP(ActionListNData[[#This Row],[Action Name]],ResourceAction[[Display]:[No]],3,0)</f>
        <v>31</v>
      </c>
      <c r="AC21" s="17" t="s">
        <v>1135</v>
      </c>
      <c r="AD21" s="17"/>
      <c r="AE21" s="17" t="str">
        <f>'Table Seed Map'!$A$35&amp;"-"&amp;COUNT($AH$2:ActionListNData[[#This Row],[List]])</f>
        <v>Action List-19</v>
      </c>
      <c r="AF21" s="17">
        <f>IF(ActionListNData[[#This Row],[Action Name]]="","id",COUNTA($AC$3:ActionListNData[[#This Row],[Resource List]])+IF(VLOOKUP('Table Seed Map'!$A$35,SeedMap[],9,0),VLOOKUP('Table Seed Map'!$A$10,SeedMap[],35,0),0))</f>
        <v>19</v>
      </c>
      <c r="AG21" s="17">
        <f>ActionListNData[[#This Row],[Action]]</f>
        <v>31</v>
      </c>
      <c r="AH21" s="17">
        <f>IF(ActionListNData[[#This Row],[Action Name]]="","resource_list",IFERROR(VLOOKUP(ActionListNData[[#This Row],[Resource List]],ResourceList[[ListDisplayName]:[No]],2,0),""))</f>
        <v>6</v>
      </c>
      <c r="AI21" s="17" t="str">
        <f>'Table Seed Map'!$A$36&amp;"-"&amp;COUNT($AL$2:ActionListNData[[#This Row],[Data]])</f>
        <v>Action Data-0</v>
      </c>
      <c r="AJ21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21" s="17">
        <f>ActionListNData[[#This Row],[Action]]</f>
        <v>31</v>
      </c>
      <c r="AL21" s="17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50" t="str">
        <f>'Table Seed Map'!$A$32&amp;"-"&amp;(COUNTA($E$1:ResourceAction[[#This Row],[Resource]])-2)</f>
        <v>Resource Actions-20</v>
      </c>
      <c r="B22" s="50" t="str">
        <f>ResourceAction[[#This Row],[Resource Name]]&amp;"/"&amp;ResourceAction[[#This Row],[Name]]</f>
        <v>Resource/ListResourceListsAction</v>
      </c>
      <c r="C22" s="39" t="s">
        <v>204</v>
      </c>
      <c r="D22" s="50">
        <f>IF(ResourceAction[[#This Row],[Resource Name]]="","id",COUNTA($C$3:ResourceAction[[#This Row],[Resource Name]])+IF(VLOOKUP('Table Seed Map'!$A$32,SeedMap[],9,0),VLOOKUP('Table Seed Map'!$A$10,SeedMap[],32,0),0))</f>
        <v>20</v>
      </c>
      <c r="E22" s="50">
        <f>VLOOKUP(ResourceAction[[#This Row],[Resource Name]],ResourceTable[[RName]:[RID]],2,0)</f>
        <v>4</v>
      </c>
      <c r="F22" s="50" t="s">
        <v>1153</v>
      </c>
      <c r="G22" s="50" t="s">
        <v>1156</v>
      </c>
      <c r="H22" s="50" t="s">
        <v>1160</v>
      </c>
      <c r="I22" s="46" t="s">
        <v>803</v>
      </c>
      <c r="J22" s="50"/>
      <c r="K22" s="51" t="str">
        <f>'Table Seed Map'!$A$33&amp;"-"&amp;(COUNTA($E$1:ResourceAction[[#This Row],[Resource]])-2)</f>
        <v>Action Method-20</v>
      </c>
      <c r="L22" s="50">
        <f>IF(ResourceAction[[#This Row],[Resource Name]]="","id",COUNTA($C$3:ResourceAction[[#This Row],[Resource Name]])+IF(VLOOKUP('Table Seed Map'!$A$33,SeedMap[],9,0),VLOOKUP('Table Seed Map'!$A$33,SeedMap[],9,0),0))</f>
        <v>20</v>
      </c>
      <c r="M22" s="50">
        <f>[No]</f>
        <v>20</v>
      </c>
      <c r="N22" s="80" t="s">
        <v>1152</v>
      </c>
      <c r="O22" s="81">
        <f ca="1">IF(ResourceAction[[#This Row],[Resource Name]]="","idn1",IF(ResourceAction[[#This Row],[IDN1]]="","",VLOOKUP(ResourceAction[[#This Row],[IDN1]],IDNMaps[[Display]:[ID]],2,0)))</f>
        <v>54</v>
      </c>
      <c r="P22" s="81">
        <f ca="1">IF(ResourceAction[[#This Row],[Resource Name]]="","idn2",IF(ResourceAction[[#This Row],[IDN2]]="","",VLOOKUP(ResourceAction[[#This Row],[IDN2]],IDNMaps[[Display]:[ID]],2,0)))</f>
        <v>5</v>
      </c>
      <c r="Q22" s="81" t="str">
        <f>IF(ResourceAction[[#This Row],[Resource Name]]="","idn3",IF(ResourceAction[[#This Row],[IDN3]]="","",VLOOKUP(ResourceAction[[#This Row],[IDN3]],IDNMaps[[Display]:[ID]],2,0)))</f>
        <v/>
      </c>
      <c r="R22" s="81" t="str">
        <f>IF(ResourceAction[[#This Row],[Resource Name]]="","idn4",IF(ResourceAction[[#This Row],[IDN4]]="","",VLOOKUP(ResourceAction[[#This Row],[IDN4]],IDNMaps[[Display]:[ID]],2,0)))</f>
        <v/>
      </c>
      <c r="S22" s="81" t="str">
        <f>IF(ResourceAction[[#This Row],[Resource Name]]="","idn5",IF(ResourceAction[[#This Row],[IDN5]]="","",VLOOKUP(ResourceAction[[#This Row],[IDN5]],IDNMaps[[Display]:[ID]],2,0)))</f>
        <v/>
      </c>
      <c r="T22" s="107" t="s">
        <v>1053</v>
      </c>
      <c r="U22" s="107" t="s">
        <v>1146</v>
      </c>
      <c r="V22" s="107"/>
      <c r="W22" s="107"/>
      <c r="X22" s="107"/>
      <c r="Y22" s="93">
        <f>[No]</f>
        <v>20</v>
      </c>
      <c r="AA22" s="2" t="s">
        <v>1319</v>
      </c>
      <c r="AB22" s="17">
        <f>VLOOKUP(ActionListNData[[#This Row],[Action Name]],ResourceAction[[Display]:[No]],3,0)</f>
        <v>32</v>
      </c>
      <c r="AC22" s="17" t="s">
        <v>1135</v>
      </c>
      <c r="AD22" s="17"/>
      <c r="AE22" s="17" t="str">
        <f>'Table Seed Map'!$A$35&amp;"-"&amp;COUNT($AH$2:ActionListNData[[#This Row],[List]])</f>
        <v>Action List-20</v>
      </c>
      <c r="AF22" s="17">
        <f>IF(ActionListNData[[#This Row],[Action Name]]="","id",COUNTA($AC$3:ActionListNData[[#This Row],[Resource List]])+IF(VLOOKUP('Table Seed Map'!$A$35,SeedMap[],9,0),VLOOKUP('Table Seed Map'!$A$10,SeedMap[],35,0),0))</f>
        <v>20</v>
      </c>
      <c r="AG22" s="17">
        <f>ActionListNData[[#This Row],[Action]]</f>
        <v>32</v>
      </c>
      <c r="AH22" s="17">
        <f>IF(ActionListNData[[#This Row],[Action Name]]="","resource_list",IFERROR(VLOOKUP(ActionListNData[[#This Row],[Resource List]],ResourceList[[ListDisplayName]:[No]],2,0),""))</f>
        <v>6</v>
      </c>
      <c r="AI22" s="17" t="str">
        <f>'Table Seed Map'!$A$36&amp;"-"&amp;COUNT($AL$2:ActionListNData[[#This Row],[Data]])</f>
        <v>Action Data-0</v>
      </c>
      <c r="AJ22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22" s="17">
        <f>ActionListNData[[#This Row],[Action]]</f>
        <v>32</v>
      </c>
      <c r="AL22" s="17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50" t="str">
        <f>'Table Seed Map'!$A$32&amp;"-"&amp;(COUNTA($E$1:ResourceAction[[#This Row],[Resource]])-2)</f>
        <v>Resource Actions-21</v>
      </c>
      <c r="B23" s="50" t="str">
        <f>ResourceAction[[#This Row],[Resource Name]]&amp;"/"&amp;ResourceAction[[#This Row],[Name]]</f>
        <v>Resource/ListResourceDataAction</v>
      </c>
      <c r="C23" s="39" t="s">
        <v>204</v>
      </c>
      <c r="D23" s="50">
        <f>IF(ResourceAction[[#This Row],[Resource Name]]="","id",COUNTA($C$3:ResourceAction[[#This Row],[Resource Name]])+IF(VLOOKUP('Table Seed Map'!$A$32,SeedMap[],9,0),VLOOKUP('Table Seed Map'!$A$10,SeedMap[],32,0),0))</f>
        <v>21</v>
      </c>
      <c r="E23" s="50">
        <f>VLOOKUP(ResourceAction[[#This Row],[Resource Name]],ResourceTable[[RName]:[RID]],2,0)</f>
        <v>4</v>
      </c>
      <c r="F23" s="50" t="s">
        <v>1154</v>
      </c>
      <c r="G23" s="50" t="s">
        <v>1158</v>
      </c>
      <c r="H23" s="50" t="s">
        <v>1161</v>
      </c>
      <c r="I23" s="46" t="s">
        <v>803</v>
      </c>
      <c r="J23" s="50"/>
      <c r="K23" s="51" t="str">
        <f>'Table Seed Map'!$A$33&amp;"-"&amp;(COUNTA($E$1:ResourceAction[[#This Row],[Resource]])-2)</f>
        <v>Action Method-21</v>
      </c>
      <c r="L23" s="50">
        <f>IF(ResourceAction[[#This Row],[Resource Name]]="","id",COUNTA($C$3:ResourceAction[[#This Row],[Resource Name]])+IF(VLOOKUP('Table Seed Map'!$A$33,SeedMap[],9,0),VLOOKUP('Table Seed Map'!$A$33,SeedMap[],9,0),0))</f>
        <v>21</v>
      </c>
      <c r="M23" s="50">
        <f>[No]</f>
        <v>21</v>
      </c>
      <c r="N23" s="80" t="s">
        <v>1152</v>
      </c>
      <c r="O23" s="81">
        <f ca="1">IF(ResourceAction[[#This Row],[Resource Name]]="","idn1",IF(ResourceAction[[#This Row],[IDN1]]="","",VLOOKUP(ResourceAction[[#This Row],[IDN1]],IDNMaps[[Display]:[ID]],2,0)))</f>
        <v>55</v>
      </c>
      <c r="P23" s="81">
        <f ca="1">IF(ResourceAction[[#This Row],[Resource Name]]="","idn2",IF(ResourceAction[[#This Row],[IDN2]]="","",VLOOKUP(ResourceAction[[#This Row],[IDN2]],IDNMaps[[Display]:[ID]],2,0)))</f>
        <v>6</v>
      </c>
      <c r="Q23" s="81" t="str">
        <f>IF(ResourceAction[[#This Row],[Resource Name]]="","idn3",IF(ResourceAction[[#This Row],[IDN3]]="","",VLOOKUP(ResourceAction[[#This Row],[IDN3]],IDNMaps[[Display]:[ID]],2,0)))</f>
        <v/>
      </c>
      <c r="R23" s="81" t="str">
        <f>IF(ResourceAction[[#This Row],[Resource Name]]="","idn4",IF(ResourceAction[[#This Row],[IDN4]]="","",VLOOKUP(ResourceAction[[#This Row],[IDN4]],IDNMaps[[Display]:[ID]],2,0)))</f>
        <v/>
      </c>
      <c r="S23" s="81" t="str">
        <f>IF(ResourceAction[[#This Row],[Resource Name]]="","idn5",IF(ResourceAction[[#This Row],[IDN5]]="","",VLOOKUP(ResourceAction[[#This Row],[IDN5]],IDNMaps[[Display]:[ID]],2,0)))</f>
        <v/>
      </c>
      <c r="T23" s="107" t="s">
        <v>1073</v>
      </c>
      <c r="U23" s="107" t="s">
        <v>1149</v>
      </c>
      <c r="V23" s="107"/>
      <c r="W23" s="107"/>
      <c r="X23" s="107"/>
      <c r="Y23" s="93">
        <f>[No]</f>
        <v>21</v>
      </c>
      <c r="AA23" s="2" t="s">
        <v>1324</v>
      </c>
      <c r="AB23" s="17">
        <f>VLOOKUP(ActionListNData[[#This Row],[Action Name]],ResourceAction[[Display]:[No]],3,0)</f>
        <v>33</v>
      </c>
      <c r="AC23" s="17" t="s">
        <v>1135</v>
      </c>
      <c r="AD23" s="17"/>
      <c r="AE23" s="17" t="str">
        <f>'Table Seed Map'!$A$35&amp;"-"&amp;COUNT($AH$2:ActionListNData[[#This Row],[List]])</f>
        <v>Action List-21</v>
      </c>
      <c r="AF23" s="17">
        <f>IF(ActionListNData[[#This Row],[Action Name]]="","id",COUNTA($AC$3:ActionListNData[[#This Row],[Resource List]])+IF(VLOOKUP('Table Seed Map'!$A$35,SeedMap[],9,0),VLOOKUP('Table Seed Map'!$A$10,SeedMap[],35,0),0))</f>
        <v>21</v>
      </c>
      <c r="AG23" s="17">
        <f>ActionListNData[[#This Row],[Action]]</f>
        <v>33</v>
      </c>
      <c r="AH23" s="17">
        <f>IF(ActionListNData[[#This Row],[Action Name]]="","resource_list",IFERROR(VLOOKUP(ActionListNData[[#This Row],[Resource List]],ResourceList[[ListDisplayName]:[No]],2,0),""))</f>
        <v>6</v>
      </c>
      <c r="AI23" s="17" t="str">
        <f>'Table Seed Map'!$A$36&amp;"-"&amp;COUNT($AL$2:ActionListNData[[#This Row],[Data]])</f>
        <v>Action Data-0</v>
      </c>
      <c r="AJ23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23" s="17">
        <f>ActionListNData[[#This Row],[Action]]</f>
        <v>33</v>
      </c>
      <c r="AL23" s="17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50" t="str">
        <f>'Table Seed Map'!$A$32&amp;"-"&amp;(COUNTA($E$1:ResourceAction[[#This Row],[Resource]])-2)</f>
        <v>Resource Actions-22</v>
      </c>
      <c r="B24" s="50" t="str">
        <f>ResourceAction[[#This Row],[Resource Name]]&amp;"/"&amp;ResourceAction[[#This Row],[Name]]</f>
        <v>Resource/ListResourceActionsAction</v>
      </c>
      <c r="C24" s="39" t="s">
        <v>204</v>
      </c>
      <c r="D24" s="50">
        <f>IF(ResourceAction[[#This Row],[Resource Name]]="","id",COUNTA($C$3:ResourceAction[[#This Row],[Resource Name]])+IF(VLOOKUP('Table Seed Map'!$A$32,SeedMap[],9,0),VLOOKUP('Table Seed Map'!$A$10,SeedMap[],32,0),0))</f>
        <v>22</v>
      </c>
      <c r="E24" s="50">
        <f>VLOOKUP(ResourceAction[[#This Row],[Resource Name]],ResourceTable[[RName]:[RID]],2,0)</f>
        <v>4</v>
      </c>
      <c r="F24" s="50" t="s">
        <v>1155</v>
      </c>
      <c r="G24" s="50" t="s">
        <v>1159</v>
      </c>
      <c r="H24" s="50" t="s">
        <v>1162</v>
      </c>
      <c r="I24" s="46" t="s">
        <v>803</v>
      </c>
      <c r="J24" s="50"/>
      <c r="K24" s="51" t="str">
        <f>'Table Seed Map'!$A$33&amp;"-"&amp;(COUNTA($E$1:ResourceAction[[#This Row],[Resource]])-2)</f>
        <v>Action Method-22</v>
      </c>
      <c r="L24" s="50">
        <f>IF(ResourceAction[[#This Row],[Resource Name]]="","id",COUNTA($C$3:ResourceAction[[#This Row],[Resource Name]])+IF(VLOOKUP('Table Seed Map'!$A$33,SeedMap[],9,0),VLOOKUP('Table Seed Map'!$A$33,SeedMap[],9,0),0))</f>
        <v>22</v>
      </c>
      <c r="M24" s="50">
        <f>[No]</f>
        <v>22</v>
      </c>
      <c r="N24" s="80" t="s">
        <v>1152</v>
      </c>
      <c r="O24" s="81">
        <f ca="1">IF(ResourceAction[[#This Row],[Resource Name]]="","idn1",IF(ResourceAction[[#This Row],[IDN1]]="","",VLOOKUP(ResourceAction[[#This Row],[IDN1]],IDNMaps[[Display]:[ID]],2,0)))</f>
        <v>7</v>
      </c>
      <c r="P24" s="81">
        <f ca="1">IF(ResourceAction[[#This Row],[Resource Name]]="","idn2",IF(ResourceAction[[#This Row],[IDN2]]="","",VLOOKUP(ResourceAction[[#This Row],[IDN2]],IDNMaps[[Display]:[ID]],2,0)))</f>
        <v>3</v>
      </c>
      <c r="Q24" s="81" t="str">
        <f>IF(ResourceAction[[#This Row],[Resource Name]]="","idn3",IF(ResourceAction[[#This Row],[IDN3]]="","",VLOOKUP(ResourceAction[[#This Row],[IDN3]],IDNMaps[[Display]:[ID]],2,0)))</f>
        <v/>
      </c>
      <c r="R24" s="81" t="str">
        <f>IF(ResourceAction[[#This Row],[Resource Name]]="","idn4",IF(ResourceAction[[#This Row],[IDN4]]="","",VLOOKUP(ResourceAction[[#This Row],[IDN4]],IDNMaps[[Display]:[ID]],2,0)))</f>
        <v/>
      </c>
      <c r="S24" s="81" t="str">
        <f>IF(ResourceAction[[#This Row],[Resource Name]]="","idn5",IF(ResourceAction[[#This Row],[IDN5]]="","",VLOOKUP(ResourceAction[[#This Row],[IDN5]],IDNMaps[[Display]:[ID]],2,0)))</f>
        <v/>
      </c>
      <c r="T24" s="107" t="s">
        <v>1096</v>
      </c>
      <c r="U24" s="107" t="s">
        <v>1140</v>
      </c>
      <c r="V24" s="107"/>
      <c r="W24" s="107"/>
      <c r="X24" s="107"/>
      <c r="Y24" s="93">
        <f>[No]</f>
        <v>22</v>
      </c>
      <c r="AA24" s="2" t="s">
        <v>1334</v>
      </c>
      <c r="AB24" s="17">
        <f>VLOOKUP(ActionListNData[[#This Row],[Action Name]],ResourceAction[[Display]:[No]],3,0)</f>
        <v>34</v>
      </c>
      <c r="AC24" s="17" t="s">
        <v>1126</v>
      </c>
      <c r="AD24" s="17"/>
      <c r="AE24" s="17" t="str">
        <f>'Table Seed Map'!$A$35&amp;"-"&amp;COUNT($AH$2:ActionListNData[[#This Row],[List]])</f>
        <v>Action List-22</v>
      </c>
      <c r="AF24" s="17">
        <f>IF(ActionListNData[[#This Row],[Action Name]]="","id",COUNTA($AC$3:ActionListNData[[#This Row],[Resource List]])+IF(VLOOKUP('Table Seed Map'!$A$35,SeedMap[],9,0),VLOOKUP('Table Seed Map'!$A$10,SeedMap[],35,0),0))</f>
        <v>22</v>
      </c>
      <c r="AG24" s="17">
        <f>ActionListNData[[#This Row],[Action]]</f>
        <v>34</v>
      </c>
      <c r="AH24" s="17">
        <f>IF(ActionListNData[[#This Row],[Action Name]]="","resource_list",IFERROR(VLOOKUP(ActionListNData[[#This Row],[Resource List]],ResourceList[[ListDisplayName]:[No]],2,0),""))</f>
        <v>3</v>
      </c>
      <c r="AI24" s="17" t="str">
        <f>'Table Seed Map'!$A$36&amp;"-"&amp;COUNT($AL$2:ActionListNData[[#This Row],[Data]])</f>
        <v>Action Data-0</v>
      </c>
      <c r="AJ24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24" s="17">
        <f>ActionListNData[[#This Row],[Action]]</f>
        <v>34</v>
      </c>
      <c r="AL24" s="17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50" t="str">
        <f>'Table Seed Map'!$A$32&amp;"-"&amp;(COUNTA($E$1:ResourceAction[[#This Row],[Resource]])-2)</f>
        <v>Resource Actions-23</v>
      </c>
      <c r="B25" s="50" t="str">
        <f>ResourceAction[[#This Row],[Resource Name]]&amp;"/"&amp;ResourceAction[[#This Row],[Name]]</f>
        <v>ResourceForm/ListFormFieldsAction</v>
      </c>
      <c r="C25" s="39" t="s">
        <v>311</v>
      </c>
      <c r="D25" s="50">
        <f>IF(ResourceAction[[#This Row],[Resource Name]]="","id",COUNTA($C$3:ResourceAction[[#This Row],[Resource Name]])+IF(VLOOKUP('Table Seed Map'!$A$32,SeedMap[],9,0),VLOOKUP('Table Seed Map'!$A$10,SeedMap[],32,0),0))</f>
        <v>23</v>
      </c>
      <c r="E25" s="50">
        <f>VLOOKUP(ResourceAction[[#This Row],[Resource Name]],ResourceTable[[RName]:[RID]],2,0)</f>
        <v>8</v>
      </c>
      <c r="F25" s="50" t="s">
        <v>1171</v>
      </c>
      <c r="G25" s="50" t="s">
        <v>1172</v>
      </c>
      <c r="H25" s="50" t="s">
        <v>1173</v>
      </c>
      <c r="I25" s="46" t="s">
        <v>803</v>
      </c>
      <c r="J25" s="50"/>
      <c r="K25" s="51" t="str">
        <f>'Table Seed Map'!$A$33&amp;"-"&amp;(COUNTA($E$1:ResourceAction[[#This Row],[Resource]])-2)</f>
        <v>Action Method-23</v>
      </c>
      <c r="L25" s="50">
        <f>IF(ResourceAction[[#This Row],[Resource Name]]="","id",COUNTA($C$3:ResourceAction[[#This Row],[Resource Name]])+IF(VLOOKUP('Table Seed Map'!$A$33,SeedMap[],9,0),VLOOKUP('Table Seed Map'!$A$33,SeedMap[],9,0),0))</f>
        <v>23</v>
      </c>
      <c r="M25" s="50">
        <f>[No]</f>
        <v>23</v>
      </c>
      <c r="N25" s="80" t="s">
        <v>1152</v>
      </c>
      <c r="O25" s="81">
        <f ca="1">IF(ResourceAction[[#This Row],[Resource Name]]="","idn1",IF(ResourceAction[[#This Row],[IDN1]]="","",VLOOKUP(ResourceAction[[#This Row],[IDN1]],IDNMaps[[Display]:[ID]],2,0)))</f>
        <v>15</v>
      </c>
      <c r="P25" s="81">
        <f ca="1">IF(ResourceAction[[#This Row],[Resource Name]]="","idn2",IF(ResourceAction[[#This Row],[IDN2]]="","",VLOOKUP(ResourceAction[[#This Row],[IDN2]],IDNMaps[[Display]:[ID]],2,0)))</f>
        <v>7</v>
      </c>
      <c r="Q25" s="81" t="str">
        <f>IF(ResourceAction[[#This Row],[Resource Name]]="","idn3",IF(ResourceAction[[#This Row],[IDN3]]="","",VLOOKUP(ResourceAction[[#This Row],[IDN3]],IDNMaps[[Display]:[ID]],2,0)))</f>
        <v/>
      </c>
      <c r="R25" s="81" t="str">
        <f>IF(ResourceAction[[#This Row],[Resource Name]]="","idn4",IF(ResourceAction[[#This Row],[IDN4]]="","",VLOOKUP(ResourceAction[[#This Row],[IDN4]],IDNMaps[[Display]:[ID]],2,0)))</f>
        <v/>
      </c>
      <c r="S25" s="81" t="str">
        <f>IF(ResourceAction[[#This Row],[Resource Name]]="","idn5",IF(ResourceAction[[#This Row],[IDN5]]="","",VLOOKUP(ResourceAction[[#This Row],[IDN5]],IDNMaps[[Display]:[ID]],2,0)))</f>
        <v/>
      </c>
      <c r="T25" s="107" t="s">
        <v>1174</v>
      </c>
      <c r="U25" s="107" t="s">
        <v>1175</v>
      </c>
      <c r="V25" s="107"/>
      <c r="W25" s="107"/>
      <c r="X25" s="107"/>
      <c r="Y25" s="93">
        <f>[No]</f>
        <v>23</v>
      </c>
      <c r="AA25" s="2" t="s">
        <v>1343</v>
      </c>
      <c r="AB25" s="17">
        <f>VLOOKUP(ActionListNData[[#This Row],[Action Name]],ResourceAction[[Display]:[No]],3,0)</f>
        <v>35</v>
      </c>
      <c r="AC25" s="17" t="s">
        <v>1126</v>
      </c>
      <c r="AD25" s="17"/>
      <c r="AE25" s="17" t="str">
        <f>'Table Seed Map'!$A$35&amp;"-"&amp;COUNT($AH$2:ActionListNData[[#This Row],[List]])</f>
        <v>Action List-23</v>
      </c>
      <c r="AF25" s="17">
        <f>IF(ActionListNData[[#This Row],[Action Name]]="","id",COUNTA($AC$3:ActionListNData[[#This Row],[Resource List]])+IF(VLOOKUP('Table Seed Map'!$A$35,SeedMap[],9,0),VLOOKUP('Table Seed Map'!$A$10,SeedMap[],35,0),0))</f>
        <v>23</v>
      </c>
      <c r="AG25" s="17">
        <f>ActionListNData[[#This Row],[Action]]</f>
        <v>35</v>
      </c>
      <c r="AH25" s="17">
        <f>IF(ActionListNData[[#This Row],[Action Name]]="","resource_list",IFERROR(VLOOKUP(ActionListNData[[#This Row],[Resource List]],ResourceList[[ListDisplayName]:[No]],2,0),""))</f>
        <v>3</v>
      </c>
      <c r="AI25" s="17" t="str">
        <f>'Table Seed Map'!$A$36&amp;"-"&amp;COUNT($AL$2:ActionListNData[[#This Row],[Data]])</f>
        <v>Action Data-0</v>
      </c>
      <c r="AJ25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25" s="17">
        <f>ActionListNData[[#This Row],[Action]]</f>
        <v>35</v>
      </c>
      <c r="AL25" s="17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50" t="str">
        <f>'Table Seed Map'!$A$32&amp;"-"&amp;(COUNTA($E$1:ResourceAction[[#This Row],[Resource]])-2)</f>
        <v>Resource Actions-24</v>
      </c>
      <c r="B26" s="50" t="str">
        <f>ResourceAction[[#This Row],[Resource Name]]&amp;"/"&amp;ResourceAction[[#This Row],[Name]]</f>
        <v>ResourceForm/ListFormLayoutsAction</v>
      </c>
      <c r="C26" s="39" t="s">
        <v>311</v>
      </c>
      <c r="D26" s="50">
        <f>IF(ResourceAction[[#This Row],[Resource Name]]="","id",COUNTA($C$3:ResourceAction[[#This Row],[Resource Name]])+IF(VLOOKUP('Table Seed Map'!$A$32,SeedMap[],9,0),VLOOKUP('Table Seed Map'!$A$10,SeedMap[],32,0),0))</f>
        <v>24</v>
      </c>
      <c r="E26" s="50">
        <f>VLOOKUP(ResourceAction[[#This Row],[Resource Name]],ResourceTable[[RName]:[RID]],2,0)</f>
        <v>8</v>
      </c>
      <c r="F26" s="50" t="s">
        <v>1185</v>
      </c>
      <c r="G26" s="50" t="s">
        <v>1186</v>
      </c>
      <c r="H26" s="50" t="s">
        <v>1187</v>
      </c>
      <c r="I26" s="46" t="s">
        <v>803</v>
      </c>
      <c r="J26" s="50"/>
      <c r="K26" s="51" t="str">
        <f>'Table Seed Map'!$A$33&amp;"-"&amp;(COUNTA($E$1:ResourceAction[[#This Row],[Resource]])-2)</f>
        <v>Action Method-24</v>
      </c>
      <c r="L26" s="50">
        <f>IF(ResourceAction[[#This Row],[Resource Name]]="","id",COUNTA($C$3:ResourceAction[[#This Row],[Resource Name]])+IF(VLOOKUP('Table Seed Map'!$A$33,SeedMap[],9,0),VLOOKUP('Table Seed Map'!$A$33,SeedMap[],9,0),0))</f>
        <v>24</v>
      </c>
      <c r="M26" s="50">
        <f>[No]</f>
        <v>24</v>
      </c>
      <c r="N26" s="80" t="s">
        <v>1152</v>
      </c>
      <c r="O26" s="81">
        <f ca="1">IF(ResourceAction[[#This Row],[Resource Name]]="","idn1",IF(ResourceAction[[#This Row],[IDN1]]="","",VLOOKUP(ResourceAction[[#This Row],[IDN1]],IDNMaps[[Display]:[ID]],2,0)))</f>
        <v>56</v>
      </c>
      <c r="P26" s="81">
        <f ca="1">IF(ResourceAction[[#This Row],[Resource Name]]="","idn2",IF(ResourceAction[[#This Row],[IDN2]]="","",VLOOKUP(ResourceAction[[#This Row],[IDN2]],IDNMaps[[Display]:[ID]],2,0)))</f>
        <v>8</v>
      </c>
      <c r="Q26" s="81" t="str">
        <f>IF(ResourceAction[[#This Row],[Resource Name]]="","idn3",IF(ResourceAction[[#This Row],[IDN3]]="","",VLOOKUP(ResourceAction[[#This Row],[IDN3]],IDNMaps[[Display]:[ID]],2,0)))</f>
        <v/>
      </c>
      <c r="R26" s="81" t="str">
        <f>IF(ResourceAction[[#This Row],[Resource Name]]="","idn4",IF(ResourceAction[[#This Row],[IDN4]]="","",VLOOKUP(ResourceAction[[#This Row],[IDN4]],IDNMaps[[Display]:[ID]],2,0)))</f>
        <v/>
      </c>
      <c r="S26" s="81" t="str">
        <f>IF(ResourceAction[[#This Row],[Resource Name]]="","idn5",IF(ResourceAction[[#This Row],[IDN5]]="","",VLOOKUP(ResourceAction[[#This Row],[IDN5]],IDNMaps[[Display]:[ID]],2,0)))</f>
        <v/>
      </c>
      <c r="T26" s="107" t="s">
        <v>1188</v>
      </c>
      <c r="U26" s="107" t="s">
        <v>1189</v>
      </c>
      <c r="V26" s="107"/>
      <c r="W26" s="107"/>
      <c r="X26" s="107"/>
      <c r="Y26" s="93">
        <f>[No]</f>
        <v>24</v>
      </c>
      <c r="AA26" s="2" t="s">
        <v>1344</v>
      </c>
      <c r="AB26" s="17">
        <f>VLOOKUP(ActionListNData[[#This Row],[Action Name]],ResourceAction[[Display]:[No]],3,0)</f>
        <v>36</v>
      </c>
      <c r="AC26" s="17" t="s">
        <v>1126</v>
      </c>
      <c r="AD26" s="17"/>
      <c r="AE26" s="17" t="str">
        <f>'Table Seed Map'!$A$35&amp;"-"&amp;COUNT($AH$2:ActionListNData[[#This Row],[List]])</f>
        <v>Action List-24</v>
      </c>
      <c r="AF26" s="17">
        <f>IF(ActionListNData[[#This Row],[Action Name]]="","id",COUNTA($AC$3:ActionListNData[[#This Row],[Resource List]])+IF(VLOOKUP('Table Seed Map'!$A$35,SeedMap[],9,0),VLOOKUP('Table Seed Map'!$A$10,SeedMap[],35,0),0))</f>
        <v>24</v>
      </c>
      <c r="AG26" s="17">
        <f>ActionListNData[[#This Row],[Action]]</f>
        <v>36</v>
      </c>
      <c r="AH26" s="17">
        <f>IF(ActionListNData[[#This Row],[Action Name]]="","resource_list",IFERROR(VLOOKUP(ActionListNData[[#This Row],[Resource List]],ResourceList[[ListDisplayName]:[No]],2,0),""))</f>
        <v>3</v>
      </c>
      <c r="AI26" s="17" t="str">
        <f>'Table Seed Map'!$A$36&amp;"-"&amp;COUNT($AL$2:ActionListNData[[#This Row],[Data]])</f>
        <v>Action Data-0</v>
      </c>
      <c r="AJ26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26" s="17">
        <f>ActionListNData[[#This Row],[Action]]</f>
        <v>36</v>
      </c>
      <c r="AL26" s="17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50" t="str">
        <f>'Table Seed Map'!$A$32&amp;"-"&amp;(COUNTA($E$1:ResourceAction[[#This Row],[Resource]])-2)</f>
        <v>Resource Actions-25</v>
      </c>
      <c r="B27" s="50" t="str">
        <f>ResourceAction[[#This Row],[Resource Name]]&amp;"/"&amp;ResourceAction[[#This Row],[Name]]</f>
        <v>ResourceForm/ListFormCollectionsAction</v>
      </c>
      <c r="C27" s="39" t="s">
        <v>311</v>
      </c>
      <c r="D27" s="50">
        <f>IF(ResourceAction[[#This Row],[Resource Name]]="","id",COUNTA($C$3:ResourceAction[[#This Row],[Resource Name]])+IF(VLOOKUP('Table Seed Map'!$A$32,SeedMap[],9,0),VLOOKUP('Table Seed Map'!$A$10,SeedMap[],32,0),0))</f>
        <v>25</v>
      </c>
      <c r="E27" s="50">
        <f>VLOOKUP(ResourceAction[[#This Row],[Resource Name]],ResourceTable[[RName]:[RID]],2,0)</f>
        <v>8</v>
      </c>
      <c r="F27" s="50" t="s">
        <v>1202</v>
      </c>
      <c r="G27" s="50" t="s">
        <v>1203</v>
      </c>
      <c r="H27" s="50" t="s">
        <v>1204</v>
      </c>
      <c r="I27" s="46" t="s">
        <v>803</v>
      </c>
      <c r="J27" s="50"/>
      <c r="K27" s="51" t="str">
        <f>'Table Seed Map'!$A$33&amp;"-"&amp;(COUNTA($E$1:ResourceAction[[#This Row],[Resource]])-2)</f>
        <v>Action Method-25</v>
      </c>
      <c r="L27" s="50">
        <f>IF(ResourceAction[[#This Row],[Resource Name]]="","id",COUNTA($C$3:ResourceAction[[#This Row],[Resource Name]])+IF(VLOOKUP('Table Seed Map'!$A$33,SeedMap[],9,0),VLOOKUP('Table Seed Map'!$A$33,SeedMap[],9,0),0))</f>
        <v>25</v>
      </c>
      <c r="M27" s="50">
        <f>[No]</f>
        <v>25</v>
      </c>
      <c r="N27" s="80" t="s">
        <v>1152</v>
      </c>
      <c r="O27" s="81">
        <f ca="1">IF(ResourceAction[[#This Row],[Resource Name]]="","idn1",IF(ResourceAction[[#This Row],[IDN1]]="","",VLOOKUP(ResourceAction[[#This Row],[IDN1]],IDNMaps[[Display]:[ID]],2,0)))</f>
        <v>38</v>
      </c>
      <c r="P27" s="81">
        <f ca="1">IF(ResourceAction[[#This Row],[Resource Name]]="","idn2",IF(ResourceAction[[#This Row],[IDN2]]="","",VLOOKUP(ResourceAction[[#This Row],[IDN2]],IDNMaps[[Display]:[ID]],2,0)))</f>
        <v>9</v>
      </c>
      <c r="Q27" s="81" t="str">
        <f>IF(ResourceAction[[#This Row],[Resource Name]]="","idn3",IF(ResourceAction[[#This Row],[IDN3]]="","",VLOOKUP(ResourceAction[[#This Row],[IDN3]],IDNMaps[[Display]:[ID]],2,0)))</f>
        <v/>
      </c>
      <c r="R27" s="81" t="str">
        <f>IF(ResourceAction[[#This Row],[Resource Name]]="","idn4",IF(ResourceAction[[#This Row],[IDN4]]="","",VLOOKUP(ResourceAction[[#This Row],[IDN4]],IDNMaps[[Display]:[ID]],2,0)))</f>
        <v/>
      </c>
      <c r="S27" s="81" t="str">
        <f>IF(ResourceAction[[#This Row],[Resource Name]]="","idn5",IF(ResourceAction[[#This Row],[IDN5]]="","",VLOOKUP(ResourceAction[[#This Row],[IDN5]],IDNMaps[[Display]:[ID]],2,0)))</f>
        <v/>
      </c>
      <c r="T27" s="107" t="s">
        <v>1205</v>
      </c>
      <c r="U27" s="107" t="s">
        <v>1206</v>
      </c>
      <c r="V27" s="107"/>
      <c r="W27" s="107"/>
      <c r="X27" s="107"/>
      <c r="Y27" s="93">
        <f>[No]</f>
        <v>25</v>
      </c>
      <c r="AA27" s="2" t="s">
        <v>1394</v>
      </c>
      <c r="AB27" s="17">
        <f>VLOOKUP(ActionListNData[[#This Row],[Action Name]],ResourceAction[[Display]:[No]],3,0)</f>
        <v>37</v>
      </c>
      <c r="AC27" s="17" t="s">
        <v>1169</v>
      </c>
      <c r="AD27" s="17"/>
      <c r="AE27" s="17" t="str">
        <f>'Table Seed Map'!$A$35&amp;"-"&amp;COUNT($AH$2:ActionListNData[[#This Row],[List]])</f>
        <v>Action List-25</v>
      </c>
      <c r="AF27" s="17">
        <f>IF(ActionListNData[[#This Row],[Action Name]]="","id",COUNTA($AC$3:ActionListNData[[#This Row],[Resource List]])+IF(VLOOKUP('Table Seed Map'!$A$35,SeedMap[],9,0),VLOOKUP('Table Seed Map'!$A$10,SeedMap[],35,0),0))</f>
        <v>25</v>
      </c>
      <c r="AG27" s="17">
        <f>ActionListNData[[#This Row],[Action]]</f>
        <v>37</v>
      </c>
      <c r="AH27" s="17">
        <f>IF(ActionListNData[[#This Row],[Action Name]]="","resource_list",IFERROR(VLOOKUP(ActionListNData[[#This Row],[Resource List]],ResourceList[[ListDisplayName]:[No]],2,0),""))</f>
        <v>7</v>
      </c>
      <c r="AI27" s="17" t="str">
        <f>'Table Seed Map'!$A$36&amp;"-"&amp;COUNT($AL$2:ActionListNData[[#This Row],[Data]])</f>
        <v>Action Data-0</v>
      </c>
      <c r="AJ27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27" s="17">
        <f>ActionListNData[[#This Row],[Action]]</f>
        <v>37</v>
      </c>
      <c r="AL27" s="17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50" t="str">
        <f>'Table Seed Map'!$A$32&amp;"-"&amp;(COUNTA($E$1:ResourceAction[[#This Row],[Resource]])-2)</f>
        <v>Resource Actions-26</v>
      </c>
      <c r="B28" s="50" t="str">
        <f>ResourceAction[[#This Row],[Resource Name]]&amp;"/"&amp;ResourceAction[[#This Row],[Name]]</f>
        <v>ResourceList/ListListRelationAction</v>
      </c>
      <c r="C28" s="39" t="s">
        <v>407</v>
      </c>
      <c r="D28" s="50">
        <f>IF(ResourceAction[[#This Row],[Resource Name]]="","id",COUNTA($C$3:ResourceAction[[#This Row],[Resource Name]])+IF(VLOOKUP('Table Seed Map'!$A$32,SeedMap[],9,0),VLOOKUP('Table Seed Map'!$A$10,SeedMap[],32,0),0))</f>
        <v>26</v>
      </c>
      <c r="E28" s="50">
        <f>VLOOKUP(ResourceAction[[#This Row],[Resource Name]],ResourceTable[[RName]:[RID]],2,0)</f>
        <v>20</v>
      </c>
      <c r="F28" s="50" t="s">
        <v>1296</v>
      </c>
      <c r="G28" s="50" t="s">
        <v>1250</v>
      </c>
      <c r="H28" s="50" t="s">
        <v>1254</v>
      </c>
      <c r="I28" s="46" t="s">
        <v>803</v>
      </c>
      <c r="J28" s="50"/>
      <c r="K28" s="51" t="str">
        <f>'Table Seed Map'!$A$33&amp;"-"&amp;(COUNTA($E$1:ResourceAction[[#This Row],[Resource]])-2)</f>
        <v>Action Method-26</v>
      </c>
      <c r="L28" s="50">
        <f>IF(ResourceAction[[#This Row],[Resource Name]]="","id",COUNTA($C$3:ResourceAction[[#This Row],[Resource Name]])+IF(VLOOKUP('Table Seed Map'!$A$33,SeedMap[],9,0),VLOOKUP('Table Seed Map'!$A$33,SeedMap[],9,0),0))</f>
        <v>26</v>
      </c>
      <c r="M28" s="50">
        <f>[No]</f>
        <v>26</v>
      </c>
      <c r="N28" s="80" t="s">
        <v>1152</v>
      </c>
      <c r="O28" s="81">
        <f ca="1">IF(ResourceAction[[#This Row],[Resource Name]]="","idn1",IF(ResourceAction[[#This Row],[IDN1]]="","",VLOOKUP(ResourceAction[[#This Row],[IDN1]],IDNMaps[[Display]:[ID]],2,0)))</f>
        <v>26</v>
      </c>
      <c r="P28" s="81">
        <f ca="1">IF(ResourceAction[[#This Row],[Resource Name]]="","idn2",IF(ResourceAction[[#This Row],[IDN2]]="","",VLOOKUP(ResourceAction[[#This Row],[IDN2]],IDNMaps[[Display]:[ID]],2,0)))</f>
        <v>10</v>
      </c>
      <c r="Q28" s="81" t="str">
        <f>IF(ResourceAction[[#This Row],[Resource Name]]="","idn3",IF(ResourceAction[[#This Row],[IDN3]]="","",VLOOKUP(ResourceAction[[#This Row],[IDN3]],IDNMaps[[Display]:[ID]],2,0)))</f>
        <v/>
      </c>
      <c r="R28" s="81" t="str">
        <f>IF(ResourceAction[[#This Row],[Resource Name]]="","idn4",IF(ResourceAction[[#This Row],[IDN4]]="","",VLOOKUP(ResourceAction[[#This Row],[IDN4]],IDNMaps[[Display]:[ID]],2,0)))</f>
        <v/>
      </c>
      <c r="S28" s="81" t="str">
        <f>IF(ResourceAction[[#This Row],[Resource Name]]="","idn5",IF(ResourceAction[[#This Row],[IDN5]]="","",VLOOKUP(ResourceAction[[#This Row],[IDN5]],IDNMaps[[Display]:[ID]],2,0)))</f>
        <v/>
      </c>
      <c r="T28" s="107" t="s">
        <v>1261</v>
      </c>
      <c r="U28" s="107" t="s">
        <v>1262</v>
      </c>
      <c r="V28" s="107"/>
      <c r="W28" s="107"/>
      <c r="X28" s="107"/>
      <c r="Y28" s="93">
        <f>[No]</f>
        <v>26</v>
      </c>
      <c r="AA28" s="2" t="s">
        <v>1395</v>
      </c>
      <c r="AB28" s="17">
        <f>VLOOKUP(ActionListNData[[#This Row],[Action Name]],ResourceAction[[Display]:[No]],3,0)</f>
        <v>38</v>
      </c>
      <c r="AC28" s="17" t="s">
        <v>1169</v>
      </c>
      <c r="AD28" s="17"/>
      <c r="AE28" s="17" t="str">
        <f>'Table Seed Map'!$A$35&amp;"-"&amp;COUNT($AH$2:ActionListNData[[#This Row],[List]])</f>
        <v>Action List-26</v>
      </c>
      <c r="AF28" s="17">
        <f>IF(ActionListNData[[#This Row],[Action Name]]="","id",COUNTA($AC$3:ActionListNData[[#This Row],[Resource List]])+IF(VLOOKUP('Table Seed Map'!$A$35,SeedMap[],9,0),VLOOKUP('Table Seed Map'!$A$10,SeedMap[],35,0),0))</f>
        <v>26</v>
      </c>
      <c r="AG28" s="17">
        <f>ActionListNData[[#This Row],[Action]]</f>
        <v>38</v>
      </c>
      <c r="AH28" s="17">
        <f>IF(ActionListNData[[#This Row],[Action Name]]="","resource_list",IFERROR(VLOOKUP(ActionListNData[[#This Row],[Resource List]],ResourceList[[ListDisplayName]:[No]],2,0),""))</f>
        <v>7</v>
      </c>
      <c r="AI28" s="17" t="str">
        <f>'Table Seed Map'!$A$36&amp;"-"&amp;COUNT($AL$2:ActionListNData[[#This Row],[Data]])</f>
        <v>Action Data-0</v>
      </c>
      <c r="AJ28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28" s="17">
        <f>ActionListNData[[#This Row],[Action]]</f>
        <v>38</v>
      </c>
      <c r="AL28" s="17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50" t="str">
        <f>'Table Seed Map'!$A$32&amp;"-"&amp;(COUNTA($E$1:ResourceAction[[#This Row],[Resource]])-2)</f>
        <v>Resource Actions-27</v>
      </c>
      <c r="B29" s="50" t="str">
        <f>ResourceAction[[#This Row],[Resource Name]]&amp;"/"&amp;ResourceAction[[#This Row],[Name]]</f>
        <v>ResourceList/ListListScopesAction</v>
      </c>
      <c r="C29" s="39" t="s">
        <v>407</v>
      </c>
      <c r="D29" s="50">
        <f>IF(ResourceAction[[#This Row],[Resource Name]]="","id",COUNTA($C$3:ResourceAction[[#This Row],[Resource Name]])+IF(VLOOKUP('Table Seed Map'!$A$32,SeedMap[],9,0),VLOOKUP('Table Seed Map'!$A$10,SeedMap[],32,0),0))</f>
        <v>27</v>
      </c>
      <c r="E29" s="50">
        <f>VLOOKUP(ResourceAction[[#This Row],[Resource Name]],ResourceTable[[RName]:[RID]],2,0)</f>
        <v>20</v>
      </c>
      <c r="F29" s="50" t="s">
        <v>1297</v>
      </c>
      <c r="G29" s="50" t="s">
        <v>1251</v>
      </c>
      <c r="H29" s="50" t="s">
        <v>1255</v>
      </c>
      <c r="I29" s="46" t="s">
        <v>803</v>
      </c>
      <c r="J29" s="50"/>
      <c r="K29" s="51" t="str">
        <f>'Table Seed Map'!$A$33&amp;"-"&amp;(COUNTA($E$1:ResourceAction[[#This Row],[Resource]])-2)</f>
        <v>Action Method-27</v>
      </c>
      <c r="L29" s="50">
        <f>IF(ResourceAction[[#This Row],[Resource Name]]="","id",COUNTA($C$3:ResourceAction[[#This Row],[Resource Name]])+IF(VLOOKUP('Table Seed Map'!$A$33,SeedMap[],9,0),VLOOKUP('Table Seed Map'!$A$33,SeedMap[],9,0),0))</f>
        <v>27</v>
      </c>
      <c r="M29" s="50">
        <f>[No]</f>
        <v>27</v>
      </c>
      <c r="N29" s="80" t="s">
        <v>1152</v>
      </c>
      <c r="O29" s="81">
        <f ca="1">IF(ResourceAction[[#This Row],[Resource Name]]="","idn1",IF(ResourceAction[[#This Row],[IDN1]]="","",VLOOKUP(ResourceAction[[#This Row],[IDN1]],IDNMaps[[Display]:[ID]],2,0)))</f>
        <v>28</v>
      </c>
      <c r="P29" s="81">
        <f ca="1">IF(ResourceAction[[#This Row],[Resource Name]]="","idn2",IF(ResourceAction[[#This Row],[IDN2]]="","",VLOOKUP(ResourceAction[[#This Row],[IDN2]],IDNMaps[[Display]:[ID]],2,0)))</f>
        <v>11</v>
      </c>
      <c r="Q29" s="81" t="str">
        <f>IF(ResourceAction[[#This Row],[Resource Name]]="","idn3",IF(ResourceAction[[#This Row],[IDN3]]="","",VLOOKUP(ResourceAction[[#This Row],[IDN3]],IDNMaps[[Display]:[ID]],2,0)))</f>
        <v/>
      </c>
      <c r="R29" s="81" t="str">
        <f>IF(ResourceAction[[#This Row],[Resource Name]]="","idn4",IF(ResourceAction[[#This Row],[IDN4]]="","",VLOOKUP(ResourceAction[[#This Row],[IDN4]],IDNMaps[[Display]:[ID]],2,0)))</f>
        <v/>
      </c>
      <c r="S29" s="81" t="str">
        <f>IF(ResourceAction[[#This Row],[Resource Name]]="","idn5",IF(ResourceAction[[#This Row],[IDN5]]="","",VLOOKUP(ResourceAction[[#This Row],[IDN5]],IDNMaps[[Display]:[ID]],2,0)))</f>
        <v/>
      </c>
      <c r="T29" s="107" t="s">
        <v>1260</v>
      </c>
      <c r="U29" s="107" t="s">
        <v>1263</v>
      </c>
      <c r="V29" s="107"/>
      <c r="W29" s="107"/>
      <c r="X29" s="107"/>
      <c r="Y29" s="93">
        <f>[No]</f>
        <v>27</v>
      </c>
      <c r="AA29" s="2" t="s">
        <v>1396</v>
      </c>
      <c r="AB29" s="17">
        <f>VLOOKUP(ActionListNData[[#This Row],[Action Name]],ResourceAction[[Display]:[No]],3,0)</f>
        <v>39</v>
      </c>
      <c r="AC29" s="17" t="s">
        <v>1169</v>
      </c>
      <c r="AD29" s="17"/>
      <c r="AE29" s="17" t="str">
        <f>'Table Seed Map'!$A$35&amp;"-"&amp;COUNT($AH$2:ActionListNData[[#This Row],[List]])</f>
        <v>Action List-27</v>
      </c>
      <c r="AF29" s="17">
        <f>IF(ActionListNData[[#This Row],[Action Name]]="","id",COUNTA($AC$3:ActionListNData[[#This Row],[Resource List]])+IF(VLOOKUP('Table Seed Map'!$A$35,SeedMap[],9,0),VLOOKUP('Table Seed Map'!$A$10,SeedMap[],35,0),0))</f>
        <v>27</v>
      </c>
      <c r="AG29" s="17">
        <f>ActionListNData[[#This Row],[Action]]</f>
        <v>39</v>
      </c>
      <c r="AH29" s="17">
        <f>IF(ActionListNData[[#This Row],[Action Name]]="","resource_list",IFERROR(VLOOKUP(ActionListNData[[#This Row],[Resource List]],ResourceList[[ListDisplayName]:[No]],2,0),""))</f>
        <v>7</v>
      </c>
      <c r="AI29" s="17" t="str">
        <f>'Table Seed Map'!$A$36&amp;"-"&amp;COUNT($AL$2:ActionListNData[[#This Row],[Data]])</f>
        <v>Action Data-0</v>
      </c>
      <c r="AJ29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29" s="17">
        <f>ActionListNData[[#This Row],[Action]]</f>
        <v>39</v>
      </c>
      <c r="AL29" s="17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50" t="str">
        <f>'Table Seed Map'!$A$32&amp;"-"&amp;(COUNTA($E$1:ResourceAction[[#This Row],[Resource]])-2)</f>
        <v>Resource Actions-28</v>
      </c>
      <c r="B30" s="50" t="str">
        <f>ResourceAction[[#This Row],[Resource Name]]&amp;"/"&amp;ResourceAction[[#This Row],[Name]]</f>
        <v>ResourceList/ListListLayoutAction</v>
      </c>
      <c r="C30" s="39" t="s">
        <v>407</v>
      </c>
      <c r="D30" s="50">
        <f>IF(ResourceAction[[#This Row],[Resource Name]]="","id",COUNTA($C$3:ResourceAction[[#This Row],[Resource Name]])+IF(VLOOKUP('Table Seed Map'!$A$32,SeedMap[],9,0),VLOOKUP('Table Seed Map'!$A$10,SeedMap[],32,0),0))</f>
        <v>28</v>
      </c>
      <c r="E30" s="50">
        <f>VLOOKUP(ResourceAction[[#This Row],[Resource Name]],ResourceTable[[RName]:[RID]],2,0)</f>
        <v>20</v>
      </c>
      <c r="F30" s="50" t="s">
        <v>1298</v>
      </c>
      <c r="G30" s="50" t="s">
        <v>1253</v>
      </c>
      <c r="H30" s="50" t="s">
        <v>1257</v>
      </c>
      <c r="I30" s="46" t="s">
        <v>803</v>
      </c>
      <c r="J30" s="50"/>
      <c r="K30" s="51" t="str">
        <f>'Table Seed Map'!$A$33&amp;"-"&amp;(COUNTA($E$1:ResourceAction[[#This Row],[Resource]])-2)</f>
        <v>Action Method-28</v>
      </c>
      <c r="L30" s="50">
        <f>IF(ResourceAction[[#This Row],[Resource Name]]="","id",COUNTA($C$3:ResourceAction[[#This Row],[Resource Name]])+IF(VLOOKUP('Table Seed Map'!$A$33,SeedMap[],9,0),VLOOKUP('Table Seed Map'!$A$33,SeedMap[],9,0),0))</f>
        <v>28</v>
      </c>
      <c r="M30" s="50">
        <f>[No]</f>
        <v>28</v>
      </c>
      <c r="N30" s="80" t="s">
        <v>1152</v>
      </c>
      <c r="O30" s="81">
        <f ca="1">IF(ResourceAction[[#This Row],[Resource Name]]="","idn1",IF(ResourceAction[[#This Row],[IDN1]]="","",VLOOKUP(ResourceAction[[#This Row],[IDN1]],IDNMaps[[Display]:[ID]],2,0)))</f>
        <v>31</v>
      </c>
      <c r="P30" s="81">
        <f ca="1">IF(ResourceAction[[#This Row],[Resource Name]]="","idn2",IF(ResourceAction[[#This Row],[IDN2]]="","",VLOOKUP(ResourceAction[[#This Row],[IDN2]],IDNMaps[[Display]:[ID]],2,0)))</f>
        <v>12</v>
      </c>
      <c r="Q30" s="81" t="str">
        <f>IF(ResourceAction[[#This Row],[Resource Name]]="","idn3",IF(ResourceAction[[#This Row],[IDN3]]="","",VLOOKUP(ResourceAction[[#This Row],[IDN3]],IDNMaps[[Display]:[ID]],2,0)))</f>
        <v/>
      </c>
      <c r="R30" s="81" t="str">
        <f>IF(ResourceAction[[#This Row],[Resource Name]]="","idn4",IF(ResourceAction[[#This Row],[IDN4]]="","",VLOOKUP(ResourceAction[[#This Row],[IDN4]],IDNMaps[[Display]:[ID]],2,0)))</f>
        <v/>
      </c>
      <c r="S30" s="81" t="str">
        <f>IF(ResourceAction[[#This Row],[Resource Name]]="","idn5",IF(ResourceAction[[#This Row],[IDN5]]="","",VLOOKUP(ResourceAction[[#This Row],[IDN5]],IDNMaps[[Display]:[ID]],2,0)))</f>
        <v/>
      </c>
      <c r="T30" s="107" t="s">
        <v>1259</v>
      </c>
      <c r="U30" s="107" t="s">
        <v>1264</v>
      </c>
      <c r="V30" s="107"/>
      <c r="W30" s="107"/>
      <c r="X30" s="107"/>
      <c r="Y30" s="93">
        <f>[No]</f>
        <v>28</v>
      </c>
      <c r="AA30" s="2" t="s">
        <v>1397</v>
      </c>
      <c r="AB30" s="17">
        <f>VLOOKUP(ActionListNData[[#This Row],[Action Name]],ResourceAction[[Display]:[No]],3,0)</f>
        <v>40</v>
      </c>
      <c r="AC30" s="17" t="s">
        <v>1169</v>
      </c>
      <c r="AD30" s="17"/>
      <c r="AE30" s="17" t="str">
        <f>'Table Seed Map'!$A$35&amp;"-"&amp;COUNT($AH$2:ActionListNData[[#This Row],[List]])</f>
        <v>Action List-28</v>
      </c>
      <c r="AF30" s="17">
        <f>IF(ActionListNData[[#This Row],[Action Name]]="","id",COUNTA($AC$3:ActionListNData[[#This Row],[Resource List]])+IF(VLOOKUP('Table Seed Map'!$A$35,SeedMap[],9,0),VLOOKUP('Table Seed Map'!$A$10,SeedMap[],35,0),0))</f>
        <v>28</v>
      </c>
      <c r="AG30" s="17">
        <f>ActionListNData[[#This Row],[Action]]</f>
        <v>40</v>
      </c>
      <c r="AH30" s="17">
        <f>IF(ActionListNData[[#This Row],[Action Name]]="","resource_list",IFERROR(VLOOKUP(ActionListNData[[#This Row],[Resource List]],ResourceList[[ListDisplayName]:[No]],2,0),""))</f>
        <v>7</v>
      </c>
      <c r="AI30" s="17" t="str">
        <f>'Table Seed Map'!$A$36&amp;"-"&amp;COUNT($AL$2:ActionListNData[[#This Row],[Data]])</f>
        <v>Action Data-0</v>
      </c>
      <c r="AJ30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30" s="17">
        <f>ActionListNData[[#This Row],[Action]]</f>
        <v>40</v>
      </c>
      <c r="AL30" s="17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50" t="str">
        <f>'Table Seed Map'!$A$32&amp;"-"&amp;(COUNTA($E$1:ResourceAction[[#This Row],[Resource]])-2)</f>
        <v>Resource Actions-29</v>
      </c>
      <c r="B31" s="50" t="str">
        <f>ResourceAction[[#This Row],[Resource Name]]&amp;"/"&amp;ResourceAction[[#This Row],[Name]]</f>
        <v>ResourceList/ListListSearchAction</v>
      </c>
      <c r="C31" s="39" t="s">
        <v>407</v>
      </c>
      <c r="D31" s="50">
        <f>IF(ResourceAction[[#This Row],[Resource Name]]="","id",COUNTA($C$3:ResourceAction[[#This Row],[Resource Name]])+IF(VLOOKUP('Table Seed Map'!$A$32,SeedMap[],9,0),VLOOKUP('Table Seed Map'!$A$10,SeedMap[],32,0),0))</f>
        <v>29</v>
      </c>
      <c r="E31" s="50">
        <f>VLOOKUP(ResourceAction[[#This Row],[Resource Name]],ResourceTable[[RName]:[RID]],2,0)</f>
        <v>20</v>
      </c>
      <c r="F31" s="50" t="s">
        <v>1299</v>
      </c>
      <c r="G31" s="50" t="s">
        <v>1252</v>
      </c>
      <c r="H31" s="50" t="s">
        <v>1256</v>
      </c>
      <c r="I31" s="46" t="s">
        <v>803</v>
      </c>
      <c r="J31" s="50"/>
      <c r="K31" s="51" t="str">
        <f>'Table Seed Map'!$A$33&amp;"-"&amp;(COUNTA($E$1:ResourceAction[[#This Row],[Resource]])-2)</f>
        <v>Action Method-29</v>
      </c>
      <c r="L31" s="50">
        <f>IF(ResourceAction[[#This Row],[Resource Name]]="","id",COUNTA($C$3:ResourceAction[[#This Row],[Resource Name]])+IF(VLOOKUP('Table Seed Map'!$A$33,SeedMap[],9,0),VLOOKUP('Table Seed Map'!$A$33,SeedMap[],9,0),0))</f>
        <v>29</v>
      </c>
      <c r="M31" s="50">
        <f>[No]</f>
        <v>29</v>
      </c>
      <c r="N31" s="80" t="s">
        <v>1152</v>
      </c>
      <c r="O31" s="81">
        <f ca="1">IF(ResourceAction[[#This Row],[Resource Name]]="","idn1",IF(ResourceAction[[#This Row],[IDN1]]="","",VLOOKUP(ResourceAction[[#This Row],[IDN1]],IDNMaps[[Display]:[ID]],2,0)))</f>
        <v>43</v>
      </c>
      <c r="P31" s="81">
        <f ca="1">IF(ResourceAction[[#This Row],[Resource Name]]="","idn2",IF(ResourceAction[[#This Row],[IDN2]]="","",VLOOKUP(ResourceAction[[#This Row],[IDN2]],IDNMaps[[Display]:[ID]],2,0)))</f>
        <v>13</v>
      </c>
      <c r="Q31" s="81" t="str">
        <f>IF(ResourceAction[[#This Row],[Resource Name]]="","idn3",IF(ResourceAction[[#This Row],[IDN3]]="","",VLOOKUP(ResourceAction[[#This Row],[IDN3]],IDNMaps[[Display]:[ID]],2,0)))</f>
        <v/>
      </c>
      <c r="R31" s="81" t="str">
        <f>IF(ResourceAction[[#This Row],[Resource Name]]="","idn4",IF(ResourceAction[[#This Row],[IDN4]]="","",VLOOKUP(ResourceAction[[#This Row],[IDN4]],IDNMaps[[Display]:[ID]],2,0)))</f>
        <v/>
      </c>
      <c r="S31" s="81" t="str">
        <f>IF(ResourceAction[[#This Row],[Resource Name]]="","idn5",IF(ResourceAction[[#This Row],[IDN5]]="","",VLOOKUP(ResourceAction[[#This Row],[IDN5]],IDNMaps[[Display]:[ID]],2,0)))</f>
        <v/>
      </c>
      <c r="T31" s="107" t="s">
        <v>1258</v>
      </c>
      <c r="U31" s="107" t="s">
        <v>1265</v>
      </c>
      <c r="V31" s="107"/>
      <c r="W31" s="107"/>
      <c r="X31" s="107"/>
      <c r="Y31" s="93">
        <f>[No]</f>
        <v>29</v>
      </c>
      <c r="AA31" s="2" t="s">
        <v>1398</v>
      </c>
      <c r="AB31" s="17">
        <f>VLOOKUP(ActionListNData[[#This Row],[Action Name]],ResourceAction[[Display]:[No]],3,0)</f>
        <v>41</v>
      </c>
      <c r="AC31" s="17" t="s">
        <v>1169</v>
      </c>
      <c r="AD31" s="17"/>
      <c r="AE31" s="17" t="str">
        <f>'Table Seed Map'!$A$35&amp;"-"&amp;COUNT($AH$2:ActionListNData[[#This Row],[List]])</f>
        <v>Action List-29</v>
      </c>
      <c r="AF31" s="17">
        <f>IF(ActionListNData[[#This Row],[Action Name]]="","id",COUNTA($AC$3:ActionListNData[[#This Row],[Resource List]])+IF(VLOOKUP('Table Seed Map'!$A$35,SeedMap[],9,0),VLOOKUP('Table Seed Map'!$A$10,SeedMap[],35,0),0))</f>
        <v>29</v>
      </c>
      <c r="AG31" s="17">
        <f>ActionListNData[[#This Row],[Action]]</f>
        <v>41</v>
      </c>
      <c r="AH31" s="17">
        <f>IF(ActionListNData[[#This Row],[Action Name]]="","resource_list",IFERROR(VLOOKUP(ActionListNData[[#This Row],[Resource List]],ResourceList[[ListDisplayName]:[No]],2,0),""))</f>
        <v>7</v>
      </c>
      <c r="AI31" s="17" t="str">
        <f>'Table Seed Map'!$A$36&amp;"-"&amp;COUNT($AL$2:ActionListNData[[#This Row],[Data]])</f>
        <v>Action Data-0</v>
      </c>
      <c r="AJ31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31" s="17">
        <f>ActionListNData[[#This Row],[Action]]</f>
        <v>41</v>
      </c>
      <c r="AL31" s="17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50" t="str">
        <f>'Table Seed Map'!$A$32&amp;"-"&amp;(COUNTA($E$1:ResourceAction[[#This Row],[Resource]])-2)</f>
        <v>Resource Actions-30</v>
      </c>
      <c r="B32" s="50" t="str">
        <f>ResourceAction[[#This Row],[Resource Name]]&amp;"/"&amp;ResourceAction[[#This Row],[Name]]</f>
        <v>ResourceData/ListDataRelationsAction</v>
      </c>
      <c r="C32" s="39" t="s">
        <v>430</v>
      </c>
      <c r="D32" s="50">
        <f>IF(ResourceAction[[#This Row],[Resource Name]]="","id",COUNTA($C$3:ResourceAction[[#This Row],[Resource Name]])+IF(VLOOKUP('Table Seed Map'!$A$32,SeedMap[],9,0),VLOOKUP('Table Seed Map'!$A$10,SeedMap[],32,0),0))</f>
        <v>30</v>
      </c>
      <c r="E32" s="50">
        <f>VLOOKUP(ResourceAction[[#This Row],[Resource Name]],ResourceTable[[RName]:[RID]],2,0)</f>
        <v>25</v>
      </c>
      <c r="F32" s="50" t="s">
        <v>1302</v>
      </c>
      <c r="G32" s="50" t="s">
        <v>1303</v>
      </c>
      <c r="H32" s="50" t="s">
        <v>1254</v>
      </c>
      <c r="I32" s="46" t="s">
        <v>803</v>
      </c>
      <c r="J32" s="50"/>
      <c r="K32" s="51" t="str">
        <f>'Table Seed Map'!$A$33&amp;"-"&amp;(COUNTA($E$1:ResourceAction[[#This Row],[Resource]])-2)</f>
        <v>Action Method-30</v>
      </c>
      <c r="L32" s="50">
        <f>IF(ResourceAction[[#This Row],[Resource Name]]="","id",COUNTA($C$3:ResourceAction[[#This Row],[Resource Name]])+IF(VLOOKUP('Table Seed Map'!$A$33,SeedMap[],9,0),VLOOKUP('Table Seed Map'!$A$33,SeedMap[],9,0),0))</f>
        <v>30</v>
      </c>
      <c r="M32" s="50">
        <f>[No]</f>
        <v>30</v>
      </c>
      <c r="N32" s="80" t="s">
        <v>1152</v>
      </c>
      <c r="O32" s="81">
        <f ca="1">IF(ResourceAction[[#This Row],[Resource Name]]="","idn1",IF(ResourceAction[[#This Row],[IDN1]]="","",VLOOKUP(ResourceAction[[#This Row],[IDN1]],IDNMaps[[Display]:[ID]],2,0)))</f>
        <v>29</v>
      </c>
      <c r="P32" s="81">
        <f ca="1">IF(ResourceAction[[#This Row],[Resource Name]]="","idn2",IF(ResourceAction[[#This Row],[IDN2]]="","",VLOOKUP(ResourceAction[[#This Row],[IDN2]],IDNMaps[[Display]:[ID]],2,0)))</f>
        <v>14</v>
      </c>
      <c r="Q32" s="81" t="str">
        <f>IF(ResourceAction[[#This Row],[Resource Name]]="","idn3",IF(ResourceAction[[#This Row],[IDN3]]="","",VLOOKUP(ResourceAction[[#This Row],[IDN3]],IDNMaps[[Display]:[ID]],2,0)))</f>
        <v/>
      </c>
      <c r="R32" s="81" t="str">
        <f>IF(ResourceAction[[#This Row],[Resource Name]]="","idn4",IF(ResourceAction[[#This Row],[IDN4]]="","",VLOOKUP(ResourceAction[[#This Row],[IDN4]],IDNMaps[[Display]:[ID]],2,0)))</f>
        <v/>
      </c>
      <c r="S32" s="81" t="str">
        <f>IF(ResourceAction[[#This Row],[Resource Name]]="","idn5",IF(ResourceAction[[#This Row],[IDN5]]="","",VLOOKUP(ResourceAction[[#This Row],[IDN5]],IDNMaps[[Display]:[ID]],2,0)))</f>
        <v/>
      </c>
      <c r="T32" s="107" t="s">
        <v>1307</v>
      </c>
      <c r="U32" s="107" t="s">
        <v>1310</v>
      </c>
      <c r="V32" s="107"/>
      <c r="W32" s="107"/>
      <c r="X32" s="107"/>
      <c r="Y32" s="93">
        <f>[No]</f>
        <v>30</v>
      </c>
      <c r="AA32" s="2" t="s">
        <v>1405</v>
      </c>
      <c r="AB32" s="17">
        <f>VLOOKUP(ActionListNData[[#This Row],[Action Name]],ResourceAction[[Display]:[No]],3,0)</f>
        <v>42</v>
      </c>
      <c r="AC32" s="17" t="s">
        <v>1127</v>
      </c>
      <c r="AD32" s="17"/>
      <c r="AE32" s="17" t="str">
        <f>'Table Seed Map'!$A$35&amp;"-"&amp;COUNT($AH$2:ActionListNData[[#This Row],[List]])</f>
        <v>Action List-30</v>
      </c>
      <c r="AF32" s="17">
        <f>IF(ActionListNData[[#This Row],[Action Name]]="","id",COUNTA($AC$3:ActionListNData[[#This Row],[Resource List]])+IF(VLOOKUP('Table Seed Map'!$A$35,SeedMap[],9,0),VLOOKUP('Table Seed Map'!$A$10,SeedMap[],35,0),0))</f>
        <v>30</v>
      </c>
      <c r="AG32" s="17">
        <f>ActionListNData[[#This Row],[Action]]</f>
        <v>42</v>
      </c>
      <c r="AH32" s="17">
        <f>IF(ActionListNData[[#This Row],[Action Name]]="","resource_list",IFERROR(VLOOKUP(ActionListNData[[#This Row],[Resource List]],ResourceList[[ListDisplayName]:[No]],2,0),""))</f>
        <v>5</v>
      </c>
      <c r="AI32" s="17" t="str">
        <f>'Table Seed Map'!$A$36&amp;"-"&amp;COUNT($AL$2:ActionListNData[[#This Row],[Data]])</f>
        <v>Action Data-0</v>
      </c>
      <c r="AJ32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32" s="17">
        <f>ActionListNData[[#This Row],[Action]]</f>
        <v>42</v>
      </c>
      <c r="AL32" s="17" t="str">
        <f>IF(ActionListNData[[#This Row],[Action Name]]="","resource_data",IFERROR(VLOOKUP(ActionListNData[[#This Row],[Resource Data]],ResourceData[[DataDisplayName]:[No]],2,0),""))</f>
        <v/>
      </c>
    </row>
    <row r="33" spans="1:25">
      <c r="A33" s="50" t="str">
        <f>'Table Seed Map'!$A$32&amp;"-"&amp;(COUNTA($E$1:ResourceAction[[#This Row],[Resource]])-2)</f>
        <v>Resource Actions-31</v>
      </c>
      <c r="B33" s="50" t="str">
        <f>ResourceAction[[#This Row],[Resource Name]]&amp;"/"&amp;ResourceAction[[#This Row],[Name]]</f>
        <v>ResourceData/ListDataScopesAction</v>
      </c>
      <c r="C33" s="39" t="s">
        <v>430</v>
      </c>
      <c r="D33" s="50">
        <f>IF(ResourceAction[[#This Row],[Resource Name]]="","id",COUNTA($C$3:ResourceAction[[#This Row],[Resource Name]])+IF(VLOOKUP('Table Seed Map'!$A$32,SeedMap[],9,0),VLOOKUP('Table Seed Map'!$A$10,SeedMap[],32,0),0))</f>
        <v>31</v>
      </c>
      <c r="E33" s="50">
        <f>VLOOKUP(ResourceAction[[#This Row],[Resource Name]],ResourceTable[[RName]:[RID]],2,0)</f>
        <v>25</v>
      </c>
      <c r="F33" s="50" t="s">
        <v>1300</v>
      </c>
      <c r="G33" s="50" t="s">
        <v>1304</v>
      </c>
      <c r="H33" s="50" t="s">
        <v>1255</v>
      </c>
      <c r="I33" s="46" t="s">
        <v>803</v>
      </c>
      <c r="J33" s="50"/>
      <c r="K33" s="51" t="str">
        <f>'Table Seed Map'!$A$33&amp;"-"&amp;(COUNTA($E$1:ResourceAction[[#This Row],[Resource]])-2)</f>
        <v>Action Method-31</v>
      </c>
      <c r="L33" s="50">
        <f>IF(ResourceAction[[#This Row],[Resource Name]]="","id",COUNTA($C$3:ResourceAction[[#This Row],[Resource Name]])+IF(VLOOKUP('Table Seed Map'!$A$33,SeedMap[],9,0),VLOOKUP('Table Seed Map'!$A$33,SeedMap[],9,0),0))</f>
        <v>31</v>
      </c>
      <c r="M33" s="50">
        <f>[No]</f>
        <v>31</v>
      </c>
      <c r="N33" s="80" t="s">
        <v>1152</v>
      </c>
      <c r="O33" s="81">
        <f ca="1">IF(ResourceAction[[#This Row],[Resource Name]]="","idn1",IF(ResourceAction[[#This Row],[IDN1]]="","",VLOOKUP(ResourceAction[[#This Row],[IDN1]],IDNMaps[[Display]:[ID]],2,0)))</f>
        <v>50</v>
      </c>
      <c r="P33" s="81">
        <f ca="1">IF(ResourceAction[[#This Row],[Resource Name]]="","idn2",IF(ResourceAction[[#This Row],[IDN2]]="","",VLOOKUP(ResourceAction[[#This Row],[IDN2]],IDNMaps[[Display]:[ID]],2,0)))</f>
        <v>15</v>
      </c>
      <c r="Q33" s="81" t="str">
        <f>IF(ResourceAction[[#This Row],[Resource Name]]="","idn3",IF(ResourceAction[[#This Row],[IDN3]]="","",VLOOKUP(ResourceAction[[#This Row],[IDN3]],IDNMaps[[Display]:[ID]],2,0)))</f>
        <v/>
      </c>
      <c r="R33" s="81" t="str">
        <f>IF(ResourceAction[[#This Row],[Resource Name]]="","idn4",IF(ResourceAction[[#This Row],[IDN4]]="","",VLOOKUP(ResourceAction[[#This Row],[IDN4]],IDNMaps[[Display]:[ID]],2,0)))</f>
        <v/>
      </c>
      <c r="S33" s="81" t="str">
        <f>IF(ResourceAction[[#This Row],[Resource Name]]="","idn5",IF(ResourceAction[[#This Row],[IDN5]]="","",VLOOKUP(ResourceAction[[#This Row],[IDN5]],IDNMaps[[Display]:[ID]],2,0)))</f>
        <v/>
      </c>
      <c r="T33" s="107" t="s">
        <v>1309</v>
      </c>
      <c r="U33" s="107" t="s">
        <v>1311</v>
      </c>
      <c r="V33" s="107"/>
      <c r="W33" s="107"/>
      <c r="X33" s="107"/>
      <c r="Y33" s="93">
        <f>[No]</f>
        <v>31</v>
      </c>
    </row>
    <row r="34" spans="1:25">
      <c r="A34" s="50" t="str">
        <f>'Table Seed Map'!$A$32&amp;"-"&amp;(COUNTA($E$1:ResourceAction[[#This Row],[Resource]])-2)</f>
        <v>Resource Actions-32</v>
      </c>
      <c r="B34" s="50" t="str">
        <f>ResourceAction[[#This Row],[Resource Name]]&amp;"/"&amp;ResourceAction[[#This Row],[Name]]</f>
        <v>ResourceData/ListDataSectionsAction</v>
      </c>
      <c r="C34" s="39" t="s">
        <v>430</v>
      </c>
      <c r="D34" s="50">
        <f>IF(ResourceAction[[#This Row],[Resource Name]]="","id",COUNTA($C$3:ResourceAction[[#This Row],[Resource Name]])+IF(VLOOKUP('Table Seed Map'!$A$32,SeedMap[],9,0),VLOOKUP('Table Seed Map'!$A$10,SeedMap[],32,0),0))</f>
        <v>32</v>
      </c>
      <c r="E34" s="50">
        <f>VLOOKUP(ResourceAction[[#This Row],[Resource Name]],ResourceTable[[RName]:[RID]],2,0)</f>
        <v>25</v>
      </c>
      <c r="F34" s="50" t="s">
        <v>1301</v>
      </c>
      <c r="G34" s="50" t="s">
        <v>1305</v>
      </c>
      <c r="H34" s="50" t="s">
        <v>1306</v>
      </c>
      <c r="I34" s="46" t="s">
        <v>803</v>
      </c>
      <c r="J34" s="50"/>
      <c r="K34" s="51" t="str">
        <f>'Table Seed Map'!$A$33&amp;"-"&amp;(COUNTA($E$1:ResourceAction[[#This Row],[Resource]])-2)</f>
        <v>Action Method-32</v>
      </c>
      <c r="L34" s="50">
        <f>IF(ResourceAction[[#This Row],[Resource Name]]="","id",COUNTA($C$3:ResourceAction[[#This Row],[Resource Name]])+IF(VLOOKUP('Table Seed Map'!$A$33,SeedMap[],9,0),VLOOKUP('Table Seed Map'!$A$33,SeedMap[],9,0),0))</f>
        <v>32</v>
      </c>
      <c r="M34" s="50">
        <f>[No]</f>
        <v>32</v>
      </c>
      <c r="N34" s="80" t="s">
        <v>1152</v>
      </c>
      <c r="O34" s="81">
        <f ca="1">IF(ResourceAction[[#This Row],[Resource Name]]="","idn1",IF(ResourceAction[[#This Row],[IDN1]]="","",VLOOKUP(ResourceAction[[#This Row],[IDN1]],IDNMaps[[Display]:[ID]],2,0)))</f>
        <v>34</v>
      </c>
      <c r="P34" s="81">
        <f ca="1">IF(ResourceAction[[#This Row],[Resource Name]]="","idn2",IF(ResourceAction[[#This Row],[IDN2]]="","",VLOOKUP(ResourceAction[[#This Row],[IDN2]],IDNMaps[[Display]:[ID]],2,0)))</f>
        <v>16</v>
      </c>
      <c r="Q34" s="81" t="str">
        <f>IF(ResourceAction[[#This Row],[Resource Name]]="","idn3",IF(ResourceAction[[#This Row],[IDN3]]="","",VLOOKUP(ResourceAction[[#This Row],[IDN3]],IDNMaps[[Display]:[ID]],2,0)))</f>
        <v/>
      </c>
      <c r="R34" s="81" t="str">
        <f>IF(ResourceAction[[#This Row],[Resource Name]]="","idn4",IF(ResourceAction[[#This Row],[IDN4]]="","",VLOOKUP(ResourceAction[[#This Row],[IDN4]],IDNMaps[[Display]:[ID]],2,0)))</f>
        <v/>
      </c>
      <c r="S34" s="81" t="str">
        <f>IF(ResourceAction[[#This Row],[Resource Name]]="","idn5",IF(ResourceAction[[#This Row],[IDN5]]="","",VLOOKUP(ResourceAction[[#This Row],[IDN5]],IDNMaps[[Display]:[ID]],2,0)))</f>
        <v/>
      </c>
      <c r="T34" s="107" t="s">
        <v>1308</v>
      </c>
      <c r="U34" s="107" t="s">
        <v>1312</v>
      </c>
      <c r="V34" s="107"/>
      <c r="W34" s="107"/>
      <c r="X34" s="107"/>
      <c r="Y34" s="93">
        <f>[No]</f>
        <v>32</v>
      </c>
    </row>
    <row r="35" spans="1:25">
      <c r="A35" s="50" t="str">
        <f>'Table Seed Map'!$A$32&amp;"-"&amp;(COUNTA($E$1:ResourceAction[[#This Row],[Resource]])-2)</f>
        <v>Resource Actions-33</v>
      </c>
      <c r="B35" s="50" t="str">
        <f>ResourceAction[[#This Row],[Resource Name]]&amp;"/"&amp;ResourceAction[[#This Row],[Name]]</f>
        <v>ResourceData/ListDataActionsAction</v>
      </c>
      <c r="C35" s="39" t="s">
        <v>430</v>
      </c>
      <c r="D35" s="50">
        <f>IF(ResourceAction[[#This Row],[Resource Name]]="","id",COUNTA($C$3:ResourceAction[[#This Row],[Resource Name]])+IF(VLOOKUP('Table Seed Map'!$A$32,SeedMap[],9,0),VLOOKUP('Table Seed Map'!$A$10,SeedMap[],32,0),0))</f>
        <v>33</v>
      </c>
      <c r="E35" s="50">
        <f>VLOOKUP(ResourceAction[[#This Row],[Resource Name]],ResourceTable[[RName]:[RID]],2,0)</f>
        <v>25</v>
      </c>
      <c r="F35" s="50" t="s">
        <v>1321</v>
      </c>
      <c r="G35" s="50" t="s">
        <v>1322</v>
      </c>
      <c r="H35" s="50" t="s">
        <v>1162</v>
      </c>
      <c r="I35" s="46" t="s">
        <v>803</v>
      </c>
      <c r="J35" s="50"/>
      <c r="K35" s="51" t="str">
        <f>'Table Seed Map'!$A$33&amp;"-"&amp;(COUNTA($E$1:ResourceAction[[#This Row],[Resource]])-2)</f>
        <v>Action Method-33</v>
      </c>
      <c r="L35" s="50">
        <f>IF(ResourceAction[[#This Row],[Resource Name]]="","id",COUNTA($C$3:ResourceAction[[#This Row],[Resource Name]])+IF(VLOOKUP('Table Seed Map'!$A$33,SeedMap[],9,0),VLOOKUP('Table Seed Map'!$A$33,SeedMap[],9,0),0))</f>
        <v>33</v>
      </c>
      <c r="M35" s="50">
        <f>[No]</f>
        <v>33</v>
      </c>
      <c r="N35" s="80" t="s">
        <v>1152</v>
      </c>
      <c r="O35" s="81">
        <f ca="1">IF(ResourceAction[[#This Row],[Resource Name]]="","idn1",IF(ResourceAction[[#This Row],[IDN1]]="","",VLOOKUP(ResourceAction[[#This Row],[IDN1]],IDNMaps[[Display]:[ID]],2,0)))</f>
        <v>52</v>
      </c>
      <c r="P35" s="81">
        <f ca="1">IF(ResourceAction[[#This Row],[Resource Name]]="","idn2",IF(ResourceAction[[#This Row],[IDN2]]="","",VLOOKUP(ResourceAction[[#This Row],[IDN2]],IDNMaps[[Display]:[ID]],2,0)))</f>
        <v>3</v>
      </c>
      <c r="Q35" s="81" t="str">
        <f>IF(ResourceAction[[#This Row],[Resource Name]]="","idn3",IF(ResourceAction[[#This Row],[IDN3]]="","",VLOOKUP(ResourceAction[[#This Row],[IDN3]],IDNMaps[[Display]:[ID]],2,0)))</f>
        <v/>
      </c>
      <c r="R35" s="81" t="str">
        <f>IF(ResourceAction[[#This Row],[Resource Name]]="","idn4",IF(ResourceAction[[#This Row],[IDN4]]="","",VLOOKUP(ResourceAction[[#This Row],[IDN4]],IDNMaps[[Display]:[ID]],2,0)))</f>
        <v/>
      </c>
      <c r="S35" s="81" t="str">
        <f>IF(ResourceAction[[#This Row],[Resource Name]]="","idn5",IF(ResourceAction[[#This Row],[IDN5]]="","",VLOOKUP(ResourceAction[[#This Row],[IDN5]],IDNMaps[[Display]:[ID]],2,0)))</f>
        <v/>
      </c>
      <c r="T35" s="107" t="s">
        <v>1323</v>
      </c>
      <c r="U35" s="107" t="s">
        <v>1140</v>
      </c>
      <c r="V35" s="107"/>
      <c r="W35" s="107"/>
      <c r="X35" s="107"/>
      <c r="Y35" s="93">
        <f>[No]</f>
        <v>33</v>
      </c>
    </row>
    <row r="36" spans="1:25">
      <c r="A36" s="50" t="str">
        <f>'Table Seed Map'!$A$32&amp;"-"&amp;(COUNTA($E$1:ResourceAction[[#This Row],[Resource]])-2)</f>
        <v>Resource Actions-34</v>
      </c>
      <c r="B36" s="50" t="str">
        <f>ResourceAction[[#This Row],[Resource Name]]&amp;"/"&amp;ResourceAction[[#This Row],[Name]]</f>
        <v>ResourceAction/ListActionAttrsAction</v>
      </c>
      <c r="C36" s="39" t="s">
        <v>256</v>
      </c>
      <c r="D36" s="50">
        <f>IF(ResourceAction[[#This Row],[Resource Name]]="","id",COUNTA($C$3:ResourceAction[[#This Row],[Resource Name]])+IF(VLOOKUP('Table Seed Map'!$A$32,SeedMap[],9,0),VLOOKUP('Table Seed Map'!$A$10,SeedMap[],32,0),0))</f>
        <v>34</v>
      </c>
      <c r="E36" s="50">
        <f>VLOOKUP(ResourceAction[[#This Row],[Resource Name]],ResourceTable[[RName]:[RID]],2,0)</f>
        <v>30</v>
      </c>
      <c r="F36" s="50" t="s">
        <v>1327</v>
      </c>
      <c r="G36" s="50" t="s">
        <v>1328</v>
      </c>
      <c r="H36" s="50" t="s">
        <v>1329</v>
      </c>
      <c r="I36" s="46" t="s">
        <v>803</v>
      </c>
      <c r="J36" s="50"/>
      <c r="K36" s="51" t="str">
        <f>'Table Seed Map'!$A$33&amp;"-"&amp;(COUNTA($E$1:ResourceAction[[#This Row],[Resource]])-2)</f>
        <v>Action Method-34</v>
      </c>
      <c r="L36" s="50">
        <f>IF(ResourceAction[[#This Row],[Resource Name]]="","id",COUNTA($C$3:ResourceAction[[#This Row],[Resource Name]])+IF(VLOOKUP('Table Seed Map'!$A$33,SeedMap[],9,0),VLOOKUP('Table Seed Map'!$A$33,SeedMap[],9,0),0))</f>
        <v>34</v>
      </c>
      <c r="M36" s="50">
        <f>[No]</f>
        <v>34</v>
      </c>
      <c r="N36" s="80" t="s">
        <v>1152</v>
      </c>
      <c r="O36" s="81">
        <f ca="1">IF(ResourceAction[[#This Row],[Resource Name]]="","idn1",IF(ResourceAction[[#This Row],[IDN1]]="","",VLOOKUP(ResourceAction[[#This Row],[IDN1]],IDNMaps[[Display]:[ID]],2,0)))</f>
        <v>76</v>
      </c>
      <c r="P36" s="81">
        <f ca="1">IF(ResourceAction[[#This Row],[Resource Name]]="","idn2",IF(ResourceAction[[#This Row],[IDN2]]="","",VLOOKUP(ResourceAction[[#This Row],[IDN2]],IDNMaps[[Display]:[ID]],2,0)))</f>
        <v>17</v>
      </c>
      <c r="Q36" s="81" t="str">
        <f>IF(ResourceAction[[#This Row],[Resource Name]]="","idn3",IF(ResourceAction[[#This Row],[IDN3]]="","",VLOOKUP(ResourceAction[[#This Row],[IDN3]],IDNMaps[[Display]:[ID]],2,0)))</f>
        <v/>
      </c>
      <c r="R36" s="81" t="str">
        <f>IF(ResourceAction[[#This Row],[Resource Name]]="","idn4",IF(ResourceAction[[#This Row],[IDN4]]="","",VLOOKUP(ResourceAction[[#This Row],[IDN4]],IDNMaps[[Display]:[ID]],2,0)))</f>
        <v/>
      </c>
      <c r="S36" s="81" t="str">
        <f>IF(ResourceAction[[#This Row],[Resource Name]]="","idn5",IF(ResourceAction[[#This Row],[IDN5]]="","",VLOOKUP(ResourceAction[[#This Row],[IDN5]],IDNMaps[[Display]:[ID]],2,0)))</f>
        <v/>
      </c>
      <c r="T36" s="107" t="s">
        <v>1332</v>
      </c>
      <c r="U36" s="107" t="s">
        <v>1333</v>
      </c>
      <c r="V36" s="107"/>
      <c r="W36" s="107"/>
      <c r="X36" s="107"/>
      <c r="Y36" s="93">
        <f>[No]</f>
        <v>34</v>
      </c>
    </row>
    <row r="37" spans="1:25">
      <c r="A37" s="50" t="str">
        <f>'Table Seed Map'!$A$32&amp;"-"&amp;(COUNTA($E$1:ResourceAction[[#This Row],[Resource]])-2)</f>
        <v>Resource Actions-35</v>
      </c>
      <c r="B37" s="50" t="str">
        <f>ResourceAction[[#This Row],[Resource Name]]&amp;"/"&amp;ResourceAction[[#This Row],[Name]]</f>
        <v>ResourceAction/ListActionListsAction</v>
      </c>
      <c r="C37" s="39" t="s">
        <v>256</v>
      </c>
      <c r="D37" s="50">
        <f>IF(ResourceAction[[#This Row],[Resource Name]]="","id",COUNTA($C$3:ResourceAction[[#This Row],[Resource Name]])+IF(VLOOKUP('Table Seed Map'!$A$32,SeedMap[],9,0),VLOOKUP('Table Seed Map'!$A$10,SeedMap[],32,0),0))</f>
        <v>35</v>
      </c>
      <c r="E37" s="50">
        <f>VLOOKUP(ResourceAction[[#This Row],[Resource Name]],ResourceTable[[RName]:[RID]],2,0)</f>
        <v>30</v>
      </c>
      <c r="F37" s="50" t="s">
        <v>1337</v>
      </c>
      <c r="G37" s="50" t="s">
        <v>1339</v>
      </c>
      <c r="H37" s="50" t="s">
        <v>1160</v>
      </c>
      <c r="I37" s="46" t="s">
        <v>803</v>
      </c>
      <c r="J37" s="50"/>
      <c r="K37" s="51" t="str">
        <f>'Table Seed Map'!$A$33&amp;"-"&amp;(COUNTA($E$1:ResourceAction[[#This Row],[Resource]])-2)</f>
        <v>Action Method-35</v>
      </c>
      <c r="L37" s="50">
        <f>IF(ResourceAction[[#This Row],[Resource Name]]="","id",COUNTA($C$3:ResourceAction[[#This Row],[Resource Name]])+IF(VLOOKUP('Table Seed Map'!$A$33,SeedMap[],9,0),VLOOKUP('Table Seed Map'!$A$33,SeedMap[],9,0),0))</f>
        <v>35</v>
      </c>
      <c r="M37" s="50">
        <f>[No]</f>
        <v>35</v>
      </c>
      <c r="N37" s="80" t="s">
        <v>1152</v>
      </c>
      <c r="O37" s="81">
        <f ca="1">IF(ResourceAction[[#This Row],[Resource Name]]="","idn1",IF(ResourceAction[[#This Row],[IDN1]]="","",VLOOKUP(ResourceAction[[#This Row],[IDN1]],IDNMaps[[Display]:[ID]],2,0)))</f>
        <v>9</v>
      </c>
      <c r="P37" s="81">
        <f ca="1">IF(ResourceAction[[#This Row],[Resource Name]]="","idn2",IF(ResourceAction[[#This Row],[IDN2]]="","",VLOOKUP(ResourceAction[[#This Row],[IDN2]],IDNMaps[[Display]:[ID]],2,0)))</f>
        <v>5</v>
      </c>
      <c r="Q37" s="81" t="str">
        <f>IF(ResourceAction[[#This Row],[Resource Name]]="","idn3",IF(ResourceAction[[#This Row],[IDN3]]="","",VLOOKUP(ResourceAction[[#This Row],[IDN3]],IDNMaps[[Display]:[ID]],2,0)))</f>
        <v/>
      </c>
      <c r="R37" s="81" t="str">
        <f>IF(ResourceAction[[#This Row],[Resource Name]]="","idn4",IF(ResourceAction[[#This Row],[IDN4]]="","",VLOOKUP(ResourceAction[[#This Row],[IDN4]],IDNMaps[[Display]:[ID]],2,0)))</f>
        <v/>
      </c>
      <c r="S37" s="81" t="str">
        <f>IF(ResourceAction[[#This Row],[Resource Name]]="","idn5",IF(ResourceAction[[#This Row],[IDN5]]="","",VLOOKUP(ResourceAction[[#This Row],[IDN5]],IDNMaps[[Display]:[ID]],2,0)))</f>
        <v/>
      </c>
      <c r="T37" s="107" t="s">
        <v>1341</v>
      </c>
      <c r="U37" s="107" t="s">
        <v>1146</v>
      </c>
      <c r="V37" s="107"/>
      <c r="W37" s="107"/>
      <c r="X37" s="107"/>
      <c r="Y37" s="93">
        <f>[No]</f>
        <v>35</v>
      </c>
    </row>
    <row r="38" spans="1:25">
      <c r="A38" s="50" t="str">
        <f>'Table Seed Map'!$A$32&amp;"-"&amp;(COUNTA($E$1:ResourceAction[[#This Row],[Resource]])-2)</f>
        <v>Resource Actions-36</v>
      </c>
      <c r="B38" s="50" t="str">
        <f>ResourceAction[[#This Row],[Resource Name]]&amp;"/"&amp;ResourceAction[[#This Row],[Name]]</f>
        <v>ResourceAction/ListActionDataAction</v>
      </c>
      <c r="C38" s="39" t="s">
        <v>256</v>
      </c>
      <c r="D38" s="50">
        <f>IF(ResourceAction[[#This Row],[Resource Name]]="","id",COUNTA($C$3:ResourceAction[[#This Row],[Resource Name]])+IF(VLOOKUP('Table Seed Map'!$A$32,SeedMap[],9,0),VLOOKUP('Table Seed Map'!$A$10,SeedMap[],32,0),0))</f>
        <v>36</v>
      </c>
      <c r="E38" s="50">
        <f>VLOOKUP(ResourceAction[[#This Row],[Resource Name]],ResourceTable[[RName]:[RID]],2,0)</f>
        <v>30</v>
      </c>
      <c r="F38" s="50" t="s">
        <v>1338</v>
      </c>
      <c r="G38" s="50" t="s">
        <v>1340</v>
      </c>
      <c r="H38" s="50" t="s">
        <v>1161</v>
      </c>
      <c r="I38" s="46" t="s">
        <v>803</v>
      </c>
      <c r="J38" s="50"/>
      <c r="K38" s="51" t="str">
        <f>'Table Seed Map'!$A$33&amp;"-"&amp;(COUNTA($E$1:ResourceAction[[#This Row],[Resource]])-2)</f>
        <v>Action Method-36</v>
      </c>
      <c r="L38" s="50">
        <f>IF(ResourceAction[[#This Row],[Resource Name]]="","id",COUNTA($C$3:ResourceAction[[#This Row],[Resource Name]])+IF(VLOOKUP('Table Seed Map'!$A$33,SeedMap[],9,0),VLOOKUP('Table Seed Map'!$A$33,SeedMap[],9,0),0))</f>
        <v>36</v>
      </c>
      <c r="M38" s="50">
        <f>[No]</f>
        <v>36</v>
      </c>
      <c r="N38" s="80" t="s">
        <v>1152</v>
      </c>
      <c r="O38" s="81">
        <f ca="1">IF(ResourceAction[[#This Row],[Resource Name]]="","idn1",IF(ResourceAction[[#This Row],[IDN1]]="","",VLOOKUP(ResourceAction[[#This Row],[IDN1]],IDNMaps[[Display]:[ID]],2,0)))</f>
        <v>10</v>
      </c>
      <c r="P38" s="81">
        <f ca="1">IF(ResourceAction[[#This Row],[Resource Name]]="","idn2",IF(ResourceAction[[#This Row],[IDN2]]="","",VLOOKUP(ResourceAction[[#This Row],[IDN2]],IDNMaps[[Display]:[ID]],2,0)))</f>
        <v>6</v>
      </c>
      <c r="Q38" s="81" t="str">
        <f>IF(ResourceAction[[#This Row],[Resource Name]]="","idn3",IF(ResourceAction[[#This Row],[IDN3]]="","",VLOOKUP(ResourceAction[[#This Row],[IDN3]],IDNMaps[[Display]:[ID]],2,0)))</f>
        <v/>
      </c>
      <c r="R38" s="81" t="str">
        <f>IF(ResourceAction[[#This Row],[Resource Name]]="","idn4",IF(ResourceAction[[#This Row],[IDN4]]="","",VLOOKUP(ResourceAction[[#This Row],[IDN4]],IDNMaps[[Display]:[ID]],2,0)))</f>
        <v/>
      </c>
      <c r="S38" s="81" t="str">
        <f>IF(ResourceAction[[#This Row],[Resource Name]]="","idn5",IF(ResourceAction[[#This Row],[IDN5]]="","",VLOOKUP(ResourceAction[[#This Row],[IDN5]],IDNMaps[[Display]:[ID]],2,0)))</f>
        <v/>
      </c>
      <c r="T38" s="107" t="s">
        <v>1342</v>
      </c>
      <c r="U38" s="107" t="s">
        <v>1149</v>
      </c>
      <c r="V38" s="107"/>
      <c r="W38" s="107"/>
      <c r="X38" s="107"/>
      <c r="Y38" s="93">
        <f>[No]</f>
        <v>36</v>
      </c>
    </row>
    <row r="39" spans="1:25">
      <c r="A39" s="50" t="str">
        <f>'Table Seed Map'!$A$32&amp;"-"&amp;(COUNTA($E$1:ResourceAction[[#This Row],[Resource]])-2)</f>
        <v>Resource Actions-37</v>
      </c>
      <c r="B39" s="50" t="str">
        <f>ResourceAction[[#This Row],[Resource Name]]&amp;"/"&amp;ResourceAction[[#This Row],[Name]]</f>
        <v>ResourceFormField/ListFieldAttrs</v>
      </c>
      <c r="C39" s="39" t="s">
        <v>315</v>
      </c>
      <c r="D39" s="50">
        <f>IF(ResourceAction[[#This Row],[Resource Name]]="","id",COUNTA($C$3:ResourceAction[[#This Row],[Resource Name]])+IF(VLOOKUP('Table Seed Map'!$A$32,SeedMap[],9,0),VLOOKUP('Table Seed Map'!$A$10,SeedMap[],32,0),0))</f>
        <v>37</v>
      </c>
      <c r="E39" s="50">
        <f>VLOOKUP(ResourceAction[[#This Row],[Resource Name]],ResourceTable[[RName]:[RID]],2,0)</f>
        <v>9</v>
      </c>
      <c r="F39" s="50" t="s">
        <v>1370</v>
      </c>
      <c r="G39" s="50" t="s">
        <v>1375</v>
      </c>
      <c r="H39" s="50" t="s">
        <v>1329</v>
      </c>
      <c r="I39" s="46" t="s">
        <v>803</v>
      </c>
      <c r="J39" s="50"/>
      <c r="K39" s="51" t="str">
        <f>'Table Seed Map'!$A$33&amp;"-"&amp;(COUNTA($E$1:ResourceAction[[#This Row],[Resource]])-2)</f>
        <v>Action Method-37</v>
      </c>
      <c r="L39" s="50">
        <f>IF(ResourceAction[[#This Row],[Resource Name]]="","id",COUNTA($C$3:ResourceAction[[#This Row],[Resource Name]])+IF(VLOOKUP('Table Seed Map'!$A$33,SeedMap[],9,0),VLOOKUP('Table Seed Map'!$A$33,SeedMap[],9,0),0))</f>
        <v>37</v>
      </c>
      <c r="M39" s="50">
        <f>[No]</f>
        <v>37</v>
      </c>
      <c r="N39" s="80" t="s">
        <v>1152</v>
      </c>
      <c r="O39" s="81">
        <f ca="1">IF(ResourceAction[[#This Row],[Resource Name]]="","idn1",IF(ResourceAction[[#This Row],[IDN1]]="","",VLOOKUP(ResourceAction[[#This Row],[IDN1]],IDNMaps[[Display]:[ID]],2,0)))</f>
        <v>16</v>
      </c>
      <c r="P39" s="81">
        <f ca="1">IF(ResourceAction[[#This Row],[Resource Name]]="","idn2",IF(ResourceAction[[#This Row],[IDN2]]="","",VLOOKUP(ResourceAction[[#This Row],[IDN2]],IDNMaps[[Display]:[ID]],2,0)))</f>
        <v>18</v>
      </c>
      <c r="Q39" s="81" t="str">
        <f>IF(ResourceAction[[#This Row],[Resource Name]]="","idn3",IF(ResourceAction[[#This Row],[IDN3]]="","",VLOOKUP(ResourceAction[[#This Row],[IDN3]],IDNMaps[[Display]:[ID]],2,0)))</f>
        <v/>
      </c>
      <c r="R39" s="81" t="str">
        <f>IF(ResourceAction[[#This Row],[Resource Name]]="","idn4",IF(ResourceAction[[#This Row],[IDN4]]="","",VLOOKUP(ResourceAction[[#This Row],[IDN4]],IDNMaps[[Display]:[ID]],2,0)))</f>
        <v/>
      </c>
      <c r="S39" s="81" t="str">
        <f>IF(ResourceAction[[#This Row],[Resource Name]]="","idn5",IF(ResourceAction[[#This Row],[IDN5]]="","",VLOOKUP(ResourceAction[[#This Row],[IDN5]],IDNMaps[[Display]:[ID]],2,0)))</f>
        <v/>
      </c>
      <c r="T39" s="107" t="s">
        <v>1384</v>
      </c>
      <c r="U39" s="107" t="s">
        <v>1389</v>
      </c>
      <c r="V39" s="107"/>
      <c r="W39" s="107"/>
      <c r="X39" s="107"/>
      <c r="Y39" s="93">
        <f>[No]</f>
        <v>37</v>
      </c>
    </row>
    <row r="40" spans="1:25">
      <c r="A40" s="50" t="str">
        <f>'Table Seed Map'!$A$32&amp;"-"&amp;(COUNTA($E$1:ResourceAction[[#This Row],[Resource]])-2)</f>
        <v>Resource Actions-38</v>
      </c>
      <c r="B40" s="50" t="str">
        <f>ResourceAction[[#This Row],[Resource Name]]&amp;"/"&amp;ResourceAction[[#This Row],[Name]]</f>
        <v>ResourceFormField/ListFieldOptions</v>
      </c>
      <c r="C40" s="39" t="s">
        <v>315</v>
      </c>
      <c r="D40" s="50">
        <f>IF(ResourceAction[[#This Row],[Resource Name]]="","id",COUNTA($C$3:ResourceAction[[#This Row],[Resource Name]])+IF(VLOOKUP('Table Seed Map'!$A$32,SeedMap[],9,0),VLOOKUP('Table Seed Map'!$A$10,SeedMap[],32,0),0))</f>
        <v>38</v>
      </c>
      <c r="E40" s="50">
        <f>VLOOKUP(ResourceAction[[#This Row],[Resource Name]],ResourceTable[[RName]:[RID]],2,0)</f>
        <v>9</v>
      </c>
      <c r="F40" s="50" t="s">
        <v>1371</v>
      </c>
      <c r="G40" s="50" t="s">
        <v>1376</v>
      </c>
      <c r="H40" s="50" t="s">
        <v>1380</v>
      </c>
      <c r="I40" s="46" t="s">
        <v>803</v>
      </c>
      <c r="J40" s="50"/>
      <c r="K40" s="51" t="str">
        <f>'Table Seed Map'!$A$33&amp;"-"&amp;(COUNTA($E$1:ResourceAction[[#This Row],[Resource]])-2)</f>
        <v>Action Method-38</v>
      </c>
      <c r="L40" s="50">
        <f>IF(ResourceAction[[#This Row],[Resource Name]]="","id",COUNTA($C$3:ResourceAction[[#This Row],[Resource Name]])+IF(VLOOKUP('Table Seed Map'!$A$33,SeedMap[],9,0),VLOOKUP('Table Seed Map'!$A$33,SeedMap[],9,0),0))</f>
        <v>38</v>
      </c>
      <c r="M40" s="50">
        <f>[No]</f>
        <v>38</v>
      </c>
      <c r="N40" s="80" t="s">
        <v>1152</v>
      </c>
      <c r="O40" s="81">
        <f ca="1">IF(ResourceAction[[#This Row],[Resource Name]]="","idn1",IF(ResourceAction[[#This Row],[IDN1]]="","",VLOOKUP(ResourceAction[[#This Row],[IDN1]],IDNMaps[[Display]:[ID]],2,0)))</f>
        <v>17</v>
      </c>
      <c r="P40" s="81">
        <f ca="1">IF(ResourceAction[[#This Row],[Resource Name]]="","idn2",IF(ResourceAction[[#This Row],[IDN2]]="","",VLOOKUP(ResourceAction[[#This Row],[IDN2]],IDNMaps[[Display]:[ID]],2,0)))</f>
        <v>19</v>
      </c>
      <c r="Q40" s="81" t="str">
        <f>IF(ResourceAction[[#This Row],[Resource Name]]="","idn3",IF(ResourceAction[[#This Row],[IDN3]]="","",VLOOKUP(ResourceAction[[#This Row],[IDN3]],IDNMaps[[Display]:[ID]],2,0)))</f>
        <v/>
      </c>
      <c r="R40" s="81" t="str">
        <f>IF(ResourceAction[[#This Row],[Resource Name]]="","idn4",IF(ResourceAction[[#This Row],[IDN4]]="","",VLOOKUP(ResourceAction[[#This Row],[IDN4]],IDNMaps[[Display]:[ID]],2,0)))</f>
        <v/>
      </c>
      <c r="S40" s="81" t="str">
        <f>IF(ResourceAction[[#This Row],[Resource Name]]="","idn5",IF(ResourceAction[[#This Row],[IDN5]]="","",VLOOKUP(ResourceAction[[#This Row],[IDN5]],IDNMaps[[Display]:[ID]],2,0)))</f>
        <v/>
      </c>
      <c r="T40" s="107" t="s">
        <v>1385</v>
      </c>
      <c r="U40" s="107" t="s">
        <v>1390</v>
      </c>
      <c r="V40" s="107"/>
      <c r="W40" s="107"/>
      <c r="X40" s="107"/>
      <c r="Y40" s="93">
        <f>[No]</f>
        <v>38</v>
      </c>
    </row>
    <row r="41" spans="1:25">
      <c r="A41" s="95" t="str">
        <f>'Table Seed Map'!$A$32&amp;"-"&amp;(COUNTA($E$1:ResourceAction[[#This Row],[Resource]])-2)</f>
        <v>Resource Actions-39</v>
      </c>
      <c r="B41" s="95" t="str">
        <f>ResourceAction[[#This Row],[Resource Name]]&amp;"/"&amp;ResourceAction[[#This Row],[Name]]</f>
        <v>ResourceFormField/ListFieldValidations</v>
      </c>
      <c r="C41" s="39" t="s">
        <v>315</v>
      </c>
      <c r="D41" s="95">
        <f>IF(ResourceAction[[#This Row],[Resource Name]]="","id",COUNTA($C$3:ResourceAction[[#This Row],[Resource Name]])+IF(VLOOKUP('Table Seed Map'!$A$32,SeedMap[],9,0),VLOOKUP('Table Seed Map'!$A$10,SeedMap[],32,0),0))</f>
        <v>39</v>
      </c>
      <c r="E41" s="95">
        <f>VLOOKUP(ResourceAction[[#This Row],[Resource Name]],ResourceTable[[RName]:[RID]],2,0)</f>
        <v>9</v>
      </c>
      <c r="F41" s="95" t="s">
        <v>1372</v>
      </c>
      <c r="G41" s="50" t="s">
        <v>1377</v>
      </c>
      <c r="H41" s="50" t="s">
        <v>1381</v>
      </c>
      <c r="I41" s="46" t="s">
        <v>803</v>
      </c>
      <c r="J41" s="95"/>
      <c r="K41" s="94" t="str">
        <f>'Table Seed Map'!$A$33&amp;"-"&amp;(COUNTA($E$1:ResourceAction[[#This Row],[Resource]])-2)</f>
        <v>Action Method-39</v>
      </c>
      <c r="L41" s="95">
        <f>IF(ResourceAction[[#This Row],[Resource Name]]="","id",COUNTA($C$3:ResourceAction[[#This Row],[Resource Name]])+IF(VLOOKUP('Table Seed Map'!$A$33,SeedMap[],9,0),VLOOKUP('Table Seed Map'!$A$33,SeedMap[],9,0),0))</f>
        <v>39</v>
      </c>
      <c r="M41" s="95">
        <f>[No]</f>
        <v>39</v>
      </c>
      <c r="N41" s="80" t="s">
        <v>1152</v>
      </c>
      <c r="O41" s="111">
        <f ca="1">IF(ResourceAction[[#This Row],[Resource Name]]="","idn1",IF(ResourceAction[[#This Row],[IDN1]]="","",VLOOKUP(ResourceAction[[#This Row],[IDN1]],IDNMaps[[Display]:[ID]],2,0)))</f>
        <v>18</v>
      </c>
      <c r="P41" s="111">
        <f ca="1">IF(ResourceAction[[#This Row],[Resource Name]]="","idn2",IF(ResourceAction[[#This Row],[IDN2]]="","",VLOOKUP(ResourceAction[[#This Row],[IDN2]],IDNMaps[[Display]:[ID]],2,0)))</f>
        <v>20</v>
      </c>
      <c r="Q41" s="111" t="str">
        <f>IF(ResourceAction[[#This Row],[Resource Name]]="","idn3",IF(ResourceAction[[#This Row],[IDN3]]="","",VLOOKUP(ResourceAction[[#This Row],[IDN3]],IDNMaps[[Display]:[ID]],2,0)))</f>
        <v/>
      </c>
      <c r="R41" s="111" t="str">
        <f>IF(ResourceAction[[#This Row],[Resource Name]]="","idn4",IF(ResourceAction[[#This Row],[IDN4]]="","",VLOOKUP(ResourceAction[[#This Row],[IDN4]],IDNMaps[[Display]:[ID]],2,0)))</f>
        <v/>
      </c>
      <c r="S41" s="111" t="str">
        <f>IF(ResourceAction[[#This Row],[Resource Name]]="","idn5",IF(ResourceAction[[#This Row],[IDN5]]="","",VLOOKUP(ResourceAction[[#This Row],[IDN5]],IDNMaps[[Display]:[ID]],2,0)))</f>
        <v/>
      </c>
      <c r="T41" s="107" t="s">
        <v>1386</v>
      </c>
      <c r="U41" s="107" t="s">
        <v>1391</v>
      </c>
      <c r="V41" s="114"/>
      <c r="W41" s="114"/>
      <c r="X41" s="114"/>
      <c r="Y41" s="115">
        <f>[No]</f>
        <v>39</v>
      </c>
    </row>
    <row r="42" spans="1:25">
      <c r="A42" s="95" t="str">
        <f>'Table Seed Map'!$A$32&amp;"-"&amp;(COUNTA($E$1:ResourceAction[[#This Row],[Resource]])-2)</f>
        <v>Resource Actions-40</v>
      </c>
      <c r="B42" s="95" t="str">
        <f>ResourceAction[[#This Row],[Resource Name]]&amp;"/"&amp;ResourceAction[[#This Row],[Name]]</f>
        <v>ResourceFormField/ListFieldDepends</v>
      </c>
      <c r="C42" s="39" t="s">
        <v>315</v>
      </c>
      <c r="D42" s="95">
        <f>IF(ResourceAction[[#This Row],[Resource Name]]="","id",COUNTA($C$3:ResourceAction[[#This Row],[Resource Name]])+IF(VLOOKUP('Table Seed Map'!$A$32,SeedMap[],9,0),VLOOKUP('Table Seed Map'!$A$10,SeedMap[],32,0),0))</f>
        <v>40</v>
      </c>
      <c r="E42" s="95">
        <f>VLOOKUP(ResourceAction[[#This Row],[Resource Name]],ResourceTable[[RName]:[RID]],2,0)</f>
        <v>9</v>
      </c>
      <c r="F42" s="95" t="s">
        <v>1373</v>
      </c>
      <c r="G42" s="50" t="s">
        <v>1378</v>
      </c>
      <c r="H42" s="50" t="s">
        <v>1382</v>
      </c>
      <c r="I42" s="46" t="s">
        <v>803</v>
      </c>
      <c r="J42" s="95"/>
      <c r="K42" s="94" t="str">
        <f>'Table Seed Map'!$A$33&amp;"-"&amp;(COUNTA($E$1:ResourceAction[[#This Row],[Resource]])-2)</f>
        <v>Action Method-40</v>
      </c>
      <c r="L42" s="95">
        <f>IF(ResourceAction[[#This Row],[Resource Name]]="","id",COUNTA($C$3:ResourceAction[[#This Row],[Resource Name]])+IF(VLOOKUP('Table Seed Map'!$A$33,SeedMap[],9,0),VLOOKUP('Table Seed Map'!$A$33,SeedMap[],9,0),0))</f>
        <v>40</v>
      </c>
      <c r="M42" s="95">
        <f>[No]</f>
        <v>40</v>
      </c>
      <c r="N42" s="80" t="s">
        <v>1152</v>
      </c>
      <c r="O42" s="111">
        <f ca="1">IF(ResourceAction[[#This Row],[Resource Name]]="","idn1",IF(ResourceAction[[#This Row],[IDN1]]="","",VLOOKUP(ResourceAction[[#This Row],[IDN1]],IDNMaps[[Display]:[ID]],2,0)))</f>
        <v>44</v>
      </c>
      <c r="P42" s="111">
        <f ca="1">IF(ResourceAction[[#This Row],[Resource Name]]="","idn2",IF(ResourceAction[[#This Row],[IDN2]]="","",VLOOKUP(ResourceAction[[#This Row],[IDN2]],IDNMaps[[Display]:[ID]],2,0)))</f>
        <v>21</v>
      </c>
      <c r="Q42" s="111" t="str">
        <f>IF(ResourceAction[[#This Row],[Resource Name]]="","idn3",IF(ResourceAction[[#This Row],[IDN3]]="","",VLOOKUP(ResourceAction[[#This Row],[IDN3]],IDNMaps[[Display]:[ID]],2,0)))</f>
        <v/>
      </c>
      <c r="R42" s="111" t="str">
        <f>IF(ResourceAction[[#This Row],[Resource Name]]="","idn4",IF(ResourceAction[[#This Row],[IDN4]]="","",VLOOKUP(ResourceAction[[#This Row],[IDN4]],IDNMaps[[Display]:[ID]],2,0)))</f>
        <v/>
      </c>
      <c r="S42" s="111" t="str">
        <f>IF(ResourceAction[[#This Row],[Resource Name]]="","idn5",IF(ResourceAction[[#This Row],[IDN5]]="","",VLOOKUP(ResourceAction[[#This Row],[IDN5]],IDNMaps[[Display]:[ID]],2,0)))</f>
        <v/>
      </c>
      <c r="T42" s="107" t="s">
        <v>1387</v>
      </c>
      <c r="U42" s="107" t="s">
        <v>1392</v>
      </c>
      <c r="V42" s="114"/>
      <c r="W42" s="114"/>
      <c r="X42" s="114"/>
      <c r="Y42" s="115">
        <f>[No]</f>
        <v>40</v>
      </c>
    </row>
    <row r="43" spans="1:25">
      <c r="A43" s="50" t="str">
        <f>'Table Seed Map'!$A$32&amp;"-"&amp;(COUNTA($E$1:ResourceAction[[#This Row],[Resource]])-2)</f>
        <v>Resource Actions-41</v>
      </c>
      <c r="B43" s="50" t="str">
        <f>ResourceAction[[#This Row],[Resource Name]]&amp;"/"&amp;ResourceAction[[#This Row],[Name]]</f>
        <v>ResourceFormField/ListFieldDynamics</v>
      </c>
      <c r="C43" s="39" t="s">
        <v>315</v>
      </c>
      <c r="D43" s="50">
        <f>IF(ResourceAction[[#This Row],[Resource Name]]="","id",COUNTA($C$3:ResourceAction[[#This Row],[Resource Name]])+IF(VLOOKUP('Table Seed Map'!$A$32,SeedMap[],9,0),VLOOKUP('Table Seed Map'!$A$10,SeedMap[],32,0),0))</f>
        <v>41</v>
      </c>
      <c r="E43" s="50">
        <f>VLOOKUP(ResourceAction[[#This Row],[Resource Name]],ResourceTable[[RName]:[RID]],2,0)</f>
        <v>9</v>
      </c>
      <c r="F43" s="50" t="s">
        <v>1374</v>
      </c>
      <c r="G43" s="50" t="s">
        <v>1379</v>
      </c>
      <c r="H43" s="50" t="s">
        <v>1383</v>
      </c>
      <c r="I43" s="46" t="s">
        <v>803</v>
      </c>
      <c r="J43" s="50"/>
      <c r="K43" s="51" t="str">
        <f>'Table Seed Map'!$A$33&amp;"-"&amp;(COUNTA($E$1:ResourceAction[[#This Row],[Resource]])-2)</f>
        <v>Action Method-41</v>
      </c>
      <c r="L43" s="50">
        <f>IF(ResourceAction[[#This Row],[Resource Name]]="","id",COUNTA($C$3:ResourceAction[[#This Row],[Resource Name]])+IF(VLOOKUP('Table Seed Map'!$A$33,SeedMap[],9,0),VLOOKUP('Table Seed Map'!$A$33,SeedMap[],9,0),0))</f>
        <v>41</v>
      </c>
      <c r="M43" s="50">
        <f>[No]</f>
        <v>41</v>
      </c>
      <c r="N43" s="80" t="s">
        <v>1152</v>
      </c>
      <c r="O43" s="81">
        <f ca="1">IF(ResourceAction[[#This Row],[Resource Name]]="","idn1",IF(ResourceAction[[#This Row],[IDN1]]="","",VLOOKUP(ResourceAction[[#This Row],[IDN1]],IDNMaps[[Display]:[ID]],2,0)))</f>
        <v>49</v>
      </c>
      <c r="P43" s="81">
        <f ca="1">IF(ResourceAction[[#This Row],[Resource Name]]="","idn2",IF(ResourceAction[[#This Row],[IDN2]]="","",VLOOKUP(ResourceAction[[#This Row],[IDN2]],IDNMaps[[Display]:[ID]],2,0)))</f>
        <v>22</v>
      </c>
      <c r="Q43" s="81" t="str">
        <f>IF(ResourceAction[[#This Row],[Resource Name]]="","idn3",IF(ResourceAction[[#This Row],[IDN3]]="","",VLOOKUP(ResourceAction[[#This Row],[IDN3]],IDNMaps[[Display]:[ID]],2,0)))</f>
        <v/>
      </c>
      <c r="R43" s="81" t="str">
        <f>IF(ResourceAction[[#This Row],[Resource Name]]="","idn4",IF(ResourceAction[[#This Row],[IDN4]]="","",VLOOKUP(ResourceAction[[#This Row],[IDN4]],IDNMaps[[Display]:[ID]],2,0)))</f>
        <v/>
      </c>
      <c r="S43" s="81" t="str">
        <f>IF(ResourceAction[[#This Row],[Resource Name]]="","idn5",IF(ResourceAction[[#This Row],[IDN5]]="","",VLOOKUP(ResourceAction[[#This Row],[IDN5]],IDNMaps[[Display]:[ID]],2,0)))</f>
        <v/>
      </c>
      <c r="T43" s="107" t="s">
        <v>1388</v>
      </c>
      <c r="U43" s="107" t="s">
        <v>1393</v>
      </c>
      <c r="V43" s="107"/>
      <c r="W43" s="107"/>
      <c r="X43" s="107"/>
      <c r="Y43" s="93">
        <f>[No]</f>
        <v>41</v>
      </c>
    </row>
    <row r="44" spans="1:25">
      <c r="A44" s="50" t="str">
        <f>'Table Seed Map'!$A$32&amp;"-"&amp;(COUNTA($E$1:ResourceAction[[#This Row],[Resource]])-2)</f>
        <v>Resource Actions-42</v>
      </c>
      <c r="B44" s="50" t="str">
        <f>ResourceAction[[#This Row],[Resource Name]]&amp;"/"&amp;ResourceAction[[#This Row],[Name]]</f>
        <v>ResourceList/AddListActionsAction</v>
      </c>
      <c r="C44" s="39" t="s">
        <v>407</v>
      </c>
      <c r="D44" s="50">
        <f>IF(ResourceAction[[#This Row],[Resource Name]]="","id",COUNTA($C$3:ResourceAction[[#This Row],[Resource Name]])+IF(VLOOKUP('Table Seed Map'!$A$32,SeedMap[],9,0),VLOOKUP('Table Seed Map'!$A$10,SeedMap[],32,0),0))</f>
        <v>42</v>
      </c>
      <c r="E44" s="50">
        <f>VLOOKUP(ResourceAction[[#This Row],[Resource Name]],ResourceTable[[RName]:[RID]],2,0)</f>
        <v>20</v>
      </c>
      <c r="F44" s="50" t="s">
        <v>1401</v>
      </c>
      <c r="G44" s="50" t="s">
        <v>1402</v>
      </c>
      <c r="H44" s="50" t="s">
        <v>1403</v>
      </c>
      <c r="I44" s="46" t="s">
        <v>803</v>
      </c>
      <c r="J44" s="50"/>
      <c r="K44" s="51" t="str">
        <f>'Table Seed Map'!$A$33&amp;"-"&amp;(COUNTA($E$1:ResourceAction[[#This Row],[Resource]])-2)</f>
        <v>Action Method-42</v>
      </c>
      <c r="L44" s="50">
        <f>IF(ResourceAction[[#This Row],[Resource Name]]="","id",COUNTA($C$3:ResourceAction[[#This Row],[Resource Name]])+IF(VLOOKUP('Table Seed Map'!$A$33,SeedMap[],9,0),VLOOKUP('Table Seed Map'!$A$33,SeedMap[],9,0),0))</f>
        <v>42</v>
      </c>
      <c r="M44" s="50">
        <f>[No]</f>
        <v>42</v>
      </c>
      <c r="N44" s="80" t="s">
        <v>1404</v>
      </c>
      <c r="O44" s="81">
        <f ca="1">IF(ResourceAction[[#This Row],[Resource Name]]="","idn1",IF(ResourceAction[[#This Row],[IDN1]]="","",VLOOKUP(ResourceAction[[#This Row],[IDN1]],IDNMaps[[Display]:[ID]],2,0)))</f>
        <v>51</v>
      </c>
      <c r="P44" s="81">
        <f ca="1">IF(ResourceAction[[#This Row],[Resource Name]]="","idn2",IF(ResourceAction[[#This Row],[IDN2]]="","",VLOOKUP(ResourceAction[[#This Row],[IDN2]],IDNMaps[[Display]:[ID]],2,0)))</f>
        <v>3</v>
      </c>
      <c r="Q44" s="81" t="str">
        <f>IF(ResourceAction[[#This Row],[Resource Name]]="","idn3",IF(ResourceAction[[#This Row],[IDN3]]="","",VLOOKUP(ResourceAction[[#This Row],[IDN3]],IDNMaps[[Display]:[ID]],2,0)))</f>
        <v/>
      </c>
      <c r="R44" s="81" t="str">
        <f>IF(ResourceAction[[#This Row],[Resource Name]]="","idn4",IF(ResourceAction[[#This Row],[IDN4]]="","",VLOOKUP(ResourceAction[[#This Row],[IDN4]],IDNMaps[[Display]:[ID]],2,0)))</f>
        <v/>
      </c>
      <c r="S44" s="81" t="str">
        <f>IF(ResourceAction[[#This Row],[Resource Name]]="","idn5",IF(ResourceAction[[#This Row],[IDN5]]="","",VLOOKUP(ResourceAction[[#This Row],[IDN5]],IDNMaps[[Display]:[ID]],2,0)))</f>
        <v/>
      </c>
      <c r="T44" s="107" t="s">
        <v>1320</v>
      </c>
      <c r="U44" s="107" t="s">
        <v>1140</v>
      </c>
      <c r="V44" s="107"/>
      <c r="W44" s="107"/>
      <c r="X44" s="107"/>
      <c r="Y44" s="93">
        <f>[No]</f>
        <v>42</v>
      </c>
    </row>
  </sheetData>
  <dataValidations count="7">
    <dataValidation type="list" allowBlank="1" showInputMessage="1" showErrorMessage="1" sqref="AN2 AA2:AA32">
      <formula1>ActionsName</formula1>
    </dataValidation>
    <dataValidation type="list" allowBlank="1" showInputMessage="1" showErrorMessage="1" sqref="N3:N6">
      <formula1>"Method,Dashboard,Form,List,Data,FormWithData,ListRelation,AddRelation,ManageRelation"</formula1>
    </dataValidation>
    <dataValidation type="list" allowBlank="1" showInputMessage="1" showErrorMessage="1" sqref="I2:I44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44">
      <formula1>Resources</formula1>
    </dataValidation>
    <dataValidation type="list" allowBlank="1" showInputMessage="1" showErrorMessage="1" sqref="T2:X44">
      <formula1>IDNs</formula1>
    </dataValidation>
    <dataValidation type="list" allowBlank="1" showInputMessage="1" showErrorMessage="1" sqref="AC2:AC32">
      <formula1>ListNames</formula1>
    </dataValidation>
    <dataValidation type="list" allowBlank="1" showInputMessage="1" showErrorMessage="1" sqref="AD2:AD32">
      <formula1>DataNames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D88"/>
  <sheetViews>
    <sheetView topLeftCell="B1" workbookViewId="0">
      <selection activeCell="J7" sqref="J7"/>
    </sheetView>
  </sheetViews>
  <sheetFormatPr defaultRowHeight="15"/>
  <cols>
    <col min="1" max="1" width="12" hidden="1" customWidth="1"/>
    <col min="2" max="2" width="22.5703125" customWidth="1"/>
    <col min="3" max="3" width="18.140625" style="21" hidden="1" customWidth="1"/>
    <col min="4" max="4" width="9.140625" hidden="1" customWidth="1"/>
    <col min="5" max="5" width="11.42578125" style="21" hidden="1" customWidth="1"/>
    <col min="6" max="6" width="24.42578125" customWidth="1"/>
    <col min="7" max="7" width="49.7109375" customWidth="1"/>
    <col min="8" max="8" width="24.42578125" customWidth="1"/>
    <col min="9" max="9" width="12.28515625" style="21" customWidth="1"/>
    <col min="10" max="10" width="5.140625" style="21" bestFit="1" customWidth="1"/>
    <col min="12" max="12" width="29.85546875" bestFit="1" customWidth="1"/>
    <col min="13" max="13" width="9.85546875" style="21" hidden="1" customWidth="1"/>
    <col min="14" max="14" width="19.140625" bestFit="1" customWidth="1"/>
    <col min="15" max="15" width="22.85546875" customWidth="1"/>
    <col min="16" max="16" width="18.28515625" bestFit="1" customWidth="1"/>
    <col min="17" max="18" width="11" customWidth="1"/>
    <col min="19" max="19" width="15.7109375" style="21" hidden="1" customWidth="1"/>
    <col min="20" max="20" width="16" hidden="1" customWidth="1"/>
    <col min="21" max="21" width="21.5703125" hidden="1" customWidth="1"/>
    <col min="22" max="22" width="10.7109375" hidden="1" customWidth="1"/>
    <col min="23" max="23" width="17.85546875" style="21" hidden="1" customWidth="1"/>
    <col min="24" max="24" width="18.140625" hidden="1" customWidth="1"/>
    <col min="25" max="25" width="23.7109375" hidden="1" customWidth="1"/>
    <col min="26" max="26" width="10.5703125" hidden="1" customWidth="1"/>
    <col min="27" max="27" width="11" hidden="1" customWidth="1"/>
    <col min="28" max="28" width="0" hidden="1" customWidth="1"/>
    <col min="29" max="29" width="11" hidden="1" customWidth="1"/>
    <col min="30" max="30" width="9.140625" customWidth="1"/>
    <col min="31" max="31" width="21.140625" hidden="1" customWidth="1"/>
    <col min="32" max="32" width="19.140625" customWidth="1"/>
    <col min="33" max="33" width="9.140625" hidden="1" customWidth="1"/>
    <col min="34" max="34" width="12.140625" hidden="1" customWidth="1"/>
    <col min="35" max="35" width="29" customWidth="1"/>
    <col min="36" max="36" width="13.42578125" hidden="1" customWidth="1"/>
    <col min="37" max="38" width="9.140625" hidden="1" customWidth="1"/>
    <col min="39" max="39" width="10.5703125" hidden="1" customWidth="1"/>
    <col min="40" max="43" width="15.140625" customWidth="1"/>
    <col min="45" max="45" width="18.7109375" hidden="1" customWidth="1"/>
    <col min="46" max="46" width="35.85546875" bestFit="1" customWidth="1"/>
    <col min="47" max="47" width="9.85546875" hidden="1" customWidth="1"/>
    <col min="48" max="48" width="17.85546875" hidden="1" customWidth="1"/>
    <col min="49" max="49" width="17.85546875" style="21" customWidth="1"/>
    <col min="50" max="50" width="16.85546875" customWidth="1"/>
    <col min="51" max="51" width="7.85546875" hidden="1" customWidth="1"/>
    <col min="52" max="53" width="11" hidden="1" customWidth="1"/>
    <col min="54" max="54" width="24.28515625" bestFit="1" customWidth="1"/>
    <col min="55" max="56" width="17" customWidth="1"/>
  </cols>
  <sheetData>
    <row r="1" spans="1:56">
      <c r="A1" s="21" t="s">
        <v>850</v>
      </c>
      <c r="B1" s="21" t="s">
        <v>240</v>
      </c>
      <c r="C1" s="21" t="s">
        <v>919</v>
      </c>
      <c r="D1" s="21" t="s">
        <v>239</v>
      </c>
      <c r="E1" s="21" t="s">
        <v>204</v>
      </c>
      <c r="F1" s="21" t="s">
        <v>1</v>
      </c>
      <c r="G1" s="21" t="s">
        <v>242</v>
      </c>
      <c r="H1" s="21" t="s">
        <v>236</v>
      </c>
      <c r="I1" s="21" t="s">
        <v>985</v>
      </c>
      <c r="J1" s="87" t="s">
        <v>785</v>
      </c>
      <c r="L1" s="1" t="s">
        <v>922</v>
      </c>
      <c r="M1" s="1" t="s">
        <v>928</v>
      </c>
      <c r="N1" s="1" t="s">
        <v>924</v>
      </c>
      <c r="O1" s="1" t="s">
        <v>923</v>
      </c>
      <c r="P1" s="1" t="s">
        <v>925</v>
      </c>
      <c r="Q1" s="1" t="s">
        <v>926</v>
      </c>
      <c r="R1" s="1" t="s">
        <v>927</v>
      </c>
      <c r="S1" s="1" t="s">
        <v>934</v>
      </c>
      <c r="T1" s="1" t="s">
        <v>929</v>
      </c>
      <c r="U1" s="1" t="s">
        <v>932</v>
      </c>
      <c r="V1" s="1" t="s">
        <v>930</v>
      </c>
      <c r="W1" s="1" t="s">
        <v>935</v>
      </c>
      <c r="X1" s="1" t="s">
        <v>931</v>
      </c>
      <c r="Y1" s="1" t="s">
        <v>933</v>
      </c>
      <c r="Z1" s="1" t="s">
        <v>246</v>
      </c>
      <c r="AA1" s="1" t="s">
        <v>778</v>
      </c>
      <c r="AB1" s="1" t="s">
        <v>779</v>
      </c>
      <c r="AC1" s="1" t="s">
        <v>780</v>
      </c>
      <c r="AE1" s="1" t="s">
        <v>850</v>
      </c>
      <c r="AF1" s="1" t="s">
        <v>940</v>
      </c>
      <c r="AG1" s="1" t="s">
        <v>239</v>
      </c>
      <c r="AH1" s="1" t="s">
        <v>893</v>
      </c>
      <c r="AI1" s="1" t="s">
        <v>13</v>
      </c>
      <c r="AJ1" s="1" t="s">
        <v>941</v>
      </c>
      <c r="AK1" s="1" t="s">
        <v>778</v>
      </c>
      <c r="AL1" s="1" t="s">
        <v>779</v>
      </c>
      <c r="AM1" s="1" t="s">
        <v>780</v>
      </c>
      <c r="AN1" s="1" t="s">
        <v>246</v>
      </c>
      <c r="AO1" s="1" t="s">
        <v>942</v>
      </c>
      <c r="AP1" s="1" t="s">
        <v>943</v>
      </c>
      <c r="AQ1" s="1" t="s">
        <v>944</v>
      </c>
      <c r="AS1" s="1" t="s">
        <v>850</v>
      </c>
      <c r="AT1" s="1" t="s">
        <v>947</v>
      </c>
      <c r="AU1" s="1" t="s">
        <v>239</v>
      </c>
      <c r="AV1" s="1" t="s">
        <v>893</v>
      </c>
      <c r="AW1" s="1" t="s">
        <v>244</v>
      </c>
      <c r="AX1" s="1" t="s">
        <v>13</v>
      </c>
      <c r="AY1" s="1" t="s">
        <v>941</v>
      </c>
      <c r="AZ1" s="1" t="s">
        <v>778</v>
      </c>
      <c r="BA1" s="1" t="s">
        <v>779</v>
      </c>
      <c r="BB1" s="1" t="s">
        <v>246</v>
      </c>
      <c r="BC1" s="1" t="s">
        <v>942</v>
      </c>
      <c r="BD1" s="1" t="s">
        <v>943</v>
      </c>
    </row>
    <row r="2" spans="1:56">
      <c r="A2" s="6" t="str">
        <f>'Table Seed Map'!$A$22&amp;"-"&amp;COUNTA($B$1:ResourceList[[#This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Map'!$A$22,SeedMap[],9,0)),VLOOKUP('Table Seed Map'!$A$22,SeedMap[],9,0),0))</f>
        <v>id</v>
      </c>
      <c r="E2" s="15" t="str">
        <f>IFERROR(VLOOKUP(ResourceList[[#This Row],[Resource Name]],ResourceTable[[RName]:[RID]],2,0),"resource")</f>
        <v>resource</v>
      </c>
      <c r="F2" s="13" t="s">
        <v>26</v>
      </c>
      <c r="G2" s="13" t="s">
        <v>28</v>
      </c>
      <c r="H2" s="13" t="s">
        <v>30</v>
      </c>
      <c r="I2" s="13" t="s">
        <v>61</v>
      </c>
      <c r="J2" s="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Map'!$A$23&amp;"-"&amp;COUNT($V$1:ListExtras[[#This Row],[Scope ID]])</f>
        <v>List Scopes-0</v>
      </c>
      <c r="T2" s="16" t="str">
        <f>IF(ListExtras[[#This Row],[LID]]=0,"id",IF(ListExtras[[#This Row],[Scope ID]]="","",COUNT($V$2:ListExtras[[#This Row],[Scope ID]])+IF(ISNUMBER(VLOOKUP('Table Seed Map'!$A$23,SeedMap[],9,0)),VLOOKUP('Table Seed Map'!$A$23,SeedMap[],9,0),0)))</f>
        <v>id</v>
      </c>
      <c r="U2" s="16" t="str">
        <f>IF(ListExtras[[#This Row],[LID]]=0,"resource_list",ListExtras[[#This Row],[LID]])</f>
        <v>resource_list</v>
      </c>
      <c r="V2" s="16" t="str">
        <f>IFERROR(VLOOKUP(ListExtras[[#This Row],[Scope Name]],ResourceScopes[[ScopesDisplayNames]:[No]],2,0),IF(ListExtras[[#This Row],[LID]]=0,"scope",""))</f>
        <v>scope</v>
      </c>
      <c r="W2" s="9" t="str">
        <f>'Table Seed Map'!$A$24&amp;"-"&amp;COUNT($Z$1:ListExtras[[#This Row],[Relation]])</f>
        <v>List Relation-0</v>
      </c>
      <c r="X2" s="16" t="str">
        <f>IF(ListExtras[[#This Row],[LID]]=0,"id",IF(ListExtras[[#This Row],[Relation]]="","",COUNT($Z$2:ListExtras[[#This Row],[Relation]])+IF(ISNUMBER(VLOOKUP('Table Seed Map'!$A$24,SeedMap[],9,0)),VLOOKUP('Table Seed Map'!$A$24,SeedMap[],9,0),0)))</f>
        <v>id</v>
      </c>
      <c r="Y2" s="16" t="str">
        <f>IF(ListExtras[[#This Row],[LID]]=0,"resource_list",ListExtras[[#This Row],[LID]])</f>
        <v>resource_list</v>
      </c>
      <c r="Z2" s="16" t="str">
        <f>IFERROR(VLOOKUP(ListExtras[[#This Row],[Relation Name]],RelationTable[[Display]:[RELID]],2,0),IF(ListExtras[[#This Row],[LID]]=0,"relation",""))</f>
        <v>relation</v>
      </c>
      <c r="AA2" s="16" t="str">
        <f>IFERROR(VLOOKUP(ListExtras[[#This Row],[R1 Name]],RelationTable[[Display]:[RELID]],2,0),IF(ListExtras[[#This Row],[LID]]=0,"nest_relation1",""))</f>
        <v>nest_relation1</v>
      </c>
      <c r="AB2" s="16" t="str">
        <f>IFERROR(VLOOKUP(ListExtras[[#This Row],[R2 Name]],RelationTable[[Display]:[RELID]],2,0),IF(ListExtras[[#This Row],[LID]]=0,"nest_relation2",""))</f>
        <v>nest_relation2</v>
      </c>
      <c r="AC2" s="16" t="str">
        <f>IFERROR(VLOOKUP(ListExtras[[#This Row],[R3 Name]],RelationTable[[Display]:[RELID]],2,0),IF(ListExtras[[#This Row],[LID]]=0,"nest_relation3",""))</f>
        <v>nest_relation3</v>
      </c>
      <c r="AE2" s="16" t="str">
        <f>'Table Seed Map'!$A$26&amp;"-"&amp;COUNTA($AG$1:ListSearch[[#This Row],[No]])-2</f>
        <v>List Search-0</v>
      </c>
      <c r="AF2" s="2"/>
      <c r="AG2" s="16" t="str">
        <f>IF(ListSearch[[#This Row],[List Name for Search]]="","id",IFERROR($AG1+1,IF(ISNUMBER(VLOOKUP('Table Seed Map'!$A$26,SeedMap[],9,0)),VLOOKUP('Table Seed Map'!$A$26,SeedMap[],9,0)+1,1)))</f>
        <v>id</v>
      </c>
      <c r="AH2" s="16" t="str">
        <f>IFERROR(VLOOKUP(ListSearch[[#This Row],[List Name for Search]],ResourceList[[ListDisplayName]:[No]],2,0),"resource_list")</f>
        <v>resource_list</v>
      </c>
      <c r="AI2" s="14" t="s">
        <v>442</v>
      </c>
      <c r="AJ2" s="16" t="str">
        <f>IF(ListSearch[[#This Row],[List Name for Search]]="","relation",IFERROR(VLOOKUP(ListSearch[[#This Row],[Relation]],RelationTable[[Display]:[RELID]],2,0),""))</f>
        <v>relation</v>
      </c>
      <c r="AK2" s="16" t="str">
        <f>IF(ListSearch[[#This Row],[List Name for Search]]="","nest_relation1",IFERROR(VLOOKUP(ListSearch[[#This Row],[Relation 1]],RelationTable[[Display]:[RELID]],2,0),""))</f>
        <v>nest_relation1</v>
      </c>
      <c r="AL2" s="16" t="str">
        <f>IF(ListSearch[[#This Row],[List Name for Search]]="","nest_relation2",IFERROR(VLOOKUP(ListSearch[[#This Row],[Relation 2]],RelationTable[[Display]:[RELID]],2,0),""))</f>
        <v>nest_relation2</v>
      </c>
      <c r="AM2" s="16" t="str">
        <f>IF(ListSearch[[#This Row],[List Name for Search]]="","nest_relation3",IFERROR(VLOOKUP(ListSearch[[#This Row],[Relation 3]],RelationTable[[Display]:[RELID]],2,0),""))</f>
        <v>nest_relation3</v>
      </c>
      <c r="AN2" s="14"/>
      <c r="AO2" s="14"/>
      <c r="AP2" s="14"/>
      <c r="AQ2" s="14"/>
      <c r="AS2" s="16" t="str">
        <f>'Table Seed Map'!$A$25&amp;"-"&amp;COUNTA($AU$1:ListLayout[[#This Row],[No]])-2</f>
        <v>List Layout-0</v>
      </c>
      <c r="AT2" s="2"/>
      <c r="AU2" s="16" t="str">
        <f>IF(ListLayout[[#This Row],[List Name for Layout]]="","id",COUNTA($AT$2:ListLayout[[#This Row],[List Name for Layout]])+IF(ISNUMBER(VLOOKUP('Table Seed Map'!$A$25,SeedMap[],9,0)),VLOOKUP('Table Seed Map'!$A$25,SeedMap[],9,0),0))</f>
        <v>id</v>
      </c>
      <c r="AV2" s="16" t="str">
        <f>IFERROR(VLOOKUP(ListLayout[[#This Row],[List Name for Layout]],ResourceList[[ListDisplayName]:[No]],2,0),"resource_list")</f>
        <v>resource_list</v>
      </c>
      <c r="AW2" s="16" t="s">
        <v>230</v>
      </c>
      <c r="AX2" s="14" t="s">
        <v>442</v>
      </c>
      <c r="AY2" s="16" t="str">
        <f>IF(ListLayout[[#This Row],[List Name for Layout]]="","relation",IFERROR(VLOOKUP(ListLayout[[#This Row],[Relation]],RelationTable[[Display]:[RELID]],2,0),""))</f>
        <v>relation</v>
      </c>
      <c r="AZ2" s="16" t="str">
        <f>IF(ListLayout[[#This Row],[List Name for Layout]]="","nest_relation1",IFERROR(VLOOKUP(ListLayout[[#This Row],[Relation 1]],RelationTable[[Display]:[RELID]],2,0),""))</f>
        <v>nest_relation1</v>
      </c>
      <c r="BA2" s="16" t="str">
        <f>IF(ListLayout[[#This Row],[List Name for Layout]]="","nest_relation2",IFERROR(VLOOKUP(ListLayout[[#This Row],[Relation 2]],RelationTable[[Display]:[RELID]],2,0),""))</f>
        <v>nest_relation2</v>
      </c>
      <c r="BB2" s="14"/>
      <c r="BC2" s="14"/>
      <c r="BD2" s="14"/>
    </row>
    <row r="3" spans="1:56">
      <c r="A3" s="9" t="str">
        <f>'Table Seed Map'!$A$22&amp;"-"&amp;COUNTA($B$1:ResourceList[[#This Row],[Resource Name]])-1</f>
        <v>Resource Lists-1</v>
      </c>
      <c r="B3" s="2" t="s">
        <v>174</v>
      </c>
      <c r="C3" s="9" t="str">
        <f>ResourceList[[#This Row],[Resource Name]]&amp;"/"&amp;ResourceList[[#This Row],[Name]]</f>
        <v>User/UsersList</v>
      </c>
      <c r="D3" s="16">
        <f>IF(ResourceList[[#This Row],[Resource Name]]="","id",COUNTA($B$2:ResourceList[[#This Row],[Resource Name]])+IF(ISNUMBER(VLOOKUP('Table Seed Map'!$A$22,SeedMap[],9,0)),VLOOKUP('Table Seed Map'!$A$22,SeedMap[],9,0),0))</f>
        <v>1</v>
      </c>
      <c r="E3" s="16">
        <f>IFERROR(VLOOKUP(ResourceList[[#This Row],[Resource Name]],ResourceTable[[RName]:[RID]],2,0),"resource")</f>
        <v>1</v>
      </c>
      <c r="F3" s="14" t="s">
        <v>810</v>
      </c>
      <c r="G3" s="14" t="s">
        <v>811</v>
      </c>
      <c r="H3" s="14" t="s">
        <v>180</v>
      </c>
      <c r="I3" s="14">
        <v>25</v>
      </c>
      <c r="J3" s="86">
        <f>[No]</f>
        <v>1</v>
      </c>
      <c r="L3" s="2" t="s">
        <v>936</v>
      </c>
      <c r="M3" s="9">
        <f>VLOOKUP(ListExtras[[#This Row],[List Name]],ResourceList[[ListDisplayName]:[No]],2,0)</f>
        <v>1</v>
      </c>
      <c r="N3" s="2"/>
      <c r="O3" s="2" t="s">
        <v>862</v>
      </c>
      <c r="P3" s="2"/>
      <c r="Q3" s="2"/>
      <c r="R3" s="2"/>
      <c r="S3" s="9" t="str">
        <f>'Table Seed Map'!$A$23&amp;"-"&amp;COUNT($V$1:ListExtras[[#This Row],[Scope ID]])</f>
        <v>List Scopes-0</v>
      </c>
      <c r="T3" s="16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3" s="16">
        <f>IF(ListExtras[[#This Row],[LID]]=0,"resource_list",ListExtras[[#This Row],[LID]])</f>
        <v>1</v>
      </c>
      <c r="V3" s="16" t="str">
        <f>IFERROR(VLOOKUP(ListExtras[[#This Row],[Scope Name]],ResourceScopes[[ScopesDisplayNames]:[No]],2,0),IF(ListExtras[[#This Row],[LID]]=0,"scope",""))</f>
        <v/>
      </c>
      <c r="W3" s="9" t="str">
        <f>'Table Seed Map'!$A$24&amp;"-"&amp;COUNT($Z$1:ListExtras[[#This Row],[Relation]])</f>
        <v>List Relation-1</v>
      </c>
      <c r="X3" s="16">
        <f>IF(ListExtras[[#This Row],[LID]]=0,"id",IF(ListExtras[[#This Row],[Relation]]="","",COUNT($Z$2:ListExtras[[#This Row],[Relation]])+IF(ISNUMBER(VLOOKUP('Table Seed Map'!$A$24,SeedMap[],9,0)),VLOOKUP('Table Seed Map'!$A$24,SeedMap[],9,0),0)))</f>
        <v>1</v>
      </c>
      <c r="Y3" s="16">
        <f>IF(ListExtras[[#This Row],[LID]]=0,"resource_list",ListExtras[[#This Row],[LID]])</f>
        <v>1</v>
      </c>
      <c r="Z3" s="16">
        <f>IFERROR(VLOOKUP(ListExtras[[#This Row],[Relation Name]],RelationTable[[Display]:[RELID]],2,0),IF(ListExtras[[#This Row],[LID]]=0,"relation",""))</f>
        <v>1</v>
      </c>
      <c r="AA3" s="16" t="str">
        <f>IFERROR(VLOOKUP(ListExtras[[#This Row],[R1 Name]],RelationTable[[Display]:[RELID]],2,0),IF(ListExtras[[#This Row],[LID]]=0,"nest_relation1",""))</f>
        <v/>
      </c>
      <c r="AB3" s="16" t="str">
        <f>IFERROR(VLOOKUP(ListExtras[[#This Row],[R2 Name]],RelationTable[[Display]:[RELID]],2,0),IF(ListExtras[[#This Row],[LID]]=0,"nest_relation2",""))</f>
        <v/>
      </c>
      <c r="AC3" s="16" t="str">
        <f>IFERROR(VLOOKUP(ListExtras[[#This Row],[R3 Name]],RelationTable[[Display]:[RELID]],2,0),IF(ListExtras[[#This Row],[LID]]=0,"nest_relation3",""))</f>
        <v/>
      </c>
      <c r="AS3" s="15" t="str">
        <f>'Table Seed Map'!$A$25&amp;"-"&amp;COUNTA($AU$1:ListLayout[[#This Row],[No]])-2</f>
        <v>List Layout-1</v>
      </c>
      <c r="AT3" s="1" t="s">
        <v>936</v>
      </c>
      <c r="AU3" s="15">
        <f>IF(ListLayout[[#This Row],[List Name for Layout]]="","id",COUNTA($AT$2:ListLayout[[#This Row],[List Name for Layout]])+IF(ISNUMBER(VLOOKUP('Table Seed Map'!$A$25,SeedMap[],9,0)),VLOOKUP('Table Seed Map'!$A$25,SeedMap[],9,0),0))</f>
        <v>1</v>
      </c>
      <c r="AV3" s="15">
        <f>IFERROR(VLOOKUP(ListLayout[[#This Row],[List Name for Layout]],ResourceList[[ListDisplayName]:[No]],2,0),"resource_list")</f>
        <v>1</v>
      </c>
      <c r="AW3" s="15" t="s">
        <v>1</v>
      </c>
      <c r="AX3" s="13" t="s">
        <v>26</v>
      </c>
      <c r="AY3" s="15" t="str">
        <f>IF(ListLayout[[#This Row],[List Name for Layout]]="","relation",IFERROR(VLOOKUP(ListLayout[[#This Row],[Relation]],RelationTable[[Display]:[RELID]],2,0),""))</f>
        <v/>
      </c>
      <c r="AZ3" s="15" t="str">
        <f>IF(ListLayout[[#This Row],[List Name for Layout]]="","nest_relation1",IFERROR(VLOOKUP(ListLayout[[#This Row],[Relation 1]],RelationTable[[Display]:[RELID]],2,0),""))</f>
        <v/>
      </c>
      <c r="BA3" s="15" t="str">
        <f>IF(ListLayout[[#This Row],[List Name for Layout]]="","nest_relation2",IFERROR(VLOOKUP(ListLayout[[#This Row],[Relation 2]],RelationTable[[Display]:[RELID]],2,0),""))</f>
        <v/>
      </c>
      <c r="BB3" s="13"/>
      <c r="BC3" s="13"/>
      <c r="BD3" s="13"/>
    </row>
    <row r="4" spans="1:56">
      <c r="A4" s="9" t="str">
        <f>'Table Seed Map'!$A$22&amp;"-"&amp;COUNTA($B$1:ResourceList[[#This Row],[Resource Name]])-1</f>
        <v>Resource Lists-2</v>
      </c>
      <c r="B4" s="2" t="s">
        <v>204</v>
      </c>
      <c r="C4" s="9" t="str">
        <f>ResourceList[[#This Row],[Resource Name]]&amp;"/"&amp;ResourceList[[#This Row],[Name]]</f>
        <v>Resource/ResourcesList</v>
      </c>
      <c r="D4" s="16">
        <f>IF(ResourceList[[#This Row],[Resource Name]]="","id",COUNTA($B$2:ResourceList[[#This Row],[Resource Name]])+IF(ISNUMBER(VLOOKUP('Table Seed Map'!$A$22,SeedMap[],9,0)),VLOOKUP('Table Seed Map'!$A$22,SeedMap[],9,0),0))</f>
        <v>2</v>
      </c>
      <c r="E4" s="16">
        <f>IFERROR(VLOOKUP(ResourceList[[#This Row],[Resource Name]],ResourceTable[[RName]:[RID]],2,0),"resource")</f>
        <v>4</v>
      </c>
      <c r="F4" s="14" t="s">
        <v>980</v>
      </c>
      <c r="G4" s="14" t="s">
        <v>981</v>
      </c>
      <c r="H4" s="14" t="s">
        <v>216</v>
      </c>
      <c r="I4" s="14">
        <v>100</v>
      </c>
      <c r="J4" s="86">
        <f>[No]</f>
        <v>2</v>
      </c>
      <c r="L4" s="2" t="s">
        <v>1126</v>
      </c>
      <c r="M4" s="7">
        <f>VLOOKUP(ListExtras[[#This Row],[List Name]],ResourceList[[ListDisplayName]:[No]],2,0)</f>
        <v>3</v>
      </c>
      <c r="N4" s="4"/>
      <c r="O4" s="4" t="s">
        <v>1131</v>
      </c>
      <c r="P4" s="4"/>
      <c r="Q4" s="4"/>
      <c r="R4" s="4"/>
      <c r="S4" s="7" t="str">
        <f>'Table Seed Map'!$A$23&amp;"-"&amp;COUNT($V$1:ListExtras[[#This Row],[Scope ID]])</f>
        <v>List Scopes-0</v>
      </c>
      <c r="T4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4" s="17">
        <f>IF(ListExtras[[#This Row],[LID]]=0,"resource_list",ListExtras[[#This Row],[LID]])</f>
        <v>3</v>
      </c>
      <c r="V4" s="17" t="str">
        <f>IFERROR(VLOOKUP(ListExtras[[#This Row],[Scope Name]],ResourceScopes[[ScopesDisplayNames]:[No]],2,0),IF(ListExtras[[#This Row],[LID]]=0,"scope",""))</f>
        <v/>
      </c>
      <c r="W4" s="7" t="str">
        <f>'Table Seed Map'!$A$24&amp;"-"&amp;COUNT($Z$1:ListExtras[[#This Row],[Relation]])</f>
        <v>List Relation-2</v>
      </c>
      <c r="X4" s="17">
        <f>IF(ListExtras[[#This Row],[LID]]=0,"id",IF(ListExtras[[#This Row],[Relation]]="","",COUNT($Z$2:ListExtras[[#This Row],[Relation]])+IF(ISNUMBER(VLOOKUP('Table Seed Map'!$A$24,SeedMap[],9,0)),VLOOKUP('Table Seed Map'!$A$24,SeedMap[],9,0),0)))</f>
        <v>2</v>
      </c>
      <c r="Y4" s="17">
        <f>IF(ListExtras[[#This Row],[LID]]=0,"resource_list",ListExtras[[#This Row],[LID]])</f>
        <v>3</v>
      </c>
      <c r="Z4" s="17">
        <f>IFERROR(VLOOKUP(ListExtras[[#This Row],[Relation Name]],RelationTable[[Display]:[RELID]],2,0),IF(ListExtras[[#This Row],[LID]]=0,"relation",""))</f>
        <v>11</v>
      </c>
      <c r="AA4" s="17" t="str">
        <f>IFERROR(VLOOKUP(ListExtras[[#This Row],[R1 Name]],RelationTable[[Display]:[RELID]],2,0),IF(ListExtras[[#This Row],[LID]]=0,"nest_relation1",""))</f>
        <v/>
      </c>
      <c r="AB4" s="17" t="str">
        <f>IFERROR(VLOOKUP(ListExtras[[#This Row],[R2 Name]],RelationTable[[Display]:[RELID]],2,0),IF(ListExtras[[#This Row],[LID]]=0,"nest_relation2",""))</f>
        <v/>
      </c>
      <c r="AC4" s="17" t="str">
        <f>IFERROR(VLOOKUP(ListExtras[[#This Row],[R3 Name]],RelationTable[[Display]:[RELID]],2,0),IF(ListExtras[[#This Row],[LID]]=0,"nest_relation3",""))</f>
        <v/>
      </c>
      <c r="AS4" s="15" t="str">
        <f>'Table Seed Map'!$A$25&amp;"-"&amp;COUNTA($AU$1:ListLayout[[#This Row],[No]])-2</f>
        <v>List Layout-2</v>
      </c>
      <c r="AT4" s="1" t="s">
        <v>936</v>
      </c>
      <c r="AU4" s="15">
        <f>IF(ListLayout[[#This Row],[List Name for Layout]]="","id",COUNTA($AT$2:ListLayout[[#This Row],[List Name for Layout]])+IF(ISNUMBER(VLOOKUP('Table Seed Map'!$A$25,SeedMap[],9,0)),VLOOKUP('Table Seed Map'!$A$25,SeedMap[],9,0),0))</f>
        <v>2</v>
      </c>
      <c r="AV4" s="15">
        <f>IFERROR(VLOOKUP(ListLayout[[#This Row],[List Name for Layout]],ResourceList[[ListDisplayName]:[No]],2,0),"resource_list")</f>
        <v>1</v>
      </c>
      <c r="AW4" s="15" t="s">
        <v>233</v>
      </c>
      <c r="AX4" s="13" t="s">
        <v>232</v>
      </c>
      <c r="AY4" s="15" t="str">
        <f>IF(ListLayout[[#This Row],[List Name for Layout]]="","relation",IFERROR(VLOOKUP(ListLayout[[#This Row],[Relation]],RelationTable[[Display]:[RELID]],2,0),""))</f>
        <v/>
      </c>
      <c r="AZ4" s="15" t="str">
        <f>IF(ListLayout[[#This Row],[List Name for Layout]]="","nest_relation1",IFERROR(VLOOKUP(ListLayout[[#This Row],[Relation 1]],RelationTable[[Display]:[RELID]],2,0),""))</f>
        <v/>
      </c>
      <c r="BA4" s="15" t="str">
        <f>IF(ListLayout[[#This Row],[List Name for Layout]]="","nest_relation2",IFERROR(VLOOKUP(ListLayout[[#This Row],[Relation 2]],RelationTable[[Display]:[RELID]],2,0),""))</f>
        <v/>
      </c>
      <c r="BB4" s="13"/>
      <c r="BC4" s="13"/>
      <c r="BD4" s="13"/>
    </row>
    <row r="5" spans="1:56">
      <c r="A5" s="7" t="str">
        <f>'Table Seed Map'!$A$22&amp;"-"&amp;COUNTA($B$1:ResourceList[[#This Row],[Resource Name]])-1</f>
        <v>Resource Lists-3</v>
      </c>
      <c r="B5" s="2" t="s">
        <v>256</v>
      </c>
      <c r="C5" s="7" t="str">
        <f>ResourceList[[#This Row],[Resource Name]]&amp;"/"&amp;ResourceList[[#This Row],[Name]]</f>
        <v>ResourceAction/ActionsList</v>
      </c>
      <c r="D5" s="17">
        <f>IF(ResourceList[[#This Row],[Resource Name]]="","id",COUNTA($B$2:ResourceList[[#This Row],[Resource Name]])+IF(ISNUMBER(VLOOKUP('Table Seed Map'!$A$22,SeedMap[],9,0)),VLOOKUP('Table Seed Map'!$A$22,SeedMap[],9,0),0))</f>
        <v>3</v>
      </c>
      <c r="E5" s="17">
        <f>IFERROR(VLOOKUP(ResourceList[[#This Row],[Resource Name]],ResourceTable[[RName]:[RID]],2,0),"resource")</f>
        <v>30</v>
      </c>
      <c r="F5" s="31" t="s">
        <v>1118</v>
      </c>
      <c r="G5" s="31" t="s">
        <v>1119</v>
      </c>
      <c r="H5" s="31" t="s">
        <v>253</v>
      </c>
      <c r="I5" s="31">
        <v>100</v>
      </c>
      <c r="J5" s="108">
        <f>[No]</f>
        <v>3</v>
      </c>
      <c r="L5" s="2" t="s">
        <v>1126</v>
      </c>
      <c r="M5" s="7">
        <f>VLOOKUP(ListExtras[[#This Row],[List Name]],ResourceList[[ListDisplayName]:[No]],2,0)</f>
        <v>3</v>
      </c>
      <c r="N5" s="4"/>
      <c r="O5" s="4" t="s">
        <v>1084</v>
      </c>
      <c r="P5" s="4"/>
      <c r="Q5" s="4"/>
      <c r="R5" s="4"/>
      <c r="S5" s="7" t="str">
        <f>'Table Seed Map'!$A$23&amp;"-"&amp;COUNT($V$1:ListExtras[[#This Row],[Scope ID]])</f>
        <v>List Scopes-0</v>
      </c>
      <c r="T5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5" s="17">
        <f>IF(ListExtras[[#This Row],[LID]]=0,"resource_list",ListExtras[[#This Row],[LID]])</f>
        <v>3</v>
      </c>
      <c r="V5" s="17" t="str">
        <f>IFERROR(VLOOKUP(ListExtras[[#This Row],[Scope Name]],ResourceScopes[[ScopesDisplayNames]:[No]],2,0),IF(ListExtras[[#This Row],[LID]]=0,"scope",""))</f>
        <v/>
      </c>
      <c r="W5" s="7" t="str">
        <f>'Table Seed Map'!$A$24&amp;"-"&amp;COUNT($Z$1:ListExtras[[#This Row],[Relation]])</f>
        <v>List Relation-3</v>
      </c>
      <c r="X5" s="17">
        <f>IF(ListExtras[[#This Row],[LID]]=0,"id",IF(ListExtras[[#This Row],[Relation]]="","",COUNT($Z$2:ListExtras[[#This Row],[Relation]])+IF(ISNUMBER(VLOOKUP('Table Seed Map'!$A$24,SeedMap[],9,0)),VLOOKUP('Table Seed Map'!$A$24,SeedMap[],9,0),0)))</f>
        <v>3</v>
      </c>
      <c r="Y5" s="17">
        <f>IF(ListExtras[[#This Row],[LID]]=0,"resource_list",ListExtras[[#This Row],[LID]])</f>
        <v>3</v>
      </c>
      <c r="Z5" s="17">
        <f>IFERROR(VLOOKUP(ListExtras[[#This Row],[Relation Name]],RelationTable[[Display]:[RELID]],2,0),IF(ListExtras[[#This Row],[LID]]=0,"relation",""))</f>
        <v>8</v>
      </c>
      <c r="AA5" s="17" t="str">
        <f>IFERROR(VLOOKUP(ListExtras[[#This Row],[R1 Name]],RelationTable[[Display]:[RELID]],2,0),IF(ListExtras[[#This Row],[LID]]=0,"nest_relation1",""))</f>
        <v/>
      </c>
      <c r="AB5" s="17" t="str">
        <f>IFERROR(VLOOKUP(ListExtras[[#This Row],[R2 Name]],RelationTable[[Display]:[RELID]],2,0),IF(ListExtras[[#This Row],[LID]]=0,"nest_relation2",""))</f>
        <v/>
      </c>
      <c r="AC5" s="17" t="str">
        <f>IFERROR(VLOOKUP(ListExtras[[#This Row],[R3 Name]],RelationTable[[Display]:[RELID]],2,0),IF(ListExtras[[#This Row],[LID]]=0,"nest_relation3",""))</f>
        <v/>
      </c>
      <c r="AS5" s="16" t="str">
        <f>'Table Seed Map'!$A$25&amp;"-"&amp;COUNTA($AU$1:ListLayout[[#This Row],[No]])-2</f>
        <v>List Layout-3</v>
      </c>
      <c r="AT5" s="1" t="s">
        <v>936</v>
      </c>
      <c r="AU5" s="16">
        <f>IF(ListLayout[[#This Row],[List Name for Layout]]="","id",COUNTA($AT$2:ListLayout[[#This Row],[List Name for Layout]])+IF(ISNUMBER(VLOOKUP('Table Seed Map'!$A$25,SeedMap[],9,0)),VLOOKUP('Table Seed Map'!$A$25,SeedMap[],9,0),0))</f>
        <v>3</v>
      </c>
      <c r="AV5" s="16">
        <f>IFERROR(VLOOKUP(ListLayout[[#This Row],[List Name for Layout]],ResourceList[[ListDisplayName]:[No]],2,0),"resource_list")</f>
        <v>1</v>
      </c>
      <c r="AW5" s="16" t="s">
        <v>177</v>
      </c>
      <c r="AX5" s="14" t="s">
        <v>30</v>
      </c>
      <c r="AY5" s="16">
        <f>IF(ListLayout[[#This Row],[List Name for Layout]]="","relation",IFERROR(VLOOKUP(ListLayout[[#This Row],[Relation]],RelationTable[[Display]:[RELID]],2,0),""))</f>
        <v>1</v>
      </c>
      <c r="AZ5" s="16" t="str">
        <f>IF(ListLayout[[#This Row],[List Name for Layout]]="","nest_relation1",IFERROR(VLOOKUP(ListLayout[[#This Row],[Relation 1]],RelationTable[[Display]:[RELID]],2,0),""))</f>
        <v/>
      </c>
      <c r="BA5" s="16" t="str">
        <f>IF(ListLayout[[#This Row],[List Name for Layout]]="","nest_relation2",IFERROR(VLOOKUP(ListLayout[[#This Row],[Relation 2]],RelationTable[[Display]:[RELID]],2,0),""))</f>
        <v/>
      </c>
      <c r="BB5" s="14" t="s">
        <v>862</v>
      </c>
      <c r="BC5" s="14"/>
      <c r="BD5" s="14"/>
    </row>
    <row r="6" spans="1:56">
      <c r="A6" s="7" t="str">
        <f>'Table Seed Map'!$A$22&amp;"-"&amp;COUNTA($B$1:ResourceList[[#This Row],[Resource Name]])-1</f>
        <v>Resource Lists-4</v>
      </c>
      <c r="B6" s="2" t="s">
        <v>311</v>
      </c>
      <c r="C6" s="7" t="str">
        <f>ResourceList[[#This Row],[Resource Name]]&amp;"/"&amp;ResourceList[[#This Row],[Name]]</f>
        <v>ResourceForm/FormsList</v>
      </c>
      <c r="D6" s="17">
        <f>IF(ResourceList[[#This Row],[Resource Name]]="","id",COUNTA($B$2:ResourceList[[#This Row],[Resource Name]])+IF(ISNUMBER(VLOOKUP('Table Seed Map'!$A$22,SeedMap[],9,0)),VLOOKUP('Table Seed Map'!$A$22,SeedMap[],9,0),0))</f>
        <v>4</v>
      </c>
      <c r="E6" s="17">
        <f>IFERROR(VLOOKUP(ResourceList[[#This Row],[Resource Name]],ResourceTable[[RName]:[RID]],2,0),"resource")</f>
        <v>8</v>
      </c>
      <c r="F6" s="31" t="s">
        <v>1120</v>
      </c>
      <c r="G6" s="31" t="s">
        <v>1121</v>
      </c>
      <c r="H6" s="31" t="s">
        <v>313</v>
      </c>
      <c r="I6" s="31">
        <v>100</v>
      </c>
      <c r="J6" s="108">
        <f>[No]</f>
        <v>4</v>
      </c>
      <c r="L6" s="2" t="s">
        <v>1128</v>
      </c>
      <c r="M6" s="7">
        <f>VLOOKUP(ListExtras[[#This Row],[List Name]],ResourceList[[ListDisplayName]:[No]],2,0)</f>
        <v>4</v>
      </c>
      <c r="N6" s="4"/>
      <c r="O6" s="4" t="s">
        <v>1132</v>
      </c>
      <c r="P6" s="4"/>
      <c r="Q6" s="4"/>
      <c r="R6" s="4"/>
      <c r="S6" s="7" t="str">
        <f>'Table Seed Map'!$A$23&amp;"-"&amp;COUNT($V$1:ListExtras[[#This Row],[Scope ID]])</f>
        <v>List Scopes-0</v>
      </c>
      <c r="T6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6" s="17">
        <f>IF(ListExtras[[#This Row],[LID]]=0,"resource_list",ListExtras[[#This Row],[LID]])</f>
        <v>4</v>
      </c>
      <c r="V6" s="17" t="str">
        <f>IFERROR(VLOOKUP(ListExtras[[#This Row],[Scope Name]],ResourceScopes[[ScopesDisplayNames]:[No]],2,0),IF(ListExtras[[#This Row],[LID]]=0,"scope",""))</f>
        <v/>
      </c>
      <c r="W6" s="7" t="str">
        <f>'Table Seed Map'!$A$24&amp;"-"&amp;COUNT($Z$1:ListExtras[[#This Row],[Relation]])</f>
        <v>List Relation-4</v>
      </c>
      <c r="X6" s="17">
        <f>IF(ListExtras[[#This Row],[LID]]=0,"id",IF(ListExtras[[#This Row],[Relation]]="","",COUNT($Z$2:ListExtras[[#This Row],[Relation]])+IF(ISNUMBER(VLOOKUP('Table Seed Map'!$A$24,SeedMap[],9,0)),VLOOKUP('Table Seed Map'!$A$24,SeedMap[],9,0),0)))</f>
        <v>4</v>
      </c>
      <c r="Y6" s="17">
        <f>IF(ListExtras[[#This Row],[LID]]=0,"resource_list",ListExtras[[#This Row],[LID]])</f>
        <v>4</v>
      </c>
      <c r="Z6" s="17">
        <f>IFERROR(VLOOKUP(ListExtras[[#This Row],[Relation Name]],RelationTable[[Display]:[RELID]],2,0),IF(ListExtras[[#This Row],[LID]]=0,"relation",""))</f>
        <v>19</v>
      </c>
      <c r="AA6" s="17" t="str">
        <f>IFERROR(VLOOKUP(ListExtras[[#This Row],[R1 Name]],RelationTable[[Display]:[RELID]],2,0),IF(ListExtras[[#This Row],[LID]]=0,"nest_relation1",""))</f>
        <v/>
      </c>
      <c r="AB6" s="17" t="str">
        <f>IFERROR(VLOOKUP(ListExtras[[#This Row],[R2 Name]],RelationTable[[Display]:[RELID]],2,0),IF(ListExtras[[#This Row],[LID]]=0,"nest_relation2",""))</f>
        <v/>
      </c>
      <c r="AC6" s="17" t="str">
        <f>IFERROR(VLOOKUP(ListExtras[[#This Row],[R3 Name]],RelationTable[[Display]:[RELID]],2,0),IF(ListExtras[[#This Row],[LID]]=0,"nest_relation3",""))</f>
        <v/>
      </c>
      <c r="AS6" s="16" t="str">
        <f>'Table Seed Map'!$A$25&amp;"-"&amp;COUNTA($AU$1:ListLayout[[#This Row],[No]])-2</f>
        <v>List Layout-4</v>
      </c>
      <c r="AT6" s="2" t="s">
        <v>982</v>
      </c>
      <c r="AU6" s="16">
        <f>IF(ListLayout[[#This Row],[List Name for Layout]]="","id",COUNTA($AT$2:ListLayout[[#This Row],[List Name for Layout]])+IF(ISNUMBER(VLOOKUP('Table Seed Map'!$A$25,SeedMap[],9,0)),VLOOKUP('Table Seed Map'!$A$25,SeedMap[],9,0),0))</f>
        <v>4</v>
      </c>
      <c r="AV6" s="16">
        <f>IFERROR(VLOOKUP(ListLayout[[#This Row],[List Name for Layout]],ResourceList[[ListDisplayName]:[No]],2,0),"resource_list")</f>
        <v>2</v>
      </c>
      <c r="AW6" s="16" t="s">
        <v>785</v>
      </c>
      <c r="AX6" s="14" t="s">
        <v>21</v>
      </c>
      <c r="AY6" s="16" t="str">
        <f>IF(ListLayout[[#This Row],[List Name for Layout]]="","relation",IFERROR(VLOOKUP(ListLayout[[#This Row],[Relation]],RelationTable[[Display]:[RELID]],2,0),""))</f>
        <v/>
      </c>
      <c r="AZ6" s="16" t="str">
        <f>IF(ListLayout[[#This Row],[List Name for Layout]]="","nest_relation1",IFERROR(VLOOKUP(ListLayout[[#This Row],[Relation 1]],RelationTable[[Display]:[RELID]],2,0),""))</f>
        <v/>
      </c>
      <c r="BA6" s="16" t="str">
        <f>IF(ListLayout[[#This Row],[List Name for Layout]]="","nest_relation2",IFERROR(VLOOKUP(ListLayout[[#This Row],[Relation 2]],RelationTable[[Display]:[RELID]],2,0),""))</f>
        <v/>
      </c>
      <c r="BB6" s="14"/>
      <c r="BC6" s="14"/>
      <c r="BD6" s="14"/>
    </row>
    <row r="7" spans="1:56">
      <c r="A7" s="7" t="str">
        <f>'Table Seed Map'!$A$22&amp;"-"&amp;COUNTA($B$1:ResourceList[[#This Row],[Resource Name]])-1</f>
        <v>Resource Lists-5</v>
      </c>
      <c r="B7" s="2" t="s">
        <v>407</v>
      </c>
      <c r="C7" s="7" t="str">
        <f>ResourceList[[#This Row],[Resource Name]]&amp;"/"&amp;ResourceList[[#This Row],[Name]]</f>
        <v>ResourceList/ListsList</v>
      </c>
      <c r="D7" s="17">
        <f>IF(ResourceList[[#This Row],[Resource Name]]="","id",COUNTA($B$2:ResourceList[[#This Row],[Resource Name]])+IF(ISNUMBER(VLOOKUP('Table Seed Map'!$A$22,SeedMap[],9,0)),VLOOKUP('Table Seed Map'!$A$22,SeedMap[],9,0),0))</f>
        <v>5</v>
      </c>
      <c r="E7" s="17">
        <f>IFERROR(VLOOKUP(ResourceList[[#This Row],[Resource Name]],ResourceTable[[RName]:[RID]],2,0),"resource")</f>
        <v>20</v>
      </c>
      <c r="F7" s="31" t="s">
        <v>1122</v>
      </c>
      <c r="G7" s="31" t="s">
        <v>1123</v>
      </c>
      <c r="H7" s="31" t="s">
        <v>300</v>
      </c>
      <c r="I7" s="31">
        <v>100</v>
      </c>
      <c r="J7" s="108">
        <f>[No]</f>
        <v>5</v>
      </c>
      <c r="L7" s="2" t="s">
        <v>1127</v>
      </c>
      <c r="M7" s="7">
        <f>VLOOKUP(ListExtras[[#This Row],[List Name]],ResourceList[[ListDisplayName]:[No]],2,0)</f>
        <v>5</v>
      </c>
      <c r="N7" s="4"/>
      <c r="O7" s="4" t="s">
        <v>1134</v>
      </c>
      <c r="P7" s="4"/>
      <c r="Q7" s="4"/>
      <c r="R7" s="4"/>
      <c r="S7" s="7" t="str">
        <f>'Table Seed Map'!$A$23&amp;"-"&amp;COUNT($V$1:ListExtras[[#This Row],[Scope ID]])</f>
        <v>List Scopes-0</v>
      </c>
      <c r="T7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7" s="17">
        <f>IF(ListExtras[[#This Row],[LID]]=0,"resource_list",ListExtras[[#This Row],[LID]])</f>
        <v>5</v>
      </c>
      <c r="V7" s="17" t="str">
        <f>IFERROR(VLOOKUP(ListExtras[[#This Row],[Scope Name]],ResourceScopes[[ScopesDisplayNames]:[No]],2,0),IF(ListExtras[[#This Row],[LID]]=0,"scope",""))</f>
        <v/>
      </c>
      <c r="W7" s="7" t="str">
        <f>'Table Seed Map'!$A$24&amp;"-"&amp;COUNT($Z$1:ListExtras[[#This Row],[Relation]])</f>
        <v>List Relation-5</v>
      </c>
      <c r="X7" s="17">
        <f>IF(ListExtras[[#This Row],[LID]]=0,"id",IF(ListExtras[[#This Row],[Relation]]="","",COUNT($Z$2:ListExtras[[#This Row],[Relation]])+IF(ISNUMBER(VLOOKUP('Table Seed Map'!$A$24,SeedMap[],9,0)),VLOOKUP('Table Seed Map'!$A$24,SeedMap[],9,0),0)))</f>
        <v>5</v>
      </c>
      <c r="Y7" s="17">
        <f>IF(ListExtras[[#This Row],[LID]]=0,"resource_list",ListExtras[[#This Row],[LID]])</f>
        <v>5</v>
      </c>
      <c r="Z7" s="17">
        <f>IFERROR(VLOOKUP(ListExtras[[#This Row],[Relation Name]],RelationTable[[Display]:[RELID]],2,0),IF(ListExtras[[#This Row],[LID]]=0,"relation",""))</f>
        <v>25</v>
      </c>
      <c r="AA7" s="17" t="str">
        <f>IFERROR(VLOOKUP(ListExtras[[#This Row],[R1 Name]],RelationTable[[Display]:[RELID]],2,0),IF(ListExtras[[#This Row],[LID]]=0,"nest_relation1",""))</f>
        <v/>
      </c>
      <c r="AB7" s="17" t="str">
        <f>IFERROR(VLOOKUP(ListExtras[[#This Row],[R2 Name]],RelationTable[[Display]:[RELID]],2,0),IF(ListExtras[[#This Row],[LID]]=0,"nest_relation2",""))</f>
        <v/>
      </c>
      <c r="AC7" s="17" t="str">
        <f>IFERROR(VLOOKUP(ListExtras[[#This Row],[R3 Name]],RelationTable[[Display]:[RELID]],2,0),IF(ListExtras[[#This Row],[LID]]=0,"nest_relation3",""))</f>
        <v/>
      </c>
      <c r="AS7" s="16" t="str">
        <f>'Table Seed Map'!$A$25&amp;"-"&amp;COUNTA($AU$1:ListLayout[[#This Row],[No]])-2</f>
        <v>List Layout-5</v>
      </c>
      <c r="AT7" s="2" t="s">
        <v>982</v>
      </c>
      <c r="AU7" s="16">
        <f>IF(ListLayout[[#This Row],[List Name for Layout]]="","id",COUNTA($AT$2:ListLayout[[#This Row],[List Name for Layout]])+IF(ISNUMBER(VLOOKUP('Table Seed Map'!$A$25,SeedMap[],9,0)),VLOOKUP('Table Seed Map'!$A$25,SeedMap[],9,0),0))</f>
        <v>5</v>
      </c>
      <c r="AV7" s="16">
        <f>IFERROR(VLOOKUP(ListLayout[[#This Row],[List Name for Layout]],ResourceList[[ListDisplayName]:[No]],2,0),"resource_list")</f>
        <v>2</v>
      </c>
      <c r="AW7" s="16" t="s">
        <v>1</v>
      </c>
      <c r="AX7" s="14" t="s">
        <v>26</v>
      </c>
      <c r="AY7" s="16" t="str">
        <f>IF(ListLayout[[#This Row],[List Name for Layout]]="","relation",IFERROR(VLOOKUP(ListLayout[[#This Row],[Relation]],RelationTable[[Display]:[RELID]],2,0),""))</f>
        <v/>
      </c>
      <c r="AZ7" s="16" t="str">
        <f>IF(ListLayout[[#This Row],[List Name for Layout]]="","nest_relation1",IFERROR(VLOOKUP(ListLayout[[#This Row],[Relation 1]],RelationTable[[Display]:[RELID]],2,0),""))</f>
        <v/>
      </c>
      <c r="BA7" s="16" t="str">
        <f>IF(ListLayout[[#This Row],[List Name for Layout]]="","nest_relation2",IFERROR(VLOOKUP(ListLayout[[#This Row],[Relation 2]],RelationTable[[Display]:[RELID]],2,0),""))</f>
        <v/>
      </c>
      <c r="BB7" s="14"/>
      <c r="BC7" s="14"/>
      <c r="BD7" s="14"/>
    </row>
    <row r="8" spans="1:56">
      <c r="A8" s="7" t="str">
        <f>'Table Seed Map'!$A$22&amp;"-"&amp;COUNTA($B$1:ResourceList[[#This Row],[Resource Name]])-1</f>
        <v>Resource Lists-6</v>
      </c>
      <c r="B8" s="2" t="s">
        <v>430</v>
      </c>
      <c r="C8" s="7" t="str">
        <f>ResourceList[[#This Row],[Resource Name]]&amp;"/"&amp;ResourceList[[#This Row],[Name]]</f>
        <v>ResourceData/DataList</v>
      </c>
      <c r="D8" s="17">
        <f>IF(ResourceList[[#This Row],[Resource Name]]="","id",COUNTA($B$2:ResourceList[[#This Row],[Resource Name]])+IF(ISNUMBER(VLOOKUP('Table Seed Map'!$A$22,SeedMap[],9,0)),VLOOKUP('Table Seed Map'!$A$22,SeedMap[],9,0),0))</f>
        <v>6</v>
      </c>
      <c r="E8" s="17">
        <f>IFERROR(VLOOKUP(ResourceList[[#This Row],[Resource Name]],ResourceTable[[RName]:[RID]],2,0),"resource")</f>
        <v>25</v>
      </c>
      <c r="F8" s="31" t="s">
        <v>1124</v>
      </c>
      <c r="G8" s="31" t="s">
        <v>1125</v>
      </c>
      <c r="H8" s="31" t="s">
        <v>302</v>
      </c>
      <c r="I8" s="31">
        <v>100</v>
      </c>
      <c r="J8" s="108">
        <f>[No]</f>
        <v>6</v>
      </c>
      <c r="L8" s="2" t="s">
        <v>1135</v>
      </c>
      <c r="M8" s="7">
        <f>VLOOKUP(ListExtras[[#This Row],[List Name]],ResourceList[[ListDisplayName]:[No]],2,0)</f>
        <v>6</v>
      </c>
      <c r="N8" s="4"/>
      <c r="O8" s="4" t="s">
        <v>1136</v>
      </c>
      <c r="P8" s="4"/>
      <c r="Q8" s="4"/>
      <c r="R8" s="4"/>
      <c r="S8" s="7" t="str">
        <f>'Table Seed Map'!$A$23&amp;"-"&amp;COUNT($V$1:ListExtras[[#This Row],[Scope ID]])</f>
        <v>List Scopes-0</v>
      </c>
      <c r="T8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8" s="17">
        <f>IF(ListExtras[[#This Row],[LID]]=0,"resource_list",ListExtras[[#This Row],[LID]])</f>
        <v>6</v>
      </c>
      <c r="V8" s="17" t="str">
        <f>IFERROR(VLOOKUP(ListExtras[[#This Row],[Scope Name]],ResourceScopes[[ScopesDisplayNames]:[No]],2,0),IF(ListExtras[[#This Row],[LID]]=0,"scope",""))</f>
        <v/>
      </c>
      <c r="W8" s="7" t="str">
        <f>'Table Seed Map'!$A$24&amp;"-"&amp;COUNT($Z$1:ListExtras[[#This Row],[Relation]])</f>
        <v>List Relation-6</v>
      </c>
      <c r="X8" s="17">
        <f>IF(ListExtras[[#This Row],[LID]]=0,"id",IF(ListExtras[[#This Row],[Relation]]="","",COUNT($Z$2:ListExtras[[#This Row],[Relation]])+IF(ISNUMBER(VLOOKUP('Table Seed Map'!$A$24,SeedMap[],9,0)),VLOOKUP('Table Seed Map'!$A$24,SeedMap[],9,0),0)))</f>
        <v>6</v>
      </c>
      <c r="Y8" s="17">
        <f>IF(ListExtras[[#This Row],[LID]]=0,"resource_list",ListExtras[[#This Row],[LID]])</f>
        <v>6</v>
      </c>
      <c r="Z8" s="17">
        <f>IFERROR(VLOOKUP(ListExtras[[#This Row],[Relation Name]],RelationTable[[Display]:[RELID]],2,0),IF(ListExtras[[#This Row],[LID]]=0,"relation",""))</f>
        <v>30</v>
      </c>
      <c r="AA8" s="17" t="str">
        <f>IFERROR(VLOOKUP(ListExtras[[#This Row],[R1 Name]],RelationTable[[Display]:[RELID]],2,0),IF(ListExtras[[#This Row],[LID]]=0,"nest_relation1",""))</f>
        <v/>
      </c>
      <c r="AB8" s="17" t="str">
        <f>IFERROR(VLOOKUP(ListExtras[[#This Row],[R2 Name]],RelationTable[[Display]:[RELID]],2,0),IF(ListExtras[[#This Row],[LID]]=0,"nest_relation2",""))</f>
        <v/>
      </c>
      <c r="AC8" s="17" t="str">
        <f>IFERROR(VLOOKUP(ListExtras[[#This Row],[R3 Name]],RelationTable[[Display]:[RELID]],2,0),IF(ListExtras[[#This Row],[LID]]=0,"nest_relation3",""))</f>
        <v/>
      </c>
      <c r="AS8" s="16" t="str">
        <f>'Table Seed Map'!$A$25&amp;"-"&amp;COUNTA($AU$1:ListLayout[[#This Row],[No]])-2</f>
        <v>List Layout-6</v>
      </c>
      <c r="AT8" s="2" t="s">
        <v>982</v>
      </c>
      <c r="AU8" s="16">
        <f>IF(ListLayout[[#This Row],[List Name for Layout]]="","id",COUNTA($AT$2:ListLayout[[#This Row],[List Name for Layout]])+IF(ISNUMBER(VLOOKUP('Table Seed Map'!$A$25,SeedMap[],9,0)),VLOOKUP('Table Seed Map'!$A$25,SeedMap[],9,0),0))</f>
        <v>6</v>
      </c>
      <c r="AV8" s="16">
        <f>IFERROR(VLOOKUP(ListLayout[[#This Row],[List Name for Layout]],ResourceList[[ListDisplayName]:[No]],2,0),"resource_list")</f>
        <v>2</v>
      </c>
      <c r="AW8" s="16" t="s">
        <v>236</v>
      </c>
      <c r="AX8" s="14" t="s">
        <v>30</v>
      </c>
      <c r="AY8" s="16" t="str">
        <f>IF(ListLayout[[#This Row],[List Name for Layout]]="","relation",IFERROR(VLOOKUP(ListLayout[[#This Row],[Relation]],RelationTable[[Display]:[RELID]],2,0),""))</f>
        <v/>
      </c>
      <c r="AZ8" s="16" t="str">
        <f>IF(ListLayout[[#This Row],[List Name for Layout]]="","nest_relation1",IFERROR(VLOOKUP(ListLayout[[#This Row],[Relation 1]],RelationTable[[Display]:[RELID]],2,0),""))</f>
        <v/>
      </c>
      <c r="BA8" s="16" t="str">
        <f>IF(ListLayout[[#This Row],[List Name for Layout]]="","nest_relation2",IFERROR(VLOOKUP(ListLayout[[#This Row],[Relation 2]],RelationTable[[Display]:[RELID]],2,0),""))</f>
        <v/>
      </c>
      <c r="BB8" s="14"/>
      <c r="BC8" s="14"/>
      <c r="BD8" s="14"/>
    </row>
    <row r="9" spans="1:56">
      <c r="A9" s="7" t="str">
        <f>'Table Seed Map'!$A$22&amp;"-"&amp;COUNTA($B$1:ResourceList[[#This Row],[Resource Name]])-1</f>
        <v>Resource Lists-7</v>
      </c>
      <c r="B9" s="2" t="s">
        <v>315</v>
      </c>
      <c r="C9" s="7" t="str">
        <f>ResourceList[[#This Row],[Resource Name]]&amp;"/"&amp;ResourceList[[#This Row],[Name]]</f>
        <v>ResourceFormField/FieldsList</v>
      </c>
      <c r="D9" s="17">
        <f>IF(ResourceList[[#This Row],[Resource Name]]="","id",COUNTA($B$2:ResourceList[[#This Row],[Resource Name]])+IF(ISNUMBER(VLOOKUP('Table Seed Map'!$A$22,SeedMap[],9,0)),VLOOKUP('Table Seed Map'!$A$22,SeedMap[],9,0),0))</f>
        <v>7</v>
      </c>
      <c r="E9" s="17">
        <f>IFERROR(VLOOKUP(ResourceList[[#This Row],[Resource Name]],ResourceTable[[RName]:[RID]],2,0),"resource")</f>
        <v>9</v>
      </c>
      <c r="F9" s="31" t="s">
        <v>1167</v>
      </c>
      <c r="G9" s="31" t="s">
        <v>1168</v>
      </c>
      <c r="H9" s="31" t="s">
        <v>342</v>
      </c>
      <c r="I9" s="31">
        <v>20</v>
      </c>
      <c r="J9" s="108">
        <f>[No]</f>
        <v>7</v>
      </c>
      <c r="L9" s="2" t="s">
        <v>1169</v>
      </c>
      <c r="M9" s="7">
        <f>VLOOKUP(ListExtras[[#This Row],[List Name]],ResourceList[[ListDisplayName]:[No]],2,0)</f>
        <v>7</v>
      </c>
      <c r="N9" s="4"/>
      <c r="O9" s="31" t="s">
        <v>1170</v>
      </c>
      <c r="P9" s="4"/>
      <c r="Q9" s="4"/>
      <c r="R9" s="4"/>
      <c r="S9" s="7" t="str">
        <f>'Table Seed Map'!$A$23&amp;"-"&amp;COUNT($V$1:ListExtras[[#This Row],[Scope ID]])</f>
        <v>List Scopes-0</v>
      </c>
      <c r="T9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9" s="17">
        <f>IF(ListExtras[[#This Row],[LID]]=0,"resource_list",ListExtras[[#This Row],[LID]])</f>
        <v>7</v>
      </c>
      <c r="V9" s="17" t="str">
        <f>IFERROR(VLOOKUP(ListExtras[[#This Row],[Scope Name]],ResourceScopes[[ScopesDisplayNames]:[No]],2,0),IF(ListExtras[[#This Row],[LID]]=0,"scope",""))</f>
        <v/>
      </c>
      <c r="W9" s="7" t="str">
        <f>'Table Seed Map'!$A$24&amp;"-"&amp;COUNT($Z$1:ListExtras[[#This Row],[Relation]])</f>
        <v>List Relation-7</v>
      </c>
      <c r="X9" s="17">
        <f>IF(ListExtras[[#This Row],[LID]]=0,"id",IF(ListExtras[[#This Row],[Relation]]="","",COUNT($Z$2:ListExtras[[#This Row],[Relation]])+IF(ISNUMBER(VLOOKUP('Table Seed Map'!$A$24,SeedMap[],9,0)),VLOOKUP('Table Seed Map'!$A$24,SeedMap[],9,0),0)))</f>
        <v>7</v>
      </c>
      <c r="Y9" s="17">
        <f>IF(ListExtras[[#This Row],[LID]]=0,"resource_list",ListExtras[[#This Row],[LID]])</f>
        <v>7</v>
      </c>
      <c r="Z9" s="17">
        <f>IFERROR(VLOOKUP(ListExtras[[#This Row],[Relation Name]],RelationTable[[Display]:[RELID]],2,0),IF(ListExtras[[#This Row],[LID]]=0,"relation",""))</f>
        <v>42</v>
      </c>
      <c r="AA9" s="17" t="str">
        <f>IFERROR(VLOOKUP(ListExtras[[#This Row],[R1 Name]],RelationTable[[Display]:[RELID]],2,0),IF(ListExtras[[#This Row],[LID]]=0,"nest_relation1",""))</f>
        <v/>
      </c>
      <c r="AB9" s="17" t="str">
        <f>IFERROR(VLOOKUP(ListExtras[[#This Row],[R2 Name]],RelationTable[[Display]:[RELID]],2,0),IF(ListExtras[[#This Row],[LID]]=0,"nest_relation2",""))</f>
        <v/>
      </c>
      <c r="AC9" s="17" t="str">
        <f>IFERROR(VLOOKUP(ListExtras[[#This Row],[R3 Name]],RelationTable[[Display]:[RELID]],2,0),IF(ListExtras[[#This Row],[LID]]=0,"nest_relation3",""))</f>
        <v/>
      </c>
      <c r="AS9" s="17" t="str">
        <f>'Table Seed Map'!$A$25&amp;"-"&amp;COUNTA($AU$1:ListLayout[[#This Row],[No]])-2</f>
        <v>List Layout-7</v>
      </c>
      <c r="AT9" s="2" t="s">
        <v>1126</v>
      </c>
      <c r="AU9" s="17">
        <f>IF(ListLayout[[#This Row],[List Name for Layout]]="","id",COUNTA($AT$2:ListLayout[[#This Row],[List Name for Layout]])+IF(ISNUMBER(VLOOKUP('Table Seed Map'!$A$25,SeedMap[],9,0)),VLOOKUP('Table Seed Map'!$A$25,SeedMap[],9,0),0))</f>
        <v>7</v>
      </c>
      <c r="AV9" s="17">
        <f>IFERROR(VLOOKUP(ListLayout[[#This Row],[List Name for Layout]],ResourceList[[ListDisplayName]:[No]],2,0),"resource_list")</f>
        <v>3</v>
      </c>
      <c r="AW9" s="17" t="s">
        <v>785</v>
      </c>
      <c r="AX9" s="31" t="s">
        <v>21</v>
      </c>
      <c r="AY9" s="17" t="str">
        <f>IF(ListLayout[[#This Row],[List Name for Layout]]="","relation",IFERROR(VLOOKUP(ListLayout[[#This Row],[Relation]],RelationTable[[Display]:[RELID]],2,0),""))</f>
        <v/>
      </c>
      <c r="AZ9" s="17" t="str">
        <f>IF(ListLayout[[#This Row],[List Name for Layout]]="","nest_relation1",IFERROR(VLOOKUP(ListLayout[[#This Row],[Relation 1]],RelationTable[[Display]:[RELID]],2,0),""))</f>
        <v/>
      </c>
      <c r="BA9" s="17" t="str">
        <f>IF(ListLayout[[#This Row],[List Name for Layout]]="","nest_relation2",IFERROR(VLOOKUP(ListLayout[[#This Row],[Relation 2]],RelationTable[[Display]:[RELID]],2,0),""))</f>
        <v/>
      </c>
      <c r="BB9" s="31"/>
      <c r="BC9" s="31"/>
      <c r="BD9" s="31"/>
    </row>
    <row r="10" spans="1:56">
      <c r="A10" s="7" t="str">
        <f>'Table Seed Map'!$A$22&amp;"-"&amp;COUNTA($B$1:ResourceList[[#This Row],[Resource Name]])-1</f>
        <v>Resource Lists-8</v>
      </c>
      <c r="B10" s="2" t="s">
        <v>474</v>
      </c>
      <c r="C10" s="7" t="str">
        <f>ResourceList[[#This Row],[Resource Name]]&amp;"/"&amp;ResourceList[[#This Row],[Name]]</f>
        <v>ResourceFormLayout/FormLayout</v>
      </c>
      <c r="D10" s="17">
        <f>IF(ResourceList[[#This Row],[Resource Name]]="","id",COUNTA($B$2:ResourceList[[#This Row],[Resource Name]])+IF(ISNUMBER(VLOOKUP('Table Seed Map'!$A$22,SeedMap[],9,0)),VLOOKUP('Table Seed Map'!$A$22,SeedMap[],9,0),0))</f>
        <v>8</v>
      </c>
      <c r="E10" s="17">
        <f>IFERROR(VLOOKUP(ResourceList[[#This Row],[Resource Name]],ResourceTable[[RName]:[RID]],2,0),"resource")</f>
        <v>16</v>
      </c>
      <c r="F10" s="31" t="s">
        <v>1177</v>
      </c>
      <c r="G10" s="31" t="s">
        <v>1178</v>
      </c>
      <c r="H10" s="31" t="s">
        <v>476</v>
      </c>
      <c r="I10" s="31">
        <v>20</v>
      </c>
      <c r="J10" s="108">
        <f>[No]</f>
        <v>8</v>
      </c>
      <c r="L10" s="2" t="s">
        <v>1179</v>
      </c>
      <c r="M10" s="7">
        <f>VLOOKUP(ListExtras[[#This Row],[List Name]],ResourceList[[ListDisplayName]:[No]],2,0)</f>
        <v>8</v>
      </c>
      <c r="N10" s="4"/>
      <c r="O10" s="4" t="s">
        <v>1184</v>
      </c>
      <c r="P10" s="31" t="s">
        <v>1170</v>
      </c>
      <c r="Q10" s="4"/>
      <c r="R10" s="4"/>
      <c r="S10" s="7" t="str">
        <f>'Table Seed Map'!$A$23&amp;"-"&amp;COUNT($V$1:ListExtras[[#This Row],[Scope ID]])</f>
        <v>List Scopes-0</v>
      </c>
      <c r="T10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10" s="17">
        <f>IF(ListExtras[[#This Row],[LID]]=0,"resource_list",ListExtras[[#This Row],[LID]])</f>
        <v>8</v>
      </c>
      <c r="V10" s="17" t="str">
        <f>IFERROR(VLOOKUP(ListExtras[[#This Row],[Scope Name]],ResourceScopes[[ScopesDisplayNames]:[No]],2,0),IF(ListExtras[[#This Row],[LID]]=0,"scope",""))</f>
        <v/>
      </c>
      <c r="W10" s="7" t="str">
        <f>'Table Seed Map'!$A$24&amp;"-"&amp;COUNT($Z$1:ListExtras[[#This Row],[Relation]])</f>
        <v>List Relation-8</v>
      </c>
      <c r="X10" s="17">
        <f>IF(ListExtras[[#This Row],[LID]]=0,"id",IF(ListExtras[[#This Row],[Relation]]="","",COUNT($Z$2:ListExtras[[#This Row],[Relation]])+IF(ISNUMBER(VLOOKUP('Table Seed Map'!$A$24,SeedMap[],9,0)),VLOOKUP('Table Seed Map'!$A$24,SeedMap[],9,0),0)))</f>
        <v>8</v>
      </c>
      <c r="Y10" s="17">
        <f>IF(ListExtras[[#This Row],[LID]]=0,"resource_list",ListExtras[[#This Row],[LID]])</f>
        <v>8</v>
      </c>
      <c r="Z10" s="17">
        <f>IFERROR(VLOOKUP(ListExtras[[#This Row],[Relation Name]],RelationTable[[Display]:[RELID]],2,0),IF(ListExtras[[#This Row],[LID]]=0,"relation",""))</f>
        <v>59</v>
      </c>
      <c r="AA10" s="17">
        <f>IFERROR(VLOOKUP(ListExtras[[#This Row],[R1 Name]],RelationTable[[Display]:[RELID]],2,0),IF(ListExtras[[#This Row],[LID]]=0,"nest_relation1",""))</f>
        <v>42</v>
      </c>
      <c r="AB10" s="17" t="str">
        <f>IFERROR(VLOOKUP(ListExtras[[#This Row],[R2 Name]],RelationTable[[Display]:[RELID]],2,0),IF(ListExtras[[#This Row],[LID]]=0,"nest_relation2",""))</f>
        <v/>
      </c>
      <c r="AC10" s="17" t="str">
        <f>IFERROR(VLOOKUP(ListExtras[[#This Row],[R3 Name]],RelationTable[[Display]:[RELID]],2,0),IF(ListExtras[[#This Row],[LID]]=0,"nest_relation3",""))</f>
        <v/>
      </c>
      <c r="AS10" s="17" t="str">
        <f>'Table Seed Map'!$A$25&amp;"-"&amp;COUNTA($AU$1:ListLayout[[#This Row],[No]])-2</f>
        <v>List Layout-8</v>
      </c>
      <c r="AT10" s="2" t="s">
        <v>1126</v>
      </c>
      <c r="AU10" s="17">
        <f>IF(ListLayout[[#This Row],[List Name for Layout]]="","id",COUNTA($AT$2:ListLayout[[#This Row],[List Name for Layout]])+IF(ISNUMBER(VLOOKUP('Table Seed Map'!$A$25,SeedMap[],9,0)),VLOOKUP('Table Seed Map'!$A$25,SeedMap[],9,0),0))</f>
        <v>8</v>
      </c>
      <c r="AV10" s="17">
        <f>IFERROR(VLOOKUP(ListLayout[[#This Row],[List Name for Layout]],ResourceList[[ListDisplayName]:[No]],2,0),"resource_list")</f>
        <v>3</v>
      </c>
      <c r="AW10" s="32" t="s">
        <v>204</v>
      </c>
      <c r="AX10" s="33" t="s">
        <v>26</v>
      </c>
      <c r="AY10" s="17">
        <f>IF(ListLayout[[#This Row],[List Name for Layout]]="","relation",IFERROR(VLOOKUP(ListLayout[[#This Row],[Relation]],RelationTable[[Display]:[RELID]],2,0),""))</f>
        <v>11</v>
      </c>
      <c r="AZ10" s="17" t="str">
        <f>IF(ListLayout[[#This Row],[List Name for Layout]]="","nest_relation1",IFERROR(VLOOKUP(ListLayout[[#This Row],[Relation 1]],RelationTable[[Display]:[RELID]],2,0),""))</f>
        <v/>
      </c>
      <c r="BA10" s="17" t="str">
        <f>IF(ListLayout[[#This Row],[List Name for Layout]]="","nest_relation2",IFERROR(VLOOKUP(ListLayout[[#This Row],[Relation 2]],RelationTable[[Display]:[RELID]],2,0),""))</f>
        <v/>
      </c>
      <c r="BB10" s="31" t="s">
        <v>1131</v>
      </c>
      <c r="BC10" s="31"/>
      <c r="BD10" s="31"/>
    </row>
    <row r="11" spans="1:56">
      <c r="A11" s="7" t="str">
        <f>'Table Seed Map'!$A$22&amp;"-"&amp;COUNTA($B$1:ResourceList[[#This Row],[Resource Name]])-1</f>
        <v>Resource Lists-9</v>
      </c>
      <c r="B11" s="2" t="s">
        <v>511</v>
      </c>
      <c r="C11" s="7" t="str">
        <f>ResourceList[[#This Row],[Resource Name]]&amp;"/"&amp;ResourceList[[#This Row],[Name]]</f>
        <v>ResourceFormCollection/FormCollections</v>
      </c>
      <c r="D11" s="17">
        <f>IF(ResourceList[[#This Row],[Resource Name]]="","id",COUNTA($B$2:ResourceList[[#This Row],[Resource Name]])+IF(ISNUMBER(VLOOKUP('Table Seed Map'!$A$22,SeedMap[],9,0)),VLOOKUP('Table Seed Map'!$A$22,SeedMap[],9,0),0))</f>
        <v>9</v>
      </c>
      <c r="E11" s="17">
        <f>IFERROR(VLOOKUP(ResourceList[[#This Row],[Resource Name]],ResourceTable[[RName]:[RID]],2,0),"resource")</f>
        <v>17</v>
      </c>
      <c r="F11" s="31" t="s">
        <v>1193</v>
      </c>
      <c r="G11" s="31" t="s">
        <v>1194</v>
      </c>
      <c r="H11" s="31" t="s">
        <v>1195</v>
      </c>
      <c r="I11" s="31">
        <v>5</v>
      </c>
      <c r="J11" s="108">
        <f>[No]</f>
        <v>9</v>
      </c>
      <c r="L11" s="2" t="s">
        <v>1196</v>
      </c>
      <c r="M11" s="7">
        <f>VLOOKUP(ListExtras[[#This Row],[List Name]],ResourceList[[ListDisplayName]:[No]],2,0)</f>
        <v>9</v>
      </c>
      <c r="N11" s="4"/>
      <c r="O11" s="4" t="s">
        <v>1197</v>
      </c>
      <c r="P11" s="4"/>
      <c r="Q11" s="4"/>
      <c r="R11" s="4"/>
      <c r="S11" s="7" t="str">
        <f>'Table Seed Map'!$A$23&amp;"-"&amp;COUNT($V$1:ListExtras[[#This Row],[Scope ID]])</f>
        <v>List Scopes-0</v>
      </c>
      <c r="T11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11" s="17">
        <f>IF(ListExtras[[#This Row],[LID]]=0,"resource_list",ListExtras[[#This Row],[LID]])</f>
        <v>9</v>
      </c>
      <c r="V11" s="17" t="str">
        <f>IFERROR(VLOOKUP(ListExtras[[#This Row],[Scope Name]],ResourceScopes[[ScopesDisplayNames]:[No]],2,0),IF(ListExtras[[#This Row],[LID]]=0,"scope",""))</f>
        <v/>
      </c>
      <c r="W11" s="7" t="str">
        <f>'Table Seed Map'!$A$24&amp;"-"&amp;COUNT($Z$1:ListExtras[[#This Row],[Relation]])</f>
        <v>List Relation-9</v>
      </c>
      <c r="X11" s="17">
        <f>IF(ListExtras[[#This Row],[LID]]=0,"id",IF(ListExtras[[#This Row],[Relation]]="","",COUNT($Z$2:ListExtras[[#This Row],[Relation]])+IF(ISNUMBER(VLOOKUP('Table Seed Map'!$A$24,SeedMap[],9,0)),VLOOKUP('Table Seed Map'!$A$24,SeedMap[],9,0),0)))</f>
        <v>9</v>
      </c>
      <c r="Y11" s="17">
        <f>IF(ListExtras[[#This Row],[LID]]=0,"resource_list",ListExtras[[#This Row],[LID]])</f>
        <v>9</v>
      </c>
      <c r="Z11" s="17">
        <f>IFERROR(VLOOKUP(ListExtras[[#This Row],[Relation Name]],RelationTable[[Display]:[RELID]],2,0),IF(ListExtras[[#This Row],[LID]]=0,"relation",""))</f>
        <v>39</v>
      </c>
      <c r="AA11" s="17" t="str">
        <f>IFERROR(VLOOKUP(ListExtras[[#This Row],[R1 Name]],RelationTable[[Display]:[RELID]],2,0),IF(ListExtras[[#This Row],[LID]]=0,"nest_relation1",""))</f>
        <v/>
      </c>
      <c r="AB11" s="17" t="str">
        <f>IFERROR(VLOOKUP(ListExtras[[#This Row],[R2 Name]],RelationTable[[Display]:[RELID]],2,0),IF(ListExtras[[#This Row],[LID]]=0,"nest_relation2",""))</f>
        <v/>
      </c>
      <c r="AC11" s="17" t="str">
        <f>IFERROR(VLOOKUP(ListExtras[[#This Row],[R3 Name]],RelationTable[[Display]:[RELID]],2,0),IF(ListExtras[[#This Row],[LID]]=0,"nest_relation3",""))</f>
        <v/>
      </c>
      <c r="AS11" s="17" t="str">
        <f>'Table Seed Map'!$A$25&amp;"-"&amp;COUNTA($AU$1:ListLayout[[#This Row],[No]])-2</f>
        <v>List Layout-9</v>
      </c>
      <c r="AT11" s="2" t="s">
        <v>1126</v>
      </c>
      <c r="AU11" s="17">
        <f>IF(ListLayout[[#This Row],[List Name for Layout]]="","id",COUNTA($AT$2:ListLayout[[#This Row],[List Name for Layout]])+IF(ISNUMBER(VLOOKUP('Table Seed Map'!$A$25,SeedMap[],9,0)),VLOOKUP('Table Seed Map'!$A$25,SeedMap[],9,0),0))</f>
        <v>9</v>
      </c>
      <c r="AV11" s="17">
        <f>IFERROR(VLOOKUP(ListLayout[[#This Row],[List Name for Layout]],ResourceList[[ListDisplayName]:[No]],2,0),"resource_list")</f>
        <v>3</v>
      </c>
      <c r="AW11" s="17" t="s">
        <v>1</v>
      </c>
      <c r="AX11" s="31" t="s">
        <v>26</v>
      </c>
      <c r="AY11" s="17" t="str">
        <f>IF(ListLayout[[#This Row],[List Name for Layout]]="","relation",IFERROR(VLOOKUP(ListLayout[[#This Row],[Relation]],RelationTable[[Display]:[RELID]],2,0),""))</f>
        <v/>
      </c>
      <c r="AZ11" s="17" t="str">
        <f>IF(ListLayout[[#This Row],[List Name for Layout]]="","nest_relation1",IFERROR(VLOOKUP(ListLayout[[#This Row],[Relation 1]],RelationTable[[Display]:[RELID]],2,0),""))</f>
        <v/>
      </c>
      <c r="BA11" s="17" t="str">
        <f>IF(ListLayout[[#This Row],[List Name for Layout]]="","nest_relation2",IFERROR(VLOOKUP(ListLayout[[#This Row],[Relation 2]],RelationTable[[Display]:[RELID]],2,0),""))</f>
        <v/>
      </c>
      <c r="BB11" s="31"/>
      <c r="BC11" s="31"/>
      <c r="BD11" s="31"/>
    </row>
    <row r="12" spans="1:56">
      <c r="A12" s="7" t="str">
        <f>'Table Seed Map'!$A$22&amp;"-"&amp;COUNTA($B$1:ResourceList[[#This Row],[Resource Name]])-1</f>
        <v>Resource Lists-10</v>
      </c>
      <c r="B12" s="2" t="s">
        <v>411</v>
      </c>
      <c r="C12" s="7" t="str">
        <f>ResourceList[[#This Row],[Resource Name]]&amp;"/"&amp;ResourceList[[#This Row],[Name]]</f>
        <v>ResourceListRelation/ListRelations</v>
      </c>
      <c r="D12" s="17">
        <f>IF(ResourceList[[#This Row],[Resource Name]]="","id",COUNTA($B$2:ResourceList[[#This Row],[Resource Name]])+IF(ISNUMBER(VLOOKUP('Table Seed Map'!$A$22,SeedMap[],9,0)),VLOOKUP('Table Seed Map'!$A$22,SeedMap[],9,0),0))</f>
        <v>10</v>
      </c>
      <c r="E12" s="17">
        <f>IFERROR(VLOOKUP(ResourceList[[#This Row],[Resource Name]],ResourceTable[[RName]:[RID]],2,0),"resource")</f>
        <v>21</v>
      </c>
      <c r="F12" s="31" t="s">
        <v>1208</v>
      </c>
      <c r="G12" s="31" t="s">
        <v>1209</v>
      </c>
      <c r="H12" s="31" t="s">
        <v>413</v>
      </c>
      <c r="I12" s="31">
        <v>10</v>
      </c>
      <c r="J12" s="108">
        <f>[No]</f>
        <v>10</v>
      </c>
      <c r="L12" s="2" t="s">
        <v>1196</v>
      </c>
      <c r="M12" s="7">
        <f>VLOOKUP(ListExtras[[#This Row],[List Name]],ResourceList[[ListDisplayName]:[No]],2,0)</f>
        <v>9</v>
      </c>
      <c r="N12" s="4"/>
      <c r="O12" s="4" t="s">
        <v>1198</v>
      </c>
      <c r="P12" s="4"/>
      <c r="Q12" s="4"/>
      <c r="R12" s="4"/>
      <c r="S12" s="7" t="str">
        <f>'Table Seed Map'!$A$23&amp;"-"&amp;COUNT($V$1:ListExtras[[#This Row],[Scope ID]])</f>
        <v>List Scopes-0</v>
      </c>
      <c r="T12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12" s="17">
        <f>IF(ListExtras[[#This Row],[LID]]=0,"resource_list",ListExtras[[#This Row],[LID]])</f>
        <v>9</v>
      </c>
      <c r="V12" s="17" t="str">
        <f>IFERROR(VLOOKUP(ListExtras[[#This Row],[Scope Name]],ResourceScopes[[ScopesDisplayNames]:[No]],2,0),IF(ListExtras[[#This Row],[LID]]=0,"scope",""))</f>
        <v/>
      </c>
      <c r="W12" s="7" t="str">
        <f>'Table Seed Map'!$A$24&amp;"-"&amp;COUNT($Z$1:ListExtras[[#This Row],[Relation]])</f>
        <v>List Relation-10</v>
      </c>
      <c r="X12" s="17">
        <f>IF(ListExtras[[#This Row],[LID]]=0,"id",IF(ListExtras[[#This Row],[Relation]]="","",COUNT($Z$2:ListExtras[[#This Row],[Relation]])+IF(ISNUMBER(VLOOKUP('Table Seed Map'!$A$24,SeedMap[],9,0)),VLOOKUP('Table Seed Map'!$A$24,SeedMap[],9,0),0)))</f>
        <v>10</v>
      </c>
      <c r="Y12" s="17">
        <f>IF(ListExtras[[#This Row],[LID]]=0,"resource_list",ListExtras[[#This Row],[LID]])</f>
        <v>9</v>
      </c>
      <c r="Z12" s="17">
        <f>IFERROR(VLOOKUP(ListExtras[[#This Row],[Relation Name]],RelationTable[[Display]:[RELID]],2,0),IF(ListExtras[[#This Row],[LID]]=0,"relation",""))</f>
        <v>40</v>
      </c>
      <c r="AA12" s="17" t="str">
        <f>IFERROR(VLOOKUP(ListExtras[[#This Row],[R1 Name]],RelationTable[[Display]:[RELID]],2,0),IF(ListExtras[[#This Row],[LID]]=0,"nest_relation1",""))</f>
        <v/>
      </c>
      <c r="AB12" s="17" t="str">
        <f>IFERROR(VLOOKUP(ListExtras[[#This Row],[R2 Name]],RelationTable[[Display]:[RELID]],2,0),IF(ListExtras[[#This Row],[LID]]=0,"nest_relation2",""))</f>
        <v/>
      </c>
      <c r="AC12" s="17" t="str">
        <f>IFERROR(VLOOKUP(ListExtras[[#This Row],[R3 Name]],RelationTable[[Display]:[RELID]],2,0),IF(ListExtras[[#This Row],[LID]]=0,"nest_relation3",""))</f>
        <v/>
      </c>
      <c r="AS12" s="17" t="str">
        <f>'Table Seed Map'!$A$25&amp;"-"&amp;COUNTA($AU$1:ListLayout[[#This Row],[No]])-2</f>
        <v>List Layout-10</v>
      </c>
      <c r="AT12" s="2" t="s">
        <v>1126</v>
      </c>
      <c r="AU12" s="17">
        <f>IF(ListLayout[[#This Row],[List Name for Layout]]="","id",COUNTA($AT$2:ListLayout[[#This Row],[List Name for Layout]])+IF(ISNUMBER(VLOOKUP('Table Seed Map'!$A$25,SeedMap[],9,0)),VLOOKUP('Table Seed Map'!$A$25,SeedMap[],9,0),0))</f>
        <v>10</v>
      </c>
      <c r="AV12" s="17">
        <f>IFERROR(VLOOKUP(ListLayout[[#This Row],[List Name for Layout]],ResourceList[[ListDisplayName]:[No]],2,0),"resource_list")</f>
        <v>3</v>
      </c>
      <c r="AW12" s="17" t="s">
        <v>236</v>
      </c>
      <c r="AX12" s="31" t="s">
        <v>30</v>
      </c>
      <c r="AY12" s="17" t="str">
        <f>IF(ListLayout[[#This Row],[List Name for Layout]]="","relation",IFERROR(VLOOKUP(ListLayout[[#This Row],[Relation]],RelationTable[[Display]:[RELID]],2,0),""))</f>
        <v/>
      </c>
      <c r="AZ12" s="17" t="str">
        <f>IF(ListLayout[[#This Row],[List Name for Layout]]="","nest_relation1",IFERROR(VLOOKUP(ListLayout[[#This Row],[Relation 1]],RelationTable[[Display]:[RELID]],2,0),""))</f>
        <v/>
      </c>
      <c r="BA12" s="17" t="str">
        <f>IF(ListLayout[[#This Row],[List Name for Layout]]="","nest_relation2",IFERROR(VLOOKUP(ListLayout[[#This Row],[Relation 2]],RelationTable[[Display]:[RELID]],2,0),""))</f>
        <v/>
      </c>
      <c r="BB12" s="31"/>
      <c r="BC12" s="31"/>
      <c r="BD12" s="31"/>
    </row>
    <row r="13" spans="1:56">
      <c r="A13" s="7" t="str">
        <f>'Table Seed Map'!$A$22&amp;"-"&amp;COUNTA($B$1:ResourceList[[#This Row],[Resource Name]])-1</f>
        <v>Resource Lists-11</v>
      </c>
      <c r="B13" s="2" t="s">
        <v>417</v>
      </c>
      <c r="C13" s="7" t="str">
        <f>ResourceList[[#This Row],[Resource Name]]&amp;"/"&amp;ResourceList[[#This Row],[Name]]</f>
        <v>ResourceListScope/ListScopes</v>
      </c>
      <c r="D13" s="17">
        <f>IF(ResourceList[[#This Row],[Resource Name]]="","id",COUNTA($B$2:ResourceList[[#This Row],[Resource Name]])+IF(ISNUMBER(VLOOKUP('Table Seed Map'!$A$22,SeedMap[],9,0)),VLOOKUP('Table Seed Map'!$A$22,SeedMap[],9,0),0))</f>
        <v>11</v>
      </c>
      <c r="E13" s="17">
        <f>IFERROR(VLOOKUP(ResourceList[[#This Row],[Resource Name]],ResourceTable[[RName]:[RID]],2,0),"resource")</f>
        <v>22</v>
      </c>
      <c r="F13" s="31" t="s">
        <v>1210</v>
      </c>
      <c r="G13" s="31" t="s">
        <v>1211</v>
      </c>
      <c r="H13" s="31" t="s">
        <v>419</v>
      </c>
      <c r="I13" s="31">
        <v>10</v>
      </c>
      <c r="J13" s="108">
        <f>[No]</f>
        <v>11</v>
      </c>
      <c r="L13" s="2" t="s">
        <v>1196</v>
      </c>
      <c r="M13" s="7">
        <f>VLOOKUP(ListExtras[[#This Row],[List Name]],ResourceList[[ListDisplayName]:[No]],2,0)</f>
        <v>9</v>
      </c>
      <c r="N13" s="4"/>
      <c r="O13" s="4" t="s">
        <v>1199</v>
      </c>
      <c r="P13" s="4"/>
      <c r="Q13" s="4"/>
      <c r="R13" s="4"/>
      <c r="S13" s="7" t="str">
        <f>'Table Seed Map'!$A$23&amp;"-"&amp;COUNT($V$1:ListExtras[[#This Row],[Scope ID]])</f>
        <v>List Scopes-0</v>
      </c>
      <c r="T13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13" s="17">
        <f>IF(ListExtras[[#This Row],[LID]]=0,"resource_list",ListExtras[[#This Row],[LID]])</f>
        <v>9</v>
      </c>
      <c r="V13" s="17" t="str">
        <f>IFERROR(VLOOKUP(ListExtras[[#This Row],[Scope Name]],ResourceScopes[[ScopesDisplayNames]:[No]],2,0),IF(ListExtras[[#This Row],[LID]]=0,"scope",""))</f>
        <v/>
      </c>
      <c r="W13" s="7" t="str">
        <f>'Table Seed Map'!$A$24&amp;"-"&amp;COUNT($Z$1:ListExtras[[#This Row],[Relation]])</f>
        <v>List Relation-11</v>
      </c>
      <c r="X13" s="17">
        <f>IF(ListExtras[[#This Row],[LID]]=0,"id",IF(ListExtras[[#This Row],[Relation]]="","",COUNT($Z$2:ListExtras[[#This Row],[Relation]])+IF(ISNUMBER(VLOOKUP('Table Seed Map'!$A$24,SeedMap[],9,0)),VLOOKUP('Table Seed Map'!$A$24,SeedMap[],9,0),0)))</f>
        <v>11</v>
      </c>
      <c r="Y13" s="17">
        <f>IF(ListExtras[[#This Row],[LID]]=0,"resource_list",ListExtras[[#This Row],[LID]])</f>
        <v>9</v>
      </c>
      <c r="Z13" s="17">
        <f>IFERROR(VLOOKUP(ListExtras[[#This Row],[Relation Name]],RelationTable[[Display]:[RELID]],2,0),IF(ListExtras[[#This Row],[LID]]=0,"relation",""))</f>
        <v>60</v>
      </c>
      <c r="AA13" s="17" t="str">
        <f>IFERROR(VLOOKUP(ListExtras[[#This Row],[R1 Name]],RelationTable[[Display]:[RELID]],2,0),IF(ListExtras[[#This Row],[LID]]=0,"nest_relation1",""))</f>
        <v/>
      </c>
      <c r="AB13" s="17" t="str">
        <f>IFERROR(VLOOKUP(ListExtras[[#This Row],[R2 Name]],RelationTable[[Display]:[RELID]],2,0),IF(ListExtras[[#This Row],[LID]]=0,"nest_relation2",""))</f>
        <v/>
      </c>
      <c r="AC13" s="17" t="str">
        <f>IFERROR(VLOOKUP(ListExtras[[#This Row],[R3 Name]],RelationTable[[Display]:[RELID]],2,0),IF(ListExtras[[#This Row],[LID]]=0,"nest_relation3",""))</f>
        <v/>
      </c>
      <c r="AS13" s="17" t="str">
        <f>'Table Seed Map'!$A$25&amp;"-"&amp;COUNTA($AU$1:ListLayout[[#This Row],[No]])-2</f>
        <v>List Layout-11</v>
      </c>
      <c r="AT13" s="2" t="s">
        <v>1126</v>
      </c>
      <c r="AU13" s="17">
        <f>IF(ListLayout[[#This Row],[List Name for Layout]]="","id",COUNTA($AT$2:ListLayout[[#This Row],[List Name for Layout]])+IF(ISNUMBER(VLOOKUP('Table Seed Map'!$A$25,SeedMap[],9,0)),VLOOKUP('Table Seed Map'!$A$25,SeedMap[],9,0),0))</f>
        <v>11</v>
      </c>
      <c r="AV13" s="17">
        <f>IFERROR(VLOOKUP(ListLayout[[#This Row],[List Name for Layout]],ResourceList[[ListDisplayName]:[No]],2,0),"resource_list")</f>
        <v>3</v>
      </c>
      <c r="AW13" s="17" t="s">
        <v>268</v>
      </c>
      <c r="AX13" s="31" t="s">
        <v>266</v>
      </c>
      <c r="AY13" s="17" t="str">
        <f>IF(ListLayout[[#This Row],[List Name for Layout]]="","relation",IFERROR(VLOOKUP(ListLayout[[#This Row],[Relation]],RelationTable[[Display]:[RELID]],2,0),""))</f>
        <v/>
      </c>
      <c r="AZ13" s="17" t="str">
        <f>IF(ListLayout[[#This Row],[List Name for Layout]]="","nest_relation1",IFERROR(VLOOKUP(ListLayout[[#This Row],[Relation 1]],RelationTable[[Display]:[RELID]],2,0),""))</f>
        <v/>
      </c>
      <c r="BA13" s="17" t="str">
        <f>IF(ListLayout[[#This Row],[List Name for Layout]]="","nest_relation2",IFERROR(VLOOKUP(ListLayout[[#This Row],[Relation 2]],RelationTable[[Display]:[RELID]],2,0),""))</f>
        <v/>
      </c>
      <c r="BB13" s="31"/>
      <c r="BC13" s="31"/>
      <c r="BD13" s="31"/>
    </row>
    <row r="14" spans="1:56">
      <c r="A14" s="7" t="str">
        <f>'Table Seed Map'!$A$22&amp;"-"&amp;COUNTA($B$1:ResourceList[[#This Row],[Resource Name]])-1</f>
        <v>Resource Lists-12</v>
      </c>
      <c r="B14" s="2" t="s">
        <v>443</v>
      </c>
      <c r="C14" s="7" t="str">
        <f>ResourceList[[#This Row],[Resource Name]]&amp;"/"&amp;ResourceList[[#This Row],[Name]]</f>
        <v>ResourceListLayout/ListLayout</v>
      </c>
      <c r="D14" s="17">
        <f>IF(ResourceList[[#This Row],[Resource Name]]="","id",COUNTA($B$2:ResourceList[[#This Row],[Resource Name]])+IF(ISNUMBER(VLOOKUP('Table Seed Map'!$A$22,SeedMap[],9,0)),VLOOKUP('Table Seed Map'!$A$22,SeedMap[],9,0),0))</f>
        <v>12</v>
      </c>
      <c r="E14" s="17">
        <f>IFERROR(VLOOKUP(ResourceList[[#This Row],[Resource Name]],ResourceTable[[RName]:[RID]],2,0),"resource")</f>
        <v>23</v>
      </c>
      <c r="F14" s="31" t="s">
        <v>948</v>
      </c>
      <c r="G14" s="31" t="s">
        <v>1212</v>
      </c>
      <c r="H14" s="31" t="s">
        <v>445</v>
      </c>
      <c r="I14" s="31">
        <v>20</v>
      </c>
      <c r="J14" s="108">
        <f>[No]</f>
        <v>12</v>
      </c>
      <c r="L14" s="2" t="s">
        <v>1223</v>
      </c>
      <c r="M14" s="7">
        <f>VLOOKUP(ListExtras[[#This Row],[List Name]],ResourceList[[ListDisplayName]:[No]],2,0)</f>
        <v>10</v>
      </c>
      <c r="N14" s="4"/>
      <c r="O14" s="4" t="s">
        <v>1224</v>
      </c>
      <c r="P14" s="4"/>
      <c r="Q14" s="4"/>
      <c r="R14" s="4"/>
      <c r="S14" s="7" t="str">
        <f>'Table Seed Map'!$A$23&amp;"-"&amp;COUNT($V$1:ListExtras[[#This Row],[Scope ID]])</f>
        <v>List Scopes-0</v>
      </c>
      <c r="T14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14" s="17">
        <f>IF(ListExtras[[#This Row],[LID]]=0,"resource_list",ListExtras[[#This Row],[LID]])</f>
        <v>10</v>
      </c>
      <c r="V14" s="17" t="str">
        <f>IFERROR(VLOOKUP(ListExtras[[#This Row],[Scope Name]],ResourceScopes[[ScopesDisplayNames]:[No]],2,0),IF(ListExtras[[#This Row],[LID]]=0,"scope",""))</f>
        <v/>
      </c>
      <c r="W14" s="7" t="str">
        <f>'Table Seed Map'!$A$24&amp;"-"&amp;COUNT($Z$1:ListExtras[[#This Row],[Relation]])</f>
        <v>List Relation-12</v>
      </c>
      <c r="X14" s="17">
        <f>IF(ListExtras[[#This Row],[LID]]=0,"id",IF(ListExtras[[#This Row],[Relation]]="","",COUNT($Z$2:ListExtras[[#This Row],[Relation]])+IF(ISNUMBER(VLOOKUP('Table Seed Map'!$A$24,SeedMap[],9,0)),VLOOKUP('Table Seed Map'!$A$24,SeedMap[],9,0),0)))</f>
        <v>12</v>
      </c>
      <c r="Y14" s="17">
        <f>IF(ListExtras[[#This Row],[LID]]=0,"resource_list",ListExtras[[#This Row],[LID]])</f>
        <v>10</v>
      </c>
      <c r="Z14" s="17">
        <f>IFERROR(VLOOKUP(ListExtras[[#This Row],[Relation Name]],RelationTable[[Display]:[RELID]],2,0),IF(ListExtras[[#This Row],[LID]]=0,"relation",""))</f>
        <v>61</v>
      </c>
      <c r="AA14" s="17" t="str">
        <f>IFERROR(VLOOKUP(ListExtras[[#This Row],[R1 Name]],RelationTable[[Display]:[RELID]],2,0),IF(ListExtras[[#This Row],[LID]]=0,"nest_relation1",""))</f>
        <v/>
      </c>
      <c r="AB14" s="17" t="str">
        <f>IFERROR(VLOOKUP(ListExtras[[#This Row],[R2 Name]],RelationTable[[Display]:[RELID]],2,0),IF(ListExtras[[#This Row],[LID]]=0,"nest_relation2",""))</f>
        <v/>
      </c>
      <c r="AC14" s="17" t="str">
        <f>IFERROR(VLOOKUP(ListExtras[[#This Row],[R3 Name]],RelationTable[[Display]:[RELID]],2,0),IF(ListExtras[[#This Row],[LID]]=0,"nest_relation3",""))</f>
        <v/>
      </c>
      <c r="AS14" s="17" t="str">
        <f>'Table Seed Map'!$A$25&amp;"-"&amp;COUNTA($AU$1:ListLayout[[#This Row],[No]])-2</f>
        <v>List Layout-12</v>
      </c>
      <c r="AT14" s="2" t="s">
        <v>1126</v>
      </c>
      <c r="AU14" s="17">
        <f>IF(ListLayout[[#This Row],[List Name for Layout]]="","id",COUNTA($AT$2:ListLayout[[#This Row],[List Name for Layout]])+IF(ISNUMBER(VLOOKUP('Table Seed Map'!$A$25,SeedMap[],9,0)),VLOOKUP('Table Seed Map'!$A$25,SeedMap[],9,0),0))</f>
        <v>12</v>
      </c>
      <c r="AV14" s="17">
        <f>IFERROR(VLOOKUP(ListLayout[[#This Row],[List Name for Layout]],ResourceList[[ListDisplayName]:[No]],2,0),"resource_list")</f>
        <v>3</v>
      </c>
      <c r="AW14" s="17" t="s">
        <v>14</v>
      </c>
      <c r="AX14" s="31" t="s">
        <v>48</v>
      </c>
      <c r="AY14" s="17">
        <f>IF(ListLayout[[#This Row],[List Name for Layout]]="","relation",IFERROR(VLOOKUP(ListLayout[[#This Row],[Relation]],RelationTable[[Display]:[RELID]],2,0),""))</f>
        <v>8</v>
      </c>
      <c r="AZ14" s="17" t="str">
        <f>IF(ListLayout[[#This Row],[List Name for Layout]]="","nest_relation1",IFERROR(VLOOKUP(ListLayout[[#This Row],[Relation 1]],RelationTable[[Display]:[RELID]],2,0),""))</f>
        <v/>
      </c>
      <c r="BA14" s="17" t="str">
        <f>IF(ListLayout[[#This Row],[List Name for Layout]]="","nest_relation2",IFERROR(VLOOKUP(ListLayout[[#This Row],[Relation 2]],RelationTable[[Display]:[RELID]],2,0),""))</f>
        <v/>
      </c>
      <c r="BB14" s="31" t="s">
        <v>1084</v>
      </c>
      <c r="BC14" s="31"/>
      <c r="BD14" s="31"/>
    </row>
    <row r="15" spans="1:56">
      <c r="A15" s="7" t="str">
        <f>'Table Seed Map'!$A$22&amp;"-"&amp;COUNTA($B$1:ResourceList[[#This Row],[Resource Name]])-1</f>
        <v>Resource Lists-13</v>
      </c>
      <c r="B15" s="2" t="s">
        <v>533</v>
      </c>
      <c r="C15" s="7" t="str">
        <f>ResourceList[[#This Row],[Resource Name]]&amp;"/"&amp;ResourceList[[#This Row],[Name]]</f>
        <v>ResourceListSearch/ListSearchFields</v>
      </c>
      <c r="D15" s="17">
        <f>IF(ResourceList[[#This Row],[Resource Name]]="","id",COUNTA($B$2:ResourceList[[#This Row],[Resource Name]])+IF(ISNUMBER(VLOOKUP('Table Seed Map'!$A$22,SeedMap[],9,0)),VLOOKUP('Table Seed Map'!$A$22,SeedMap[],9,0),0))</f>
        <v>13</v>
      </c>
      <c r="E15" s="17">
        <f>IFERROR(VLOOKUP(ResourceList[[#This Row],[Resource Name]],ResourceTable[[RName]:[RID]],2,0),"resource")</f>
        <v>24</v>
      </c>
      <c r="F15" s="31" t="s">
        <v>1213</v>
      </c>
      <c r="G15" s="31" t="s">
        <v>1214</v>
      </c>
      <c r="H15" s="31" t="s">
        <v>1215</v>
      </c>
      <c r="I15" s="31">
        <v>20</v>
      </c>
      <c r="J15" s="108">
        <f>[No]</f>
        <v>13</v>
      </c>
      <c r="L15" s="2" t="s">
        <v>1223</v>
      </c>
      <c r="M15" s="7">
        <f>VLOOKUP(ListExtras[[#This Row],[List Name]],ResourceList[[ListDisplayName]:[No]],2,0)</f>
        <v>10</v>
      </c>
      <c r="N15" s="4"/>
      <c r="O15" s="4" t="s">
        <v>1225</v>
      </c>
      <c r="P15" s="4"/>
      <c r="Q15" s="4"/>
      <c r="R15" s="4"/>
      <c r="S15" s="7" t="str">
        <f>'Table Seed Map'!$A$23&amp;"-"&amp;COUNT($V$1:ListExtras[[#This Row],[Scope ID]])</f>
        <v>List Scopes-0</v>
      </c>
      <c r="T15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15" s="17">
        <f>IF(ListExtras[[#This Row],[LID]]=0,"resource_list",ListExtras[[#This Row],[LID]])</f>
        <v>10</v>
      </c>
      <c r="V15" s="17" t="str">
        <f>IFERROR(VLOOKUP(ListExtras[[#This Row],[Scope Name]],ResourceScopes[[ScopesDisplayNames]:[No]],2,0),IF(ListExtras[[#This Row],[LID]]=0,"scope",""))</f>
        <v/>
      </c>
      <c r="W15" s="7" t="str">
        <f>'Table Seed Map'!$A$24&amp;"-"&amp;COUNT($Z$1:ListExtras[[#This Row],[Relation]])</f>
        <v>List Relation-13</v>
      </c>
      <c r="X15" s="17">
        <f>IF(ListExtras[[#This Row],[LID]]=0,"id",IF(ListExtras[[#This Row],[Relation]]="","",COUNT($Z$2:ListExtras[[#This Row],[Relation]])+IF(ISNUMBER(VLOOKUP('Table Seed Map'!$A$24,SeedMap[],9,0)),VLOOKUP('Table Seed Map'!$A$24,SeedMap[],9,0),0)))</f>
        <v>13</v>
      </c>
      <c r="Y15" s="17">
        <f>IF(ListExtras[[#This Row],[LID]]=0,"resource_list",ListExtras[[#This Row],[LID]])</f>
        <v>10</v>
      </c>
      <c r="Z15" s="17">
        <f>IFERROR(VLOOKUP(ListExtras[[#This Row],[Relation Name]],RelationTable[[Display]:[RELID]],2,0),IF(ListExtras[[#This Row],[LID]]=0,"relation",""))</f>
        <v>62</v>
      </c>
      <c r="AA15" s="17" t="str">
        <f>IFERROR(VLOOKUP(ListExtras[[#This Row],[R1 Name]],RelationTable[[Display]:[RELID]],2,0),IF(ListExtras[[#This Row],[LID]]=0,"nest_relation1",""))</f>
        <v/>
      </c>
      <c r="AB15" s="17" t="str">
        <f>IFERROR(VLOOKUP(ListExtras[[#This Row],[R2 Name]],RelationTable[[Display]:[RELID]],2,0),IF(ListExtras[[#This Row],[LID]]=0,"nest_relation2",""))</f>
        <v/>
      </c>
      <c r="AC15" s="17" t="str">
        <f>IFERROR(VLOOKUP(ListExtras[[#This Row],[R3 Name]],RelationTable[[Display]:[RELID]],2,0),IF(ListExtras[[#This Row],[LID]]=0,"nest_relation3",""))</f>
        <v/>
      </c>
      <c r="AS15" s="17" t="str">
        <f>'Table Seed Map'!$A$25&amp;"-"&amp;COUNTA($AU$1:ListLayout[[#This Row],[No]])-2</f>
        <v>List Layout-13</v>
      </c>
      <c r="AT15" s="2" t="s">
        <v>1128</v>
      </c>
      <c r="AU15" s="17">
        <f>IF(ListLayout[[#This Row],[List Name for Layout]]="","id",COUNTA($AT$2:ListLayout[[#This Row],[List Name for Layout]])+IF(ISNUMBER(VLOOKUP('Table Seed Map'!$A$25,SeedMap[],9,0)),VLOOKUP('Table Seed Map'!$A$25,SeedMap[],9,0),0))</f>
        <v>13</v>
      </c>
      <c r="AV15" s="17">
        <f>IFERROR(VLOOKUP(ListLayout[[#This Row],[List Name for Layout]],ResourceList[[ListDisplayName]:[No]],2,0),"resource_list")</f>
        <v>4</v>
      </c>
      <c r="AW15" s="17" t="s">
        <v>785</v>
      </c>
      <c r="AX15" s="31" t="s">
        <v>21</v>
      </c>
      <c r="AY15" s="17" t="str">
        <f>IF(ListLayout[[#This Row],[List Name for Layout]]="","relation",IFERROR(VLOOKUP(ListLayout[[#This Row],[Relation]],RelationTable[[Display]:[RELID]],2,0),""))</f>
        <v/>
      </c>
      <c r="AZ15" s="17" t="str">
        <f>IF(ListLayout[[#This Row],[List Name for Layout]]="","nest_relation1",IFERROR(VLOOKUP(ListLayout[[#This Row],[Relation 1]],RelationTable[[Display]:[RELID]],2,0),""))</f>
        <v/>
      </c>
      <c r="BA15" s="17" t="str">
        <f>IF(ListLayout[[#This Row],[List Name for Layout]]="","nest_relation2",IFERROR(VLOOKUP(ListLayout[[#This Row],[Relation 2]],RelationTable[[Display]:[RELID]],2,0),""))</f>
        <v/>
      </c>
      <c r="BB15" s="31"/>
      <c r="BC15" s="31"/>
      <c r="BD15" s="31"/>
    </row>
    <row r="16" spans="1:56">
      <c r="A16" s="7" t="str">
        <f>'Table Seed Map'!$A$22&amp;"-"&amp;COUNTA($B$1:ResourceList[[#This Row],[Resource Name]])-1</f>
        <v>Resource Lists-14</v>
      </c>
      <c r="B16" s="2" t="s">
        <v>432</v>
      </c>
      <c r="C16" s="7" t="str">
        <f>ResourceList[[#This Row],[Resource Name]]&amp;"/"&amp;ResourceList[[#This Row],[Name]]</f>
        <v>ResourceDataRelation/DataRelations</v>
      </c>
      <c r="D16" s="17">
        <f>IF(ResourceList[[#This Row],[Resource Name]]="","id",COUNTA($B$2:ResourceList[[#This Row],[Resource Name]])+IF(ISNUMBER(VLOOKUP('Table Seed Map'!$A$22,SeedMap[],9,0)),VLOOKUP('Table Seed Map'!$A$22,SeedMap[],9,0),0))</f>
        <v>14</v>
      </c>
      <c r="E16" s="17">
        <f>IFERROR(VLOOKUP(ResourceList[[#This Row],[Resource Name]],ResourceTable[[RName]:[RID]],2,0),"resource")</f>
        <v>26</v>
      </c>
      <c r="F16" s="31" t="s">
        <v>1278</v>
      </c>
      <c r="G16" s="31" t="s">
        <v>1280</v>
      </c>
      <c r="H16" s="31" t="s">
        <v>434</v>
      </c>
      <c r="I16" s="31">
        <v>20</v>
      </c>
      <c r="J16" s="108">
        <f>[No]</f>
        <v>14</v>
      </c>
      <c r="L16" s="2" t="s">
        <v>1223</v>
      </c>
      <c r="M16" s="7">
        <f>VLOOKUP(ListExtras[[#This Row],[List Name]],ResourceList[[ListDisplayName]:[No]],2,0)</f>
        <v>10</v>
      </c>
      <c r="N16" s="4"/>
      <c r="O16" s="4" t="s">
        <v>1226</v>
      </c>
      <c r="P16" s="4"/>
      <c r="Q16" s="4"/>
      <c r="R16" s="4"/>
      <c r="S16" s="7" t="str">
        <f>'Table Seed Map'!$A$23&amp;"-"&amp;COUNT($V$1:ListExtras[[#This Row],[Scope ID]])</f>
        <v>List Scopes-0</v>
      </c>
      <c r="T16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16" s="17">
        <f>IF(ListExtras[[#This Row],[LID]]=0,"resource_list",ListExtras[[#This Row],[LID]])</f>
        <v>10</v>
      </c>
      <c r="V16" s="17" t="str">
        <f>IFERROR(VLOOKUP(ListExtras[[#This Row],[Scope Name]],ResourceScopes[[ScopesDisplayNames]:[No]],2,0),IF(ListExtras[[#This Row],[LID]]=0,"scope",""))</f>
        <v/>
      </c>
      <c r="W16" s="7" t="str">
        <f>'Table Seed Map'!$A$24&amp;"-"&amp;COUNT($Z$1:ListExtras[[#This Row],[Relation]])</f>
        <v>List Relation-14</v>
      </c>
      <c r="X16" s="17">
        <f>IF(ListExtras[[#This Row],[LID]]=0,"id",IF(ListExtras[[#This Row],[Relation]]="","",COUNT($Z$2:ListExtras[[#This Row],[Relation]])+IF(ISNUMBER(VLOOKUP('Table Seed Map'!$A$24,SeedMap[],9,0)),VLOOKUP('Table Seed Map'!$A$24,SeedMap[],9,0),0)))</f>
        <v>14</v>
      </c>
      <c r="Y16" s="17">
        <f>IF(ListExtras[[#This Row],[LID]]=0,"resource_list",ListExtras[[#This Row],[LID]])</f>
        <v>10</v>
      </c>
      <c r="Z16" s="17">
        <f>IFERROR(VLOOKUP(ListExtras[[#This Row],[Relation Name]],RelationTable[[Display]:[RELID]],2,0),IF(ListExtras[[#This Row],[LID]]=0,"relation",""))</f>
        <v>63</v>
      </c>
      <c r="AA16" s="17" t="str">
        <f>IFERROR(VLOOKUP(ListExtras[[#This Row],[R1 Name]],RelationTable[[Display]:[RELID]],2,0),IF(ListExtras[[#This Row],[LID]]=0,"nest_relation1",""))</f>
        <v/>
      </c>
      <c r="AB16" s="17" t="str">
        <f>IFERROR(VLOOKUP(ListExtras[[#This Row],[R2 Name]],RelationTable[[Display]:[RELID]],2,0),IF(ListExtras[[#This Row],[LID]]=0,"nest_relation2",""))</f>
        <v/>
      </c>
      <c r="AC16" s="17" t="str">
        <f>IFERROR(VLOOKUP(ListExtras[[#This Row],[R3 Name]],RelationTable[[Display]:[RELID]],2,0),IF(ListExtras[[#This Row],[LID]]=0,"nest_relation3",""))</f>
        <v/>
      </c>
      <c r="AS16" s="17" t="str">
        <f>'Table Seed Map'!$A$25&amp;"-"&amp;COUNTA($AU$1:ListLayout[[#This Row],[No]])-2</f>
        <v>List Layout-14</v>
      </c>
      <c r="AT16" s="2" t="s">
        <v>1128</v>
      </c>
      <c r="AU16" s="17">
        <f>IF(ListLayout[[#This Row],[List Name for Layout]]="","id",COUNTA($AT$2:ListLayout[[#This Row],[List Name for Layout]])+IF(ISNUMBER(VLOOKUP('Table Seed Map'!$A$25,SeedMap[],9,0)),VLOOKUP('Table Seed Map'!$A$25,SeedMap[],9,0),0))</f>
        <v>14</v>
      </c>
      <c r="AV16" s="17">
        <f>IFERROR(VLOOKUP(ListLayout[[#This Row],[List Name for Layout]],ResourceList[[ListDisplayName]:[No]],2,0),"resource_list")</f>
        <v>4</v>
      </c>
      <c r="AW16" s="17" t="s">
        <v>204</v>
      </c>
      <c r="AX16" s="31" t="s">
        <v>26</v>
      </c>
      <c r="AY16" s="17">
        <f>IF(ListLayout[[#This Row],[List Name for Layout]]="","relation",IFERROR(VLOOKUP(ListLayout[[#This Row],[Relation]],RelationTable[[Display]:[RELID]],2,0),""))</f>
        <v>19</v>
      </c>
      <c r="AZ16" s="17" t="str">
        <f>IF(ListLayout[[#This Row],[List Name for Layout]]="","nest_relation1",IFERROR(VLOOKUP(ListLayout[[#This Row],[Relation 1]],RelationTable[[Display]:[RELID]],2,0),""))</f>
        <v/>
      </c>
      <c r="BA16" s="17" t="str">
        <f>IF(ListLayout[[#This Row],[List Name for Layout]]="","nest_relation2",IFERROR(VLOOKUP(ListLayout[[#This Row],[Relation 2]],RelationTable[[Display]:[RELID]],2,0),""))</f>
        <v/>
      </c>
      <c r="BB16" s="31" t="s">
        <v>1132</v>
      </c>
      <c r="BC16" s="31"/>
      <c r="BD16" s="31"/>
    </row>
    <row r="17" spans="1:56">
      <c r="A17" s="7" t="str">
        <f>'Table Seed Map'!$A$22&amp;"-"&amp;COUNTA($B$1:ResourceList[[#This Row],[Resource Name]])-1</f>
        <v>Resource Lists-15</v>
      </c>
      <c r="B17" s="2" t="s">
        <v>750</v>
      </c>
      <c r="C17" s="7" t="str">
        <f>ResourceList[[#This Row],[Resource Name]]&amp;"/"&amp;ResourceList[[#This Row],[Name]]</f>
        <v>ResourceDataScope/DataScopes</v>
      </c>
      <c r="D17" s="17">
        <f>IF(ResourceList[[#This Row],[Resource Name]]="","id",COUNTA($B$2:ResourceList[[#This Row],[Resource Name]])+IF(ISNUMBER(VLOOKUP('Table Seed Map'!$A$22,SeedMap[],9,0)),VLOOKUP('Table Seed Map'!$A$22,SeedMap[],9,0),0))</f>
        <v>15</v>
      </c>
      <c r="E17" s="17">
        <f>IFERROR(VLOOKUP(ResourceList[[#This Row],[Resource Name]],ResourceTable[[RName]:[RID]],2,0),"resource")</f>
        <v>27</v>
      </c>
      <c r="F17" s="31" t="s">
        <v>1288</v>
      </c>
      <c r="G17" s="31" t="s">
        <v>1281</v>
      </c>
      <c r="H17" s="31" t="s">
        <v>531</v>
      </c>
      <c r="I17" s="31">
        <v>20</v>
      </c>
      <c r="J17" s="108">
        <f>[No]</f>
        <v>15</v>
      </c>
      <c r="L17" s="2" t="s">
        <v>1227</v>
      </c>
      <c r="M17" s="7">
        <f>VLOOKUP(ListExtras[[#This Row],[List Name]],ResourceList[[ListDisplayName]:[No]],2,0)</f>
        <v>11</v>
      </c>
      <c r="N17" s="4"/>
      <c r="O17" s="4" t="s">
        <v>1233</v>
      </c>
      <c r="P17" s="4"/>
      <c r="Q17" s="4"/>
      <c r="R17" s="4"/>
      <c r="S17" s="7" t="str">
        <f>'Table Seed Map'!$A$23&amp;"-"&amp;COUNT($V$1:ListExtras[[#This Row],[Scope ID]])</f>
        <v>List Scopes-0</v>
      </c>
      <c r="T17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17" s="17">
        <f>IF(ListExtras[[#This Row],[LID]]=0,"resource_list",ListExtras[[#This Row],[LID]])</f>
        <v>11</v>
      </c>
      <c r="V17" s="17" t="str">
        <f>IFERROR(VLOOKUP(ListExtras[[#This Row],[Scope Name]],ResourceScopes[[ScopesDisplayNames]:[No]],2,0),IF(ListExtras[[#This Row],[LID]]=0,"scope",""))</f>
        <v/>
      </c>
      <c r="W17" s="7" t="str">
        <f>'Table Seed Map'!$A$24&amp;"-"&amp;COUNT($Z$1:ListExtras[[#This Row],[Relation]])</f>
        <v>List Relation-15</v>
      </c>
      <c r="X17" s="17">
        <f>IF(ListExtras[[#This Row],[LID]]=0,"id",IF(ListExtras[[#This Row],[Relation]]="","",COUNT($Z$2:ListExtras[[#This Row],[Relation]])+IF(ISNUMBER(VLOOKUP('Table Seed Map'!$A$24,SeedMap[],9,0)),VLOOKUP('Table Seed Map'!$A$24,SeedMap[],9,0),0)))</f>
        <v>15</v>
      </c>
      <c r="Y17" s="17">
        <f>IF(ListExtras[[#This Row],[LID]]=0,"resource_list",ListExtras[[#This Row],[LID]])</f>
        <v>11</v>
      </c>
      <c r="Z17" s="17">
        <f>IFERROR(VLOOKUP(ListExtras[[#This Row],[Relation Name]],RelationTable[[Display]:[RELID]],2,0),IF(ListExtras[[#This Row],[LID]]=0,"relation",""))</f>
        <v>64</v>
      </c>
      <c r="AA17" s="17" t="str">
        <f>IFERROR(VLOOKUP(ListExtras[[#This Row],[R1 Name]],RelationTable[[Display]:[RELID]],2,0),IF(ListExtras[[#This Row],[LID]]=0,"nest_relation1",""))</f>
        <v/>
      </c>
      <c r="AB17" s="17" t="str">
        <f>IFERROR(VLOOKUP(ListExtras[[#This Row],[R2 Name]],RelationTable[[Display]:[RELID]],2,0),IF(ListExtras[[#This Row],[LID]]=0,"nest_relation2",""))</f>
        <v/>
      </c>
      <c r="AC17" s="17" t="str">
        <f>IFERROR(VLOOKUP(ListExtras[[#This Row],[R3 Name]],RelationTable[[Display]:[RELID]],2,0),IF(ListExtras[[#This Row],[LID]]=0,"nest_relation3",""))</f>
        <v/>
      </c>
      <c r="AS17" s="17" t="str">
        <f>'Table Seed Map'!$A$25&amp;"-"&amp;COUNTA($AU$1:ListLayout[[#This Row],[No]])-2</f>
        <v>List Layout-15</v>
      </c>
      <c r="AT17" s="2" t="s">
        <v>1128</v>
      </c>
      <c r="AU17" s="17">
        <f>IF(ListLayout[[#This Row],[List Name for Layout]]="","id",COUNTA($AT$2:ListLayout[[#This Row],[List Name for Layout]])+IF(ISNUMBER(VLOOKUP('Table Seed Map'!$A$25,SeedMap[],9,0)),VLOOKUP('Table Seed Map'!$A$25,SeedMap[],9,0),0))</f>
        <v>15</v>
      </c>
      <c r="AV17" s="17">
        <f>IFERROR(VLOOKUP(ListLayout[[#This Row],[List Name for Layout]],ResourceList[[ListDisplayName]:[No]],2,0),"resource_list")</f>
        <v>4</v>
      </c>
      <c r="AW17" s="17" t="s">
        <v>1</v>
      </c>
      <c r="AX17" s="31" t="s">
        <v>26</v>
      </c>
      <c r="AY17" s="17" t="str">
        <f>IF(ListLayout[[#This Row],[List Name for Layout]]="","relation",IFERROR(VLOOKUP(ListLayout[[#This Row],[Relation]],RelationTable[[Display]:[RELID]],2,0),""))</f>
        <v/>
      </c>
      <c r="AZ17" s="17" t="str">
        <f>IF(ListLayout[[#This Row],[List Name for Layout]]="","nest_relation1",IFERROR(VLOOKUP(ListLayout[[#This Row],[Relation 1]],RelationTable[[Display]:[RELID]],2,0),""))</f>
        <v/>
      </c>
      <c r="BA17" s="17" t="str">
        <f>IF(ListLayout[[#This Row],[List Name for Layout]]="","nest_relation2",IFERROR(VLOOKUP(ListLayout[[#This Row],[Relation 2]],RelationTable[[Display]:[RELID]],2,0),""))</f>
        <v/>
      </c>
      <c r="BB17" s="31"/>
      <c r="BC17" s="31"/>
      <c r="BD17" s="31"/>
    </row>
    <row r="18" spans="1:56">
      <c r="A18" s="7" t="str">
        <f>'Table Seed Map'!$A$22&amp;"-"&amp;COUNTA($B$1:ResourceList[[#This Row],[Resource Name]])-1</f>
        <v>Resource Lists-16</v>
      </c>
      <c r="B18" s="2" t="s">
        <v>485</v>
      </c>
      <c r="C18" s="7" t="str">
        <f>ResourceList[[#This Row],[Resource Name]]&amp;"/"&amp;ResourceList[[#This Row],[Name]]</f>
        <v>ResourceDataViewSection/DataSections</v>
      </c>
      <c r="D18" s="17">
        <f>IF(ResourceList[[#This Row],[Resource Name]]="","id",COUNTA($B$2:ResourceList[[#This Row],[Resource Name]])+IF(ISNUMBER(VLOOKUP('Table Seed Map'!$A$22,SeedMap[],9,0)),VLOOKUP('Table Seed Map'!$A$22,SeedMap[],9,0),0))</f>
        <v>16</v>
      </c>
      <c r="E18" s="17">
        <f>IFERROR(VLOOKUP(ResourceList[[#This Row],[Resource Name]],ResourceTable[[RName]:[RID]],2,0),"resource")</f>
        <v>28</v>
      </c>
      <c r="F18" s="31" t="s">
        <v>1279</v>
      </c>
      <c r="G18" s="31" t="s">
        <v>1282</v>
      </c>
      <c r="H18" s="31" t="s">
        <v>1283</v>
      </c>
      <c r="I18" s="31">
        <v>20</v>
      </c>
      <c r="J18" s="108">
        <f>[No]</f>
        <v>16</v>
      </c>
      <c r="L18" s="2" t="s">
        <v>1227</v>
      </c>
      <c r="M18" s="7">
        <f>VLOOKUP(ListExtras[[#This Row],[List Name]],ResourceList[[ListDisplayName]:[No]],2,0)</f>
        <v>11</v>
      </c>
      <c r="N18" s="4"/>
      <c r="O18" s="4" t="s">
        <v>1234</v>
      </c>
      <c r="P18" s="4"/>
      <c r="Q18" s="4"/>
      <c r="R18" s="4"/>
      <c r="S18" s="7" t="str">
        <f>'Table Seed Map'!$A$23&amp;"-"&amp;COUNT($V$1:ListExtras[[#This Row],[Scope ID]])</f>
        <v>List Scopes-0</v>
      </c>
      <c r="T18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18" s="17">
        <f>IF(ListExtras[[#This Row],[LID]]=0,"resource_list",ListExtras[[#This Row],[LID]])</f>
        <v>11</v>
      </c>
      <c r="V18" s="17" t="str">
        <f>IFERROR(VLOOKUP(ListExtras[[#This Row],[Scope Name]],ResourceScopes[[ScopesDisplayNames]:[No]],2,0),IF(ListExtras[[#This Row],[LID]]=0,"scope",""))</f>
        <v/>
      </c>
      <c r="W18" s="7" t="str">
        <f>'Table Seed Map'!$A$24&amp;"-"&amp;COUNT($Z$1:ListExtras[[#This Row],[Relation]])</f>
        <v>List Relation-16</v>
      </c>
      <c r="X18" s="17">
        <f>IF(ListExtras[[#This Row],[LID]]=0,"id",IF(ListExtras[[#This Row],[Relation]]="","",COUNT($Z$2:ListExtras[[#This Row],[Relation]])+IF(ISNUMBER(VLOOKUP('Table Seed Map'!$A$24,SeedMap[],9,0)),VLOOKUP('Table Seed Map'!$A$24,SeedMap[],9,0),0)))</f>
        <v>16</v>
      </c>
      <c r="Y18" s="17">
        <f>IF(ListExtras[[#This Row],[LID]]=0,"resource_list",ListExtras[[#This Row],[LID]])</f>
        <v>11</v>
      </c>
      <c r="Z18" s="17">
        <f>IFERROR(VLOOKUP(ListExtras[[#This Row],[Relation Name]],RelationTable[[Display]:[RELID]],2,0),IF(ListExtras[[#This Row],[LID]]=0,"relation",""))</f>
        <v>65</v>
      </c>
      <c r="AA18" s="17" t="str">
        <f>IFERROR(VLOOKUP(ListExtras[[#This Row],[R1 Name]],RelationTable[[Display]:[RELID]],2,0),IF(ListExtras[[#This Row],[LID]]=0,"nest_relation1",""))</f>
        <v/>
      </c>
      <c r="AB18" s="17" t="str">
        <f>IFERROR(VLOOKUP(ListExtras[[#This Row],[R2 Name]],RelationTable[[Display]:[RELID]],2,0),IF(ListExtras[[#This Row],[LID]]=0,"nest_relation2",""))</f>
        <v/>
      </c>
      <c r="AC18" s="17" t="str">
        <f>IFERROR(VLOOKUP(ListExtras[[#This Row],[R3 Name]],RelationTable[[Display]:[RELID]],2,0),IF(ListExtras[[#This Row],[LID]]=0,"nest_relation3",""))</f>
        <v/>
      </c>
      <c r="AS18" s="17" t="str">
        <f>'Table Seed Map'!$A$25&amp;"-"&amp;COUNTA($AU$1:ListLayout[[#This Row],[No]])-2</f>
        <v>List Layout-16</v>
      </c>
      <c r="AT18" s="2" t="s">
        <v>1128</v>
      </c>
      <c r="AU18" s="17">
        <f>IF(ListLayout[[#This Row],[List Name for Layout]]="","id",COUNTA($AT$2:ListLayout[[#This Row],[List Name for Layout]])+IF(ISNUMBER(VLOOKUP('Table Seed Map'!$A$25,SeedMap[],9,0)),VLOOKUP('Table Seed Map'!$A$25,SeedMap[],9,0),0))</f>
        <v>16</v>
      </c>
      <c r="AV18" s="17">
        <f>IFERROR(VLOOKUP(ListLayout[[#This Row],[List Name for Layout]],ResourceList[[ListDisplayName]:[No]],2,0),"resource_list")</f>
        <v>4</v>
      </c>
      <c r="AW18" s="17" t="s">
        <v>236</v>
      </c>
      <c r="AX18" s="31" t="s">
        <v>30</v>
      </c>
      <c r="AY18" s="17" t="str">
        <f>IF(ListLayout[[#This Row],[List Name for Layout]]="","relation",IFERROR(VLOOKUP(ListLayout[[#This Row],[Relation]],RelationTable[[Display]:[RELID]],2,0),""))</f>
        <v/>
      </c>
      <c r="AZ18" s="17" t="str">
        <f>IF(ListLayout[[#This Row],[List Name for Layout]]="","nest_relation1",IFERROR(VLOOKUP(ListLayout[[#This Row],[Relation 1]],RelationTable[[Display]:[RELID]],2,0),""))</f>
        <v/>
      </c>
      <c r="BA18" s="17" t="str">
        <f>IF(ListLayout[[#This Row],[List Name for Layout]]="","nest_relation2",IFERROR(VLOOKUP(ListLayout[[#This Row],[Relation 2]],RelationTable[[Display]:[RELID]],2,0),""))</f>
        <v/>
      </c>
      <c r="BB18" s="31"/>
      <c r="BC18" s="31"/>
      <c r="BD18" s="31"/>
    </row>
    <row r="19" spans="1:56">
      <c r="A19" s="7" t="str">
        <f>'Table Seed Map'!$A$22&amp;"-"&amp;COUNTA($B$1:ResourceList[[#This Row],[Resource Name]])-1</f>
        <v>Resource Lists-17</v>
      </c>
      <c r="B19" s="2" t="s">
        <v>757</v>
      </c>
      <c r="C19" s="7" t="str">
        <f>ResourceList[[#This Row],[Resource Name]]&amp;"/"&amp;ResourceList[[#This Row],[Name]]</f>
        <v>ResourceActionAttr/ActionAttrs</v>
      </c>
      <c r="D19" s="17">
        <f>IF(ResourceList[[#This Row],[Resource Name]]="","id",COUNTA($B$2:ResourceList[[#This Row],[Resource Name]])+IF(ISNUMBER(VLOOKUP('Table Seed Map'!$A$22,SeedMap[],9,0)),VLOOKUP('Table Seed Map'!$A$22,SeedMap[],9,0),0))</f>
        <v>17</v>
      </c>
      <c r="E19" s="17">
        <f>IFERROR(VLOOKUP(ResourceList[[#This Row],[Resource Name]],ResourceTable[[RName]:[RID]],2,0),"resource")</f>
        <v>32</v>
      </c>
      <c r="F19" s="31" t="s">
        <v>1325</v>
      </c>
      <c r="G19" s="31" t="s">
        <v>1335</v>
      </c>
      <c r="H19" s="31" t="s">
        <v>1326</v>
      </c>
      <c r="I19" s="31">
        <v>20</v>
      </c>
      <c r="J19" s="108">
        <f>[No]</f>
        <v>17</v>
      </c>
      <c r="L19" s="2" t="s">
        <v>1235</v>
      </c>
      <c r="M19" s="7">
        <f>VLOOKUP(ListExtras[[#This Row],[List Name]],ResourceList[[ListDisplayName]:[No]],2,0)</f>
        <v>12</v>
      </c>
      <c r="N19" s="4"/>
      <c r="O19" s="4" t="s">
        <v>1238</v>
      </c>
      <c r="P19" s="4"/>
      <c r="Q19" s="4"/>
      <c r="R19" s="4"/>
      <c r="S19" s="7" t="str">
        <f>'Table Seed Map'!$A$23&amp;"-"&amp;COUNT($V$1:ListExtras[[#This Row],[Scope ID]])</f>
        <v>List Scopes-0</v>
      </c>
      <c r="T19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19" s="17">
        <f>IF(ListExtras[[#This Row],[LID]]=0,"resource_list",ListExtras[[#This Row],[LID]])</f>
        <v>12</v>
      </c>
      <c r="V19" s="17" t="str">
        <f>IFERROR(VLOOKUP(ListExtras[[#This Row],[Scope Name]],ResourceScopes[[ScopesDisplayNames]:[No]],2,0),IF(ListExtras[[#This Row],[LID]]=0,"scope",""))</f>
        <v/>
      </c>
      <c r="W19" s="7" t="str">
        <f>'Table Seed Map'!$A$24&amp;"-"&amp;COUNT($Z$1:ListExtras[[#This Row],[Relation]])</f>
        <v>List Relation-17</v>
      </c>
      <c r="X19" s="17">
        <f>IF(ListExtras[[#This Row],[LID]]=0,"id",IF(ListExtras[[#This Row],[Relation]]="","",COUNT($Z$2:ListExtras[[#This Row],[Relation]])+IF(ISNUMBER(VLOOKUP('Table Seed Map'!$A$24,SeedMap[],9,0)),VLOOKUP('Table Seed Map'!$A$24,SeedMap[],9,0),0)))</f>
        <v>17</v>
      </c>
      <c r="Y19" s="17">
        <f>IF(ListExtras[[#This Row],[LID]]=0,"resource_list",ListExtras[[#This Row],[LID]])</f>
        <v>12</v>
      </c>
      <c r="Z19" s="17">
        <f>IFERROR(VLOOKUP(ListExtras[[#This Row],[Relation Name]],RelationTable[[Display]:[RELID]],2,0),IF(ListExtras[[#This Row],[LID]]=0,"relation",""))</f>
        <v>66</v>
      </c>
      <c r="AA19" s="17" t="str">
        <f>IFERROR(VLOOKUP(ListExtras[[#This Row],[R1 Name]],RelationTable[[Display]:[RELID]],2,0),IF(ListExtras[[#This Row],[LID]]=0,"nest_relation1",""))</f>
        <v/>
      </c>
      <c r="AB19" s="17" t="str">
        <f>IFERROR(VLOOKUP(ListExtras[[#This Row],[R2 Name]],RelationTable[[Display]:[RELID]],2,0),IF(ListExtras[[#This Row],[LID]]=0,"nest_relation2",""))</f>
        <v/>
      </c>
      <c r="AC19" s="17" t="str">
        <f>IFERROR(VLOOKUP(ListExtras[[#This Row],[R3 Name]],RelationTable[[Display]:[RELID]],2,0),IF(ListExtras[[#This Row],[LID]]=0,"nest_relation3",""))</f>
        <v/>
      </c>
      <c r="AS19" s="17" t="str">
        <f>'Table Seed Map'!$A$25&amp;"-"&amp;COUNTA($AU$1:ListLayout[[#This Row],[No]])-2</f>
        <v>List Layout-17</v>
      </c>
      <c r="AT19" s="2" t="s">
        <v>1127</v>
      </c>
      <c r="AU19" s="17">
        <f>IF(ListLayout[[#This Row],[List Name for Layout]]="","id",COUNTA($AT$2:ListLayout[[#This Row],[List Name for Layout]])+IF(ISNUMBER(VLOOKUP('Table Seed Map'!$A$25,SeedMap[],9,0)),VLOOKUP('Table Seed Map'!$A$25,SeedMap[],9,0),0))</f>
        <v>17</v>
      </c>
      <c r="AV19" s="17">
        <f>IFERROR(VLOOKUP(ListLayout[[#This Row],[List Name for Layout]],ResourceList[[ListDisplayName]:[No]],2,0),"resource_list")</f>
        <v>5</v>
      </c>
      <c r="AW19" s="17" t="s">
        <v>785</v>
      </c>
      <c r="AX19" s="31" t="s">
        <v>21</v>
      </c>
      <c r="AY19" s="17" t="str">
        <f>IF(ListLayout[[#This Row],[List Name for Layout]]="","relation",IFERROR(VLOOKUP(ListLayout[[#This Row],[Relation]],RelationTable[[Display]:[RELID]],2,0),""))</f>
        <v/>
      </c>
      <c r="AZ19" s="17" t="str">
        <f>IF(ListLayout[[#This Row],[List Name for Layout]]="","nest_relation1",IFERROR(VLOOKUP(ListLayout[[#This Row],[Relation 1]],RelationTable[[Display]:[RELID]],2,0),""))</f>
        <v/>
      </c>
      <c r="BA19" s="17" t="str">
        <f>IF(ListLayout[[#This Row],[List Name for Layout]]="","nest_relation2",IFERROR(VLOOKUP(ListLayout[[#This Row],[Relation 2]],RelationTable[[Display]:[RELID]],2,0),""))</f>
        <v/>
      </c>
      <c r="BB19" s="31"/>
      <c r="BC19" s="31"/>
      <c r="BD19" s="31"/>
    </row>
    <row r="20" spans="1:56">
      <c r="A20" s="7" t="str">
        <f>'Table Seed Map'!$A$22&amp;"-"&amp;COUNTA($B$1:ResourceList[[#This Row],[Resource Name]])-1</f>
        <v>Resource Lists-18</v>
      </c>
      <c r="B20" s="2" t="s">
        <v>349</v>
      </c>
      <c r="C20" s="7" t="str">
        <f>ResourceList[[#This Row],[Resource Name]]&amp;"/"&amp;ResourceList[[#This Row],[Name]]</f>
        <v>ResourceFormFieldAttr/FieldAttrsList</v>
      </c>
      <c r="D20" s="17">
        <f>IF(ResourceList[[#This Row],[Resource Name]]="","id",COUNTA($B$2:ResourceList[[#This Row],[Resource Name]])+IF(ISNUMBER(VLOOKUP('Table Seed Map'!$A$22,SeedMap[],9,0)),VLOOKUP('Table Seed Map'!$A$22,SeedMap[],9,0),0))</f>
        <v>18</v>
      </c>
      <c r="E20" s="17">
        <f>IFERROR(VLOOKUP(ResourceList[[#This Row],[Resource Name]],ResourceTable[[RName]:[RID]],2,0),"resource")</f>
        <v>11</v>
      </c>
      <c r="F20" s="31" t="s">
        <v>1345</v>
      </c>
      <c r="G20" s="31" t="s">
        <v>1350</v>
      </c>
      <c r="H20" s="31" t="s">
        <v>351</v>
      </c>
      <c r="I20" s="31">
        <v>30</v>
      </c>
      <c r="J20" s="108">
        <f>[No]</f>
        <v>18</v>
      </c>
      <c r="L20" s="2" t="s">
        <v>1235</v>
      </c>
      <c r="M20" s="7">
        <f>VLOOKUP(ListExtras[[#This Row],[List Name]],ResourceList[[ListDisplayName]:[No]],2,0)</f>
        <v>12</v>
      </c>
      <c r="N20" s="4"/>
      <c r="O20" s="4" t="s">
        <v>1246</v>
      </c>
      <c r="P20" s="4"/>
      <c r="Q20" s="4"/>
      <c r="R20" s="4"/>
      <c r="S20" s="7" t="str">
        <f>'Table Seed Map'!$A$23&amp;"-"&amp;COUNT($V$1:ListExtras[[#This Row],[Scope ID]])</f>
        <v>List Scopes-0</v>
      </c>
      <c r="T20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20" s="17">
        <f>IF(ListExtras[[#This Row],[LID]]=0,"resource_list",ListExtras[[#This Row],[LID]])</f>
        <v>12</v>
      </c>
      <c r="V20" s="17" t="str">
        <f>IFERROR(VLOOKUP(ListExtras[[#This Row],[Scope Name]],ResourceScopes[[ScopesDisplayNames]:[No]],2,0),IF(ListExtras[[#This Row],[LID]]=0,"scope",""))</f>
        <v/>
      </c>
      <c r="W20" s="7" t="str">
        <f>'Table Seed Map'!$A$24&amp;"-"&amp;COUNT($Z$1:ListExtras[[#This Row],[Relation]])</f>
        <v>List Relation-18</v>
      </c>
      <c r="X20" s="17">
        <f>IF(ListExtras[[#This Row],[LID]]=0,"id",IF(ListExtras[[#This Row],[Relation]]="","",COUNT($Z$2:ListExtras[[#This Row],[Relation]])+IF(ISNUMBER(VLOOKUP('Table Seed Map'!$A$24,SeedMap[],9,0)),VLOOKUP('Table Seed Map'!$A$24,SeedMap[],9,0),0)))</f>
        <v>18</v>
      </c>
      <c r="Y20" s="17">
        <f>IF(ListExtras[[#This Row],[LID]]=0,"resource_list",ListExtras[[#This Row],[LID]])</f>
        <v>12</v>
      </c>
      <c r="Z20" s="17">
        <f>IFERROR(VLOOKUP(ListExtras[[#This Row],[Relation Name]],RelationTable[[Display]:[RELID]],2,0),IF(ListExtras[[#This Row],[LID]]=0,"relation",""))</f>
        <v>67</v>
      </c>
      <c r="AA20" s="17" t="str">
        <f>IFERROR(VLOOKUP(ListExtras[[#This Row],[R1 Name]],RelationTable[[Display]:[RELID]],2,0),IF(ListExtras[[#This Row],[LID]]=0,"nest_relation1",""))</f>
        <v/>
      </c>
      <c r="AB20" s="17" t="str">
        <f>IFERROR(VLOOKUP(ListExtras[[#This Row],[R2 Name]],RelationTable[[Display]:[RELID]],2,0),IF(ListExtras[[#This Row],[LID]]=0,"nest_relation2",""))</f>
        <v/>
      </c>
      <c r="AC20" s="17" t="str">
        <f>IFERROR(VLOOKUP(ListExtras[[#This Row],[R3 Name]],RelationTable[[Display]:[RELID]],2,0),IF(ListExtras[[#This Row],[LID]]=0,"nest_relation3",""))</f>
        <v/>
      </c>
      <c r="AS20" s="17" t="str">
        <f>'Table Seed Map'!$A$25&amp;"-"&amp;COUNTA($AU$1:ListLayout[[#This Row],[No]])-2</f>
        <v>List Layout-18</v>
      </c>
      <c r="AT20" s="2" t="s">
        <v>1127</v>
      </c>
      <c r="AU20" s="17">
        <f>IF(ListLayout[[#This Row],[List Name for Layout]]="","id",COUNTA($AT$2:ListLayout[[#This Row],[List Name for Layout]])+IF(ISNUMBER(VLOOKUP('Table Seed Map'!$A$25,SeedMap[],9,0)),VLOOKUP('Table Seed Map'!$A$25,SeedMap[],9,0),0))</f>
        <v>18</v>
      </c>
      <c r="AV20" s="17">
        <f>IFERROR(VLOOKUP(ListLayout[[#This Row],[List Name for Layout]],ResourceList[[ListDisplayName]:[No]],2,0),"resource_list")</f>
        <v>5</v>
      </c>
      <c r="AW20" s="17" t="s">
        <v>204</v>
      </c>
      <c r="AX20" s="31" t="s">
        <v>26</v>
      </c>
      <c r="AY20" s="17">
        <f>IF(ListLayout[[#This Row],[List Name for Layout]]="","relation",IFERROR(VLOOKUP(ListLayout[[#This Row],[Relation]],RelationTable[[Display]:[RELID]],2,0),""))</f>
        <v>25</v>
      </c>
      <c r="AZ20" s="17" t="str">
        <f>IF(ListLayout[[#This Row],[List Name for Layout]]="","nest_relation1",IFERROR(VLOOKUP(ListLayout[[#This Row],[Relation 1]],RelationTable[[Display]:[RELID]],2,0),""))</f>
        <v/>
      </c>
      <c r="BA20" s="17" t="str">
        <f>IF(ListLayout[[#This Row],[List Name for Layout]]="","nest_relation2",IFERROR(VLOOKUP(ListLayout[[#This Row],[Relation 2]],RelationTable[[Display]:[RELID]],2,0),""))</f>
        <v/>
      </c>
      <c r="BB20" s="31" t="s">
        <v>1134</v>
      </c>
      <c r="BC20" s="31"/>
      <c r="BD20" s="31"/>
    </row>
    <row r="21" spans="1:56">
      <c r="A21" s="7" t="str">
        <f>'Table Seed Map'!$A$22&amp;"-"&amp;COUNTA($B$1:ResourceList[[#This Row],[Resource Name]])-1</f>
        <v>Resource Lists-19</v>
      </c>
      <c r="B21" s="2" t="s">
        <v>364</v>
      </c>
      <c r="C21" s="7" t="str">
        <f>ResourceList[[#This Row],[Resource Name]]&amp;"/"&amp;ResourceList[[#This Row],[Name]]</f>
        <v>ResourceFormFieldOption/FieldOptionsList</v>
      </c>
      <c r="D21" s="17">
        <f>IF(ResourceList[[#This Row],[Resource Name]]="","id",COUNTA($B$2:ResourceList[[#This Row],[Resource Name]])+IF(ISNUMBER(VLOOKUP('Table Seed Map'!$A$22,SeedMap[],9,0)),VLOOKUP('Table Seed Map'!$A$22,SeedMap[],9,0),0))</f>
        <v>19</v>
      </c>
      <c r="E21" s="17">
        <f>IFERROR(VLOOKUP(ResourceList[[#This Row],[Resource Name]],ResourceTable[[RName]:[RID]],2,0),"resource")</f>
        <v>12</v>
      </c>
      <c r="F21" s="31" t="s">
        <v>1346</v>
      </c>
      <c r="G21" s="31" t="s">
        <v>1351</v>
      </c>
      <c r="H21" s="31" t="s">
        <v>366</v>
      </c>
      <c r="I21" s="31">
        <v>5</v>
      </c>
      <c r="J21" s="108">
        <f>[No]</f>
        <v>19</v>
      </c>
      <c r="L21" s="2" t="s">
        <v>1239</v>
      </c>
      <c r="M21" s="7">
        <f>VLOOKUP(ListExtras[[#This Row],[List Name]],ResourceList[[ListDisplayName]:[No]],2,0)</f>
        <v>13</v>
      </c>
      <c r="N21" s="4"/>
      <c r="O21" s="4" t="s">
        <v>1242</v>
      </c>
      <c r="P21" s="4"/>
      <c r="Q21" s="4"/>
      <c r="R21" s="4"/>
      <c r="S21" s="7" t="str">
        <f>'Table Seed Map'!$A$23&amp;"-"&amp;COUNT($V$1:ListExtras[[#This Row],[Scope ID]])</f>
        <v>List Scopes-0</v>
      </c>
      <c r="T21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21" s="17">
        <f>IF(ListExtras[[#This Row],[LID]]=0,"resource_list",ListExtras[[#This Row],[LID]])</f>
        <v>13</v>
      </c>
      <c r="V21" s="17" t="str">
        <f>IFERROR(VLOOKUP(ListExtras[[#This Row],[Scope Name]],ResourceScopes[[ScopesDisplayNames]:[No]],2,0),IF(ListExtras[[#This Row],[LID]]=0,"scope",""))</f>
        <v/>
      </c>
      <c r="W21" s="7" t="str">
        <f>'Table Seed Map'!$A$24&amp;"-"&amp;COUNT($Z$1:ListExtras[[#This Row],[Relation]])</f>
        <v>List Relation-19</v>
      </c>
      <c r="X21" s="17">
        <f>IF(ListExtras[[#This Row],[LID]]=0,"id",IF(ListExtras[[#This Row],[Relation]]="","",COUNT($Z$2:ListExtras[[#This Row],[Relation]])+IF(ISNUMBER(VLOOKUP('Table Seed Map'!$A$24,SeedMap[],9,0)),VLOOKUP('Table Seed Map'!$A$24,SeedMap[],9,0),0)))</f>
        <v>19</v>
      </c>
      <c r="Y21" s="17">
        <f>IF(ListExtras[[#This Row],[LID]]=0,"resource_list",ListExtras[[#This Row],[LID]])</f>
        <v>13</v>
      </c>
      <c r="Z21" s="17">
        <f>IFERROR(VLOOKUP(ListExtras[[#This Row],[Relation Name]],RelationTable[[Display]:[RELID]],2,0),IF(ListExtras[[#This Row],[LID]]=0,"relation",""))</f>
        <v>68</v>
      </c>
      <c r="AA21" s="17" t="str">
        <f>IFERROR(VLOOKUP(ListExtras[[#This Row],[R1 Name]],RelationTable[[Display]:[RELID]],2,0),IF(ListExtras[[#This Row],[LID]]=0,"nest_relation1",""))</f>
        <v/>
      </c>
      <c r="AB21" s="17" t="str">
        <f>IFERROR(VLOOKUP(ListExtras[[#This Row],[R2 Name]],RelationTable[[Display]:[RELID]],2,0),IF(ListExtras[[#This Row],[LID]]=0,"nest_relation2",""))</f>
        <v/>
      </c>
      <c r="AC21" s="17" t="str">
        <f>IFERROR(VLOOKUP(ListExtras[[#This Row],[R3 Name]],RelationTable[[Display]:[RELID]],2,0),IF(ListExtras[[#This Row],[LID]]=0,"nest_relation3",""))</f>
        <v/>
      </c>
      <c r="AS21" s="17" t="str">
        <f>'Table Seed Map'!$A$25&amp;"-"&amp;COUNTA($AU$1:ListLayout[[#This Row],[No]])-2</f>
        <v>List Layout-19</v>
      </c>
      <c r="AT21" s="2" t="s">
        <v>1127</v>
      </c>
      <c r="AU21" s="17">
        <f>IF(ListLayout[[#This Row],[List Name for Layout]]="","id",COUNTA($AT$2:ListLayout[[#This Row],[List Name for Layout]])+IF(ISNUMBER(VLOOKUP('Table Seed Map'!$A$25,SeedMap[],9,0)),VLOOKUP('Table Seed Map'!$A$25,SeedMap[],9,0),0))</f>
        <v>19</v>
      </c>
      <c r="AV21" s="17">
        <f>IFERROR(VLOOKUP(ListLayout[[#This Row],[List Name for Layout]],ResourceList[[ListDisplayName]:[No]],2,0),"resource_list")</f>
        <v>5</v>
      </c>
      <c r="AW21" s="17" t="s">
        <v>1</v>
      </c>
      <c r="AX21" s="31" t="s">
        <v>26</v>
      </c>
      <c r="AY21" s="17" t="str">
        <f>IF(ListLayout[[#This Row],[List Name for Layout]]="","relation",IFERROR(VLOOKUP(ListLayout[[#This Row],[Relation]],RelationTable[[Display]:[RELID]],2,0),""))</f>
        <v/>
      </c>
      <c r="AZ21" s="17" t="str">
        <f>IF(ListLayout[[#This Row],[List Name for Layout]]="","nest_relation1",IFERROR(VLOOKUP(ListLayout[[#This Row],[Relation 1]],RelationTable[[Display]:[RELID]],2,0),""))</f>
        <v/>
      </c>
      <c r="BA21" s="17" t="str">
        <f>IF(ListLayout[[#This Row],[List Name for Layout]]="","nest_relation2",IFERROR(VLOOKUP(ListLayout[[#This Row],[Relation 2]],RelationTable[[Display]:[RELID]],2,0),""))</f>
        <v/>
      </c>
      <c r="BB21" s="31"/>
      <c r="BC21" s="31"/>
      <c r="BD21" s="31"/>
    </row>
    <row r="22" spans="1:56">
      <c r="A22" s="7" t="str">
        <f>'Table Seed Map'!$A$22&amp;"-"&amp;COUNTA($B$1:ResourceList[[#This Row],[Resource Name]])-1</f>
        <v>Resource Lists-20</v>
      </c>
      <c r="B22" s="2" t="s">
        <v>370</v>
      </c>
      <c r="C22" s="7" t="str">
        <f>ResourceList[[#This Row],[Resource Name]]&amp;"/"&amp;ResourceList[[#This Row],[Name]]</f>
        <v>ResourceFormFieldValidation/FieldValidationsList</v>
      </c>
      <c r="D22" s="17">
        <f>IF(ResourceList[[#This Row],[Resource Name]]="","id",COUNTA($B$2:ResourceList[[#This Row],[Resource Name]])+IF(ISNUMBER(VLOOKUP('Table Seed Map'!$A$22,SeedMap[],9,0)),VLOOKUP('Table Seed Map'!$A$22,SeedMap[],9,0),0))</f>
        <v>20</v>
      </c>
      <c r="E22" s="17">
        <f>IFERROR(VLOOKUP(ResourceList[[#This Row],[Resource Name]],ResourceTable[[RName]:[RID]],2,0),"resource")</f>
        <v>13</v>
      </c>
      <c r="F22" s="31" t="s">
        <v>1347</v>
      </c>
      <c r="G22" s="31" t="s">
        <v>1352</v>
      </c>
      <c r="H22" s="31" t="s">
        <v>374</v>
      </c>
      <c r="I22" s="31">
        <v>10</v>
      </c>
      <c r="J22" s="108">
        <f>[No]</f>
        <v>20</v>
      </c>
      <c r="L22" s="2" t="s">
        <v>1239</v>
      </c>
      <c r="M22" s="7">
        <f>VLOOKUP(ListExtras[[#This Row],[List Name]],ResourceList[[ListDisplayName]:[No]],2,0)</f>
        <v>13</v>
      </c>
      <c r="N22" s="4"/>
      <c r="O22" s="4" t="s">
        <v>1249</v>
      </c>
      <c r="P22" s="4"/>
      <c r="Q22" s="4"/>
      <c r="R22" s="4"/>
      <c r="S22" s="7" t="str">
        <f>'Table Seed Map'!$A$23&amp;"-"&amp;COUNT($V$1:ListExtras[[#This Row],[Scope ID]])</f>
        <v>List Scopes-0</v>
      </c>
      <c r="T22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22" s="17">
        <f>IF(ListExtras[[#This Row],[LID]]=0,"resource_list",ListExtras[[#This Row],[LID]])</f>
        <v>13</v>
      </c>
      <c r="V22" s="17" t="str">
        <f>IFERROR(VLOOKUP(ListExtras[[#This Row],[Scope Name]],ResourceScopes[[ScopesDisplayNames]:[No]],2,0),IF(ListExtras[[#This Row],[LID]]=0,"scope",""))</f>
        <v/>
      </c>
      <c r="W22" s="7" t="str">
        <f>'Table Seed Map'!$A$24&amp;"-"&amp;COUNT($Z$1:ListExtras[[#This Row],[Relation]])</f>
        <v>List Relation-20</v>
      </c>
      <c r="X22" s="17">
        <f>IF(ListExtras[[#This Row],[LID]]=0,"id",IF(ListExtras[[#This Row],[Relation]]="","",COUNT($Z$2:ListExtras[[#This Row],[Relation]])+IF(ISNUMBER(VLOOKUP('Table Seed Map'!$A$24,SeedMap[],9,0)),VLOOKUP('Table Seed Map'!$A$24,SeedMap[],9,0),0)))</f>
        <v>20</v>
      </c>
      <c r="Y22" s="17">
        <f>IF(ListExtras[[#This Row],[LID]]=0,"resource_list",ListExtras[[#This Row],[LID]])</f>
        <v>13</v>
      </c>
      <c r="Z22" s="17">
        <f>IFERROR(VLOOKUP(ListExtras[[#This Row],[Relation Name]],RelationTable[[Display]:[RELID]],2,0),IF(ListExtras[[#This Row],[LID]]=0,"relation",""))</f>
        <v>69</v>
      </c>
      <c r="AA22" s="17" t="str">
        <f>IFERROR(VLOOKUP(ListExtras[[#This Row],[R1 Name]],RelationTable[[Display]:[RELID]],2,0),IF(ListExtras[[#This Row],[LID]]=0,"nest_relation1",""))</f>
        <v/>
      </c>
      <c r="AB22" s="17" t="str">
        <f>IFERROR(VLOOKUP(ListExtras[[#This Row],[R2 Name]],RelationTable[[Display]:[RELID]],2,0),IF(ListExtras[[#This Row],[LID]]=0,"nest_relation2",""))</f>
        <v/>
      </c>
      <c r="AC22" s="17" t="str">
        <f>IFERROR(VLOOKUP(ListExtras[[#This Row],[R3 Name]],RelationTable[[Display]:[RELID]],2,0),IF(ListExtras[[#This Row],[LID]]=0,"nest_relation3",""))</f>
        <v/>
      </c>
      <c r="AS22" s="17" t="str">
        <f>'Table Seed Map'!$A$25&amp;"-"&amp;COUNTA($AU$1:ListLayout[[#This Row],[No]])-2</f>
        <v>List Layout-20</v>
      </c>
      <c r="AT22" s="2" t="s">
        <v>1127</v>
      </c>
      <c r="AU22" s="17">
        <f>IF(ListLayout[[#This Row],[List Name for Layout]]="","id",COUNTA($AT$2:ListLayout[[#This Row],[List Name for Layout]])+IF(ISNUMBER(VLOOKUP('Table Seed Map'!$A$25,SeedMap[],9,0)),VLOOKUP('Table Seed Map'!$A$25,SeedMap[],9,0),0))</f>
        <v>20</v>
      </c>
      <c r="AV22" s="17">
        <f>IFERROR(VLOOKUP(ListLayout[[#This Row],[List Name for Layout]],ResourceList[[ListDisplayName]:[No]],2,0),"resource_list")</f>
        <v>5</v>
      </c>
      <c r="AW22" s="17" t="s">
        <v>236</v>
      </c>
      <c r="AX22" s="31" t="s">
        <v>30</v>
      </c>
      <c r="AY22" s="17" t="str">
        <f>IF(ListLayout[[#This Row],[List Name for Layout]]="","relation",IFERROR(VLOOKUP(ListLayout[[#This Row],[Relation]],RelationTable[[Display]:[RELID]],2,0),""))</f>
        <v/>
      </c>
      <c r="AZ22" s="17" t="str">
        <f>IF(ListLayout[[#This Row],[List Name for Layout]]="","nest_relation1",IFERROR(VLOOKUP(ListLayout[[#This Row],[Relation 1]],RelationTable[[Display]:[RELID]],2,0),""))</f>
        <v/>
      </c>
      <c r="BA22" s="17" t="str">
        <f>IF(ListLayout[[#This Row],[List Name for Layout]]="","nest_relation2",IFERROR(VLOOKUP(ListLayout[[#This Row],[Relation 2]],RelationTable[[Display]:[RELID]],2,0),""))</f>
        <v/>
      </c>
      <c r="BB22" s="31"/>
      <c r="BC22" s="31"/>
      <c r="BD22" s="31"/>
    </row>
    <row r="23" spans="1:56">
      <c r="A23" s="7" t="str">
        <f>'Table Seed Map'!$A$22&amp;"-"&amp;COUNTA($B$1:ResourceList[[#This Row],[Resource Name]])-1</f>
        <v>Resource Lists-21</v>
      </c>
      <c r="B23" s="2" t="s">
        <v>551</v>
      </c>
      <c r="C23" s="7" t="str">
        <f>ResourceList[[#This Row],[Resource Name]]&amp;"/"&amp;ResourceList[[#This Row],[Name]]</f>
        <v>ResourceFormFieldDepend/FieldDependsList</v>
      </c>
      <c r="D23" s="17">
        <f>IF(ResourceList[[#This Row],[Resource Name]]="","id",COUNTA($B$2:ResourceList[[#This Row],[Resource Name]])+IF(ISNUMBER(VLOOKUP('Table Seed Map'!$A$22,SeedMap[],9,0)),VLOOKUP('Table Seed Map'!$A$22,SeedMap[],9,0),0))</f>
        <v>21</v>
      </c>
      <c r="E23" s="17">
        <f>IFERROR(VLOOKUP(ResourceList[[#This Row],[Resource Name]],ResourceTable[[RName]:[RID]],2,0),"resource")</f>
        <v>14</v>
      </c>
      <c r="F23" s="31" t="s">
        <v>1348</v>
      </c>
      <c r="G23" s="31" t="s">
        <v>1353</v>
      </c>
      <c r="H23" s="31" t="s">
        <v>550</v>
      </c>
      <c r="I23" s="31">
        <v>5</v>
      </c>
      <c r="J23" s="108">
        <f>[No]</f>
        <v>21</v>
      </c>
      <c r="L23" s="2" t="s">
        <v>1284</v>
      </c>
      <c r="M23" s="7">
        <f>VLOOKUP(ListExtras[[#This Row],[List Name]],ResourceList[[ListDisplayName]:[No]],2,0)</f>
        <v>14</v>
      </c>
      <c r="N23" s="4"/>
      <c r="O23" s="4" t="s">
        <v>1285</v>
      </c>
      <c r="P23" s="4"/>
      <c r="Q23" s="4"/>
      <c r="R23" s="4"/>
      <c r="S23" s="7" t="str">
        <f>'Table Seed Map'!$A$23&amp;"-"&amp;COUNT($V$1:ListExtras[[#This Row],[Scope ID]])</f>
        <v>List Scopes-0</v>
      </c>
      <c r="T23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23" s="17">
        <f>IF(ListExtras[[#This Row],[LID]]=0,"resource_list",ListExtras[[#This Row],[LID]])</f>
        <v>14</v>
      </c>
      <c r="V23" s="17" t="str">
        <f>IFERROR(VLOOKUP(ListExtras[[#This Row],[Scope Name]],ResourceScopes[[ScopesDisplayNames]:[No]],2,0),IF(ListExtras[[#This Row],[LID]]=0,"scope",""))</f>
        <v/>
      </c>
      <c r="W23" s="7" t="str">
        <f>'Table Seed Map'!$A$24&amp;"-"&amp;COUNT($Z$1:ListExtras[[#This Row],[Relation]])</f>
        <v>List Relation-21</v>
      </c>
      <c r="X23" s="17">
        <f>IF(ListExtras[[#This Row],[LID]]=0,"id",IF(ListExtras[[#This Row],[Relation]]="","",COUNT($Z$2:ListExtras[[#This Row],[Relation]])+IF(ISNUMBER(VLOOKUP('Table Seed Map'!$A$24,SeedMap[],9,0)),VLOOKUP('Table Seed Map'!$A$24,SeedMap[],9,0),0)))</f>
        <v>21</v>
      </c>
      <c r="Y23" s="17">
        <f>IF(ListExtras[[#This Row],[LID]]=0,"resource_list",ListExtras[[#This Row],[LID]])</f>
        <v>14</v>
      </c>
      <c r="Z23" s="17">
        <f>IFERROR(VLOOKUP(ListExtras[[#This Row],[Relation Name]],RelationTable[[Display]:[RELID]],2,0),IF(ListExtras[[#This Row],[LID]]=0,"relation",""))</f>
        <v>70</v>
      </c>
      <c r="AA23" s="17" t="str">
        <f>IFERROR(VLOOKUP(ListExtras[[#This Row],[R1 Name]],RelationTable[[Display]:[RELID]],2,0),IF(ListExtras[[#This Row],[LID]]=0,"nest_relation1",""))</f>
        <v/>
      </c>
      <c r="AB23" s="17" t="str">
        <f>IFERROR(VLOOKUP(ListExtras[[#This Row],[R2 Name]],RelationTable[[Display]:[RELID]],2,0),IF(ListExtras[[#This Row],[LID]]=0,"nest_relation2",""))</f>
        <v/>
      </c>
      <c r="AC23" s="17" t="str">
        <f>IFERROR(VLOOKUP(ListExtras[[#This Row],[R3 Name]],RelationTable[[Display]:[RELID]],2,0),IF(ListExtras[[#This Row],[LID]]=0,"nest_relation3",""))</f>
        <v/>
      </c>
      <c r="AS23" s="17" t="str">
        <f>'Table Seed Map'!$A$25&amp;"-"&amp;COUNTA($AU$1:ListLayout[[#This Row],[No]])-2</f>
        <v>List Layout-21</v>
      </c>
      <c r="AT23" s="2" t="s">
        <v>1127</v>
      </c>
      <c r="AU23" s="17">
        <f>IF(ListLayout[[#This Row],[List Name for Layout]]="","id",COUNTA($AT$2:ListLayout[[#This Row],[List Name for Layout]])+IF(ISNUMBER(VLOOKUP('Table Seed Map'!$A$25,SeedMap[],9,0)),VLOOKUP('Table Seed Map'!$A$25,SeedMap[],9,0),0))</f>
        <v>21</v>
      </c>
      <c r="AV23" s="17">
        <f>IFERROR(VLOOKUP(ListLayout[[#This Row],[List Name for Layout]],ResourceList[[ListDisplayName]:[No]],2,0),"resource_list")</f>
        <v>5</v>
      </c>
      <c r="AW23" s="17" t="s">
        <v>1133</v>
      </c>
      <c r="AX23" s="31" t="s">
        <v>61</v>
      </c>
      <c r="AY23" s="17" t="str">
        <f>IF(ListLayout[[#This Row],[List Name for Layout]]="","relation",IFERROR(VLOOKUP(ListLayout[[#This Row],[Relation]],RelationTable[[Display]:[RELID]],2,0),""))</f>
        <v/>
      </c>
      <c r="AZ23" s="17" t="str">
        <f>IF(ListLayout[[#This Row],[List Name for Layout]]="","nest_relation1",IFERROR(VLOOKUP(ListLayout[[#This Row],[Relation 1]],RelationTable[[Display]:[RELID]],2,0),""))</f>
        <v/>
      </c>
      <c r="BA23" s="17" t="str">
        <f>IF(ListLayout[[#This Row],[List Name for Layout]]="","nest_relation2",IFERROR(VLOOKUP(ListLayout[[#This Row],[Relation 2]],RelationTable[[Display]:[RELID]],2,0),""))</f>
        <v/>
      </c>
      <c r="BB23" s="31"/>
      <c r="BC23" s="31"/>
      <c r="BD23" s="31"/>
    </row>
    <row r="24" spans="1:56">
      <c r="A24" s="7" t="str">
        <f>'Table Seed Map'!$A$22&amp;"-"&amp;COUNTA($B$1:ResourceList[[#This Row],[Resource Name]])-1</f>
        <v>Resource Lists-22</v>
      </c>
      <c r="B24" s="2" t="s">
        <v>653</v>
      </c>
      <c r="C24" s="7" t="str">
        <f>ResourceList[[#This Row],[Resource Name]]&amp;"/"&amp;ResourceList[[#This Row],[Name]]</f>
        <v>ResourceFormFieldDynamic/FieldDynamicsList</v>
      </c>
      <c r="D24" s="17">
        <f>IF(ResourceList[[#This Row],[Resource Name]]="","id",COUNTA($B$2:ResourceList[[#This Row],[Resource Name]])+IF(ISNUMBER(VLOOKUP('Table Seed Map'!$A$22,SeedMap[],9,0)),VLOOKUP('Table Seed Map'!$A$22,SeedMap[],9,0),0))</f>
        <v>22</v>
      </c>
      <c r="E24" s="17">
        <f>IFERROR(VLOOKUP(ResourceList[[#This Row],[Resource Name]],ResourceTable[[RName]:[RID]],2,0),"resource")</f>
        <v>15</v>
      </c>
      <c r="F24" s="31" t="s">
        <v>1349</v>
      </c>
      <c r="G24" s="31" t="s">
        <v>1354</v>
      </c>
      <c r="H24" s="31" t="s">
        <v>658</v>
      </c>
      <c r="I24" s="31">
        <v>5</v>
      </c>
      <c r="J24" s="108">
        <f>[No]</f>
        <v>22</v>
      </c>
      <c r="L24" s="2" t="s">
        <v>1284</v>
      </c>
      <c r="M24" s="7">
        <f>VLOOKUP(ListExtras[[#This Row],[List Name]],ResourceList[[ListDisplayName]:[No]],2,0)</f>
        <v>14</v>
      </c>
      <c r="N24" s="4"/>
      <c r="O24" s="4" t="s">
        <v>1286</v>
      </c>
      <c r="P24" s="4"/>
      <c r="Q24" s="4"/>
      <c r="R24" s="4"/>
      <c r="S24" s="7" t="str">
        <f>'Table Seed Map'!$A$23&amp;"-"&amp;COUNT($V$1:ListExtras[[#This Row],[Scope ID]])</f>
        <v>List Scopes-0</v>
      </c>
      <c r="T24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24" s="17">
        <f>IF(ListExtras[[#This Row],[LID]]=0,"resource_list",ListExtras[[#This Row],[LID]])</f>
        <v>14</v>
      </c>
      <c r="V24" s="17" t="str">
        <f>IFERROR(VLOOKUP(ListExtras[[#This Row],[Scope Name]],ResourceScopes[[ScopesDisplayNames]:[No]],2,0),IF(ListExtras[[#This Row],[LID]]=0,"scope",""))</f>
        <v/>
      </c>
      <c r="W24" s="7" t="str">
        <f>'Table Seed Map'!$A$24&amp;"-"&amp;COUNT($Z$1:ListExtras[[#This Row],[Relation]])</f>
        <v>List Relation-22</v>
      </c>
      <c r="X24" s="17">
        <f>IF(ListExtras[[#This Row],[LID]]=0,"id",IF(ListExtras[[#This Row],[Relation]]="","",COUNT($Z$2:ListExtras[[#This Row],[Relation]])+IF(ISNUMBER(VLOOKUP('Table Seed Map'!$A$24,SeedMap[],9,0)),VLOOKUP('Table Seed Map'!$A$24,SeedMap[],9,0),0)))</f>
        <v>22</v>
      </c>
      <c r="Y24" s="17">
        <f>IF(ListExtras[[#This Row],[LID]]=0,"resource_list",ListExtras[[#This Row],[LID]])</f>
        <v>14</v>
      </c>
      <c r="Z24" s="17">
        <f>IFERROR(VLOOKUP(ListExtras[[#This Row],[Relation Name]],RelationTable[[Display]:[RELID]],2,0),IF(ListExtras[[#This Row],[LID]]=0,"relation",""))</f>
        <v>71</v>
      </c>
      <c r="AA24" s="17" t="str">
        <f>IFERROR(VLOOKUP(ListExtras[[#This Row],[R1 Name]],RelationTable[[Display]:[RELID]],2,0),IF(ListExtras[[#This Row],[LID]]=0,"nest_relation1",""))</f>
        <v/>
      </c>
      <c r="AB24" s="17" t="str">
        <f>IFERROR(VLOOKUP(ListExtras[[#This Row],[R2 Name]],RelationTable[[Display]:[RELID]],2,0),IF(ListExtras[[#This Row],[LID]]=0,"nest_relation2",""))</f>
        <v/>
      </c>
      <c r="AC24" s="17" t="str">
        <f>IFERROR(VLOOKUP(ListExtras[[#This Row],[R3 Name]],RelationTable[[Display]:[RELID]],2,0),IF(ListExtras[[#This Row],[LID]]=0,"nest_relation3",""))</f>
        <v/>
      </c>
      <c r="AS24" s="17" t="str">
        <f>'Table Seed Map'!$A$25&amp;"-"&amp;COUNTA($AU$1:ListLayout[[#This Row],[No]])-2</f>
        <v>List Layout-22</v>
      </c>
      <c r="AT24" s="2" t="s">
        <v>1135</v>
      </c>
      <c r="AU24" s="17">
        <f>IF(ListLayout[[#This Row],[List Name for Layout]]="","id",COUNTA($AT$2:ListLayout[[#This Row],[List Name for Layout]])+IF(ISNUMBER(VLOOKUP('Table Seed Map'!$A$25,SeedMap[],9,0)),VLOOKUP('Table Seed Map'!$A$25,SeedMap[],9,0),0))</f>
        <v>22</v>
      </c>
      <c r="AV24" s="17">
        <f>IFERROR(VLOOKUP(ListLayout[[#This Row],[List Name for Layout]],ResourceList[[ListDisplayName]:[No]],2,0),"resource_list")</f>
        <v>6</v>
      </c>
      <c r="AW24" s="17" t="s">
        <v>785</v>
      </c>
      <c r="AX24" s="31" t="s">
        <v>21</v>
      </c>
      <c r="AY24" s="17" t="str">
        <f>IF(ListLayout[[#This Row],[List Name for Layout]]="","relation",IFERROR(VLOOKUP(ListLayout[[#This Row],[Relation]],RelationTable[[Display]:[RELID]],2,0),""))</f>
        <v/>
      </c>
      <c r="AZ24" s="17" t="str">
        <f>IF(ListLayout[[#This Row],[List Name for Layout]]="","nest_relation1",IFERROR(VLOOKUP(ListLayout[[#This Row],[Relation 1]],RelationTable[[Display]:[RELID]],2,0),""))</f>
        <v/>
      </c>
      <c r="BA24" s="17" t="str">
        <f>IF(ListLayout[[#This Row],[List Name for Layout]]="","nest_relation2",IFERROR(VLOOKUP(ListLayout[[#This Row],[Relation 2]],RelationTable[[Display]:[RELID]],2,0),""))</f>
        <v/>
      </c>
      <c r="BB24" s="31"/>
      <c r="BC24" s="31"/>
      <c r="BD24" s="31"/>
    </row>
    <row r="25" spans="1:56">
      <c r="L25" s="2" t="s">
        <v>1284</v>
      </c>
      <c r="M25" s="7">
        <f>VLOOKUP(ListExtras[[#This Row],[List Name]],ResourceList[[ListDisplayName]:[No]],2,0)</f>
        <v>14</v>
      </c>
      <c r="N25" s="4"/>
      <c r="O25" s="4" t="s">
        <v>1287</v>
      </c>
      <c r="P25" s="4"/>
      <c r="Q25" s="4"/>
      <c r="R25" s="4"/>
      <c r="S25" s="7" t="str">
        <f>'Table Seed Map'!$A$23&amp;"-"&amp;COUNT($V$1:ListExtras[[#This Row],[Scope ID]])</f>
        <v>List Scopes-0</v>
      </c>
      <c r="T25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25" s="17">
        <f>IF(ListExtras[[#This Row],[LID]]=0,"resource_list",ListExtras[[#This Row],[LID]])</f>
        <v>14</v>
      </c>
      <c r="V25" s="17" t="str">
        <f>IFERROR(VLOOKUP(ListExtras[[#This Row],[Scope Name]],ResourceScopes[[ScopesDisplayNames]:[No]],2,0),IF(ListExtras[[#This Row],[LID]]=0,"scope",""))</f>
        <v/>
      </c>
      <c r="W25" s="7" t="str">
        <f>'Table Seed Map'!$A$24&amp;"-"&amp;COUNT($Z$1:ListExtras[[#This Row],[Relation]])</f>
        <v>List Relation-23</v>
      </c>
      <c r="X25" s="17">
        <f>IF(ListExtras[[#This Row],[LID]]=0,"id",IF(ListExtras[[#This Row],[Relation]]="","",COUNT($Z$2:ListExtras[[#This Row],[Relation]])+IF(ISNUMBER(VLOOKUP('Table Seed Map'!$A$24,SeedMap[],9,0)),VLOOKUP('Table Seed Map'!$A$24,SeedMap[],9,0),0)))</f>
        <v>23</v>
      </c>
      <c r="Y25" s="17">
        <f>IF(ListExtras[[#This Row],[LID]]=0,"resource_list",ListExtras[[#This Row],[LID]])</f>
        <v>14</v>
      </c>
      <c r="Z25" s="17">
        <f>IFERROR(VLOOKUP(ListExtras[[#This Row],[Relation Name]],RelationTable[[Display]:[RELID]],2,0),IF(ListExtras[[#This Row],[LID]]=0,"relation",""))</f>
        <v>72</v>
      </c>
      <c r="AA25" s="17" t="str">
        <f>IFERROR(VLOOKUP(ListExtras[[#This Row],[R1 Name]],RelationTable[[Display]:[RELID]],2,0),IF(ListExtras[[#This Row],[LID]]=0,"nest_relation1",""))</f>
        <v/>
      </c>
      <c r="AB25" s="17" t="str">
        <f>IFERROR(VLOOKUP(ListExtras[[#This Row],[R2 Name]],RelationTable[[Display]:[RELID]],2,0),IF(ListExtras[[#This Row],[LID]]=0,"nest_relation2",""))</f>
        <v/>
      </c>
      <c r="AC25" s="17" t="str">
        <f>IFERROR(VLOOKUP(ListExtras[[#This Row],[R3 Name]],RelationTable[[Display]:[RELID]],2,0),IF(ListExtras[[#This Row],[LID]]=0,"nest_relation3",""))</f>
        <v/>
      </c>
      <c r="AS25" s="17" t="str">
        <f>'Table Seed Map'!$A$25&amp;"-"&amp;COUNTA($AU$1:ListLayout[[#This Row],[No]])-2</f>
        <v>List Layout-23</v>
      </c>
      <c r="AT25" s="2" t="s">
        <v>1135</v>
      </c>
      <c r="AU25" s="17">
        <f>IF(ListLayout[[#This Row],[List Name for Layout]]="","id",COUNTA($AT$2:ListLayout[[#This Row],[List Name for Layout]])+IF(ISNUMBER(VLOOKUP('Table Seed Map'!$A$25,SeedMap[],9,0)),VLOOKUP('Table Seed Map'!$A$25,SeedMap[],9,0),0))</f>
        <v>23</v>
      </c>
      <c r="AV25" s="17">
        <f>IFERROR(VLOOKUP(ListLayout[[#This Row],[List Name for Layout]],ResourceList[[ListDisplayName]:[No]],2,0),"resource_list")</f>
        <v>6</v>
      </c>
      <c r="AW25" s="17" t="s">
        <v>204</v>
      </c>
      <c r="AX25" s="31" t="s">
        <v>26</v>
      </c>
      <c r="AY25" s="17">
        <f>IF(ListLayout[[#This Row],[List Name for Layout]]="","relation",IFERROR(VLOOKUP(ListLayout[[#This Row],[Relation]],RelationTable[[Display]:[RELID]],2,0),""))</f>
        <v>30</v>
      </c>
      <c r="AZ25" s="17" t="str">
        <f>IF(ListLayout[[#This Row],[List Name for Layout]]="","nest_relation1",IFERROR(VLOOKUP(ListLayout[[#This Row],[Relation 1]],RelationTable[[Display]:[RELID]],2,0),""))</f>
        <v/>
      </c>
      <c r="BA25" s="17" t="str">
        <f>IF(ListLayout[[#This Row],[List Name for Layout]]="","nest_relation2",IFERROR(VLOOKUP(ListLayout[[#This Row],[Relation 2]],RelationTable[[Display]:[RELID]],2,0),""))</f>
        <v/>
      </c>
      <c r="BB25" s="31" t="s">
        <v>1136</v>
      </c>
      <c r="BC25" s="31"/>
      <c r="BD25" s="31"/>
    </row>
    <row r="26" spans="1:56">
      <c r="L26" s="2" t="s">
        <v>1289</v>
      </c>
      <c r="M26" s="7">
        <f>VLOOKUP(ListExtras[[#This Row],[List Name]],ResourceList[[ListDisplayName]:[No]],2,0)</f>
        <v>15</v>
      </c>
      <c r="N26" s="4"/>
      <c r="O26" s="4" t="s">
        <v>1290</v>
      </c>
      <c r="P26" s="4"/>
      <c r="Q26" s="4"/>
      <c r="R26" s="4"/>
      <c r="S26" s="7" t="str">
        <f>'Table Seed Map'!$A$23&amp;"-"&amp;COUNT($V$1:ListExtras[[#This Row],[Scope ID]])</f>
        <v>List Scopes-0</v>
      </c>
      <c r="T26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26" s="17">
        <f>IF(ListExtras[[#This Row],[LID]]=0,"resource_list",ListExtras[[#This Row],[LID]])</f>
        <v>15</v>
      </c>
      <c r="V26" s="17" t="str">
        <f>IFERROR(VLOOKUP(ListExtras[[#This Row],[Scope Name]],ResourceScopes[[ScopesDisplayNames]:[No]],2,0),IF(ListExtras[[#This Row],[LID]]=0,"scope",""))</f>
        <v/>
      </c>
      <c r="W26" s="7" t="str">
        <f>'Table Seed Map'!$A$24&amp;"-"&amp;COUNT($Z$1:ListExtras[[#This Row],[Relation]])</f>
        <v>List Relation-24</v>
      </c>
      <c r="X26" s="17">
        <f>IF(ListExtras[[#This Row],[LID]]=0,"id",IF(ListExtras[[#This Row],[Relation]]="","",COUNT($Z$2:ListExtras[[#This Row],[Relation]])+IF(ISNUMBER(VLOOKUP('Table Seed Map'!$A$24,SeedMap[],9,0)),VLOOKUP('Table Seed Map'!$A$24,SeedMap[],9,0),0)))</f>
        <v>24</v>
      </c>
      <c r="Y26" s="17">
        <f>IF(ListExtras[[#This Row],[LID]]=0,"resource_list",ListExtras[[#This Row],[LID]])</f>
        <v>15</v>
      </c>
      <c r="Z26" s="17">
        <f>IFERROR(VLOOKUP(ListExtras[[#This Row],[Relation Name]],RelationTable[[Display]:[RELID]],2,0),IF(ListExtras[[#This Row],[LID]]=0,"relation",""))</f>
        <v>73</v>
      </c>
      <c r="AA26" s="17" t="str">
        <f>IFERROR(VLOOKUP(ListExtras[[#This Row],[R1 Name]],RelationTable[[Display]:[RELID]],2,0),IF(ListExtras[[#This Row],[LID]]=0,"nest_relation1",""))</f>
        <v/>
      </c>
      <c r="AB26" s="17" t="str">
        <f>IFERROR(VLOOKUP(ListExtras[[#This Row],[R2 Name]],RelationTable[[Display]:[RELID]],2,0),IF(ListExtras[[#This Row],[LID]]=0,"nest_relation2",""))</f>
        <v/>
      </c>
      <c r="AC26" s="17" t="str">
        <f>IFERROR(VLOOKUP(ListExtras[[#This Row],[R3 Name]],RelationTable[[Display]:[RELID]],2,0),IF(ListExtras[[#This Row],[LID]]=0,"nest_relation3",""))</f>
        <v/>
      </c>
      <c r="AS26" s="17" t="str">
        <f>'Table Seed Map'!$A$25&amp;"-"&amp;COUNTA($AU$1:ListLayout[[#This Row],[No]])-2</f>
        <v>List Layout-24</v>
      </c>
      <c r="AT26" s="2" t="s">
        <v>1135</v>
      </c>
      <c r="AU26" s="17">
        <f>IF(ListLayout[[#This Row],[List Name for Layout]]="","id",COUNTA($AT$2:ListLayout[[#This Row],[List Name for Layout]])+IF(ISNUMBER(VLOOKUP('Table Seed Map'!$A$25,SeedMap[],9,0)),VLOOKUP('Table Seed Map'!$A$25,SeedMap[],9,0),0))</f>
        <v>24</v>
      </c>
      <c r="AV26" s="17">
        <f>IFERROR(VLOOKUP(ListLayout[[#This Row],[List Name for Layout]],ResourceList[[ListDisplayName]:[No]],2,0),"resource_list")</f>
        <v>6</v>
      </c>
      <c r="AW26" s="17" t="s">
        <v>1</v>
      </c>
      <c r="AX26" s="31" t="s">
        <v>26</v>
      </c>
      <c r="AY26" s="17" t="str">
        <f>IF(ListLayout[[#This Row],[List Name for Layout]]="","relation",IFERROR(VLOOKUP(ListLayout[[#This Row],[Relation]],RelationTable[[Display]:[RELID]],2,0),""))</f>
        <v/>
      </c>
      <c r="AZ26" s="17" t="str">
        <f>IF(ListLayout[[#This Row],[List Name for Layout]]="","nest_relation1",IFERROR(VLOOKUP(ListLayout[[#This Row],[Relation 1]],RelationTable[[Display]:[RELID]],2,0),""))</f>
        <v/>
      </c>
      <c r="BA26" s="17" t="str">
        <f>IF(ListLayout[[#This Row],[List Name for Layout]]="","nest_relation2",IFERROR(VLOOKUP(ListLayout[[#This Row],[Relation 2]],RelationTable[[Display]:[RELID]],2,0),""))</f>
        <v/>
      </c>
      <c r="BB26" s="31"/>
      <c r="BC26" s="31"/>
      <c r="BD26" s="31"/>
    </row>
    <row r="27" spans="1:56">
      <c r="L27" s="2" t="s">
        <v>1289</v>
      </c>
      <c r="M27" s="7">
        <f>VLOOKUP(ListExtras[[#This Row],[List Name]],ResourceList[[ListDisplayName]:[No]],2,0)</f>
        <v>15</v>
      </c>
      <c r="N27" s="4"/>
      <c r="O27" s="4" t="s">
        <v>1291</v>
      </c>
      <c r="P27" s="4"/>
      <c r="Q27" s="4"/>
      <c r="R27" s="4"/>
      <c r="S27" s="7" t="str">
        <f>'Table Seed Map'!$A$23&amp;"-"&amp;COUNT($V$1:ListExtras[[#This Row],[Scope ID]])</f>
        <v>List Scopes-0</v>
      </c>
      <c r="T27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27" s="17">
        <f>IF(ListExtras[[#This Row],[LID]]=0,"resource_list",ListExtras[[#This Row],[LID]])</f>
        <v>15</v>
      </c>
      <c r="V27" s="17" t="str">
        <f>IFERROR(VLOOKUP(ListExtras[[#This Row],[Scope Name]],ResourceScopes[[ScopesDisplayNames]:[No]],2,0),IF(ListExtras[[#This Row],[LID]]=0,"scope",""))</f>
        <v/>
      </c>
      <c r="W27" s="7" t="str">
        <f>'Table Seed Map'!$A$24&amp;"-"&amp;COUNT($Z$1:ListExtras[[#This Row],[Relation]])</f>
        <v>List Relation-25</v>
      </c>
      <c r="X27" s="17">
        <f>IF(ListExtras[[#This Row],[LID]]=0,"id",IF(ListExtras[[#This Row],[Relation]]="","",COUNT($Z$2:ListExtras[[#This Row],[Relation]])+IF(ISNUMBER(VLOOKUP('Table Seed Map'!$A$24,SeedMap[],9,0)),VLOOKUP('Table Seed Map'!$A$24,SeedMap[],9,0),0)))</f>
        <v>25</v>
      </c>
      <c r="Y27" s="17">
        <f>IF(ListExtras[[#This Row],[LID]]=0,"resource_list",ListExtras[[#This Row],[LID]])</f>
        <v>15</v>
      </c>
      <c r="Z27" s="17">
        <f>IFERROR(VLOOKUP(ListExtras[[#This Row],[Relation Name]],RelationTable[[Display]:[RELID]],2,0),IF(ListExtras[[#This Row],[LID]]=0,"relation",""))</f>
        <v>74</v>
      </c>
      <c r="AA27" s="17" t="str">
        <f>IFERROR(VLOOKUP(ListExtras[[#This Row],[R1 Name]],RelationTable[[Display]:[RELID]],2,0),IF(ListExtras[[#This Row],[LID]]=0,"nest_relation1",""))</f>
        <v/>
      </c>
      <c r="AB27" s="17" t="str">
        <f>IFERROR(VLOOKUP(ListExtras[[#This Row],[R2 Name]],RelationTable[[Display]:[RELID]],2,0),IF(ListExtras[[#This Row],[LID]]=0,"nest_relation2",""))</f>
        <v/>
      </c>
      <c r="AC27" s="17" t="str">
        <f>IFERROR(VLOOKUP(ListExtras[[#This Row],[R3 Name]],RelationTable[[Display]:[RELID]],2,0),IF(ListExtras[[#This Row],[LID]]=0,"nest_relation3",""))</f>
        <v/>
      </c>
      <c r="AS27" s="17" t="str">
        <f>'Table Seed Map'!$A$25&amp;"-"&amp;COUNTA($AU$1:ListLayout[[#This Row],[No]])-2</f>
        <v>List Layout-25</v>
      </c>
      <c r="AT27" s="2" t="s">
        <v>1135</v>
      </c>
      <c r="AU27" s="17">
        <f>IF(ListLayout[[#This Row],[List Name for Layout]]="","id",COUNTA($AT$2:ListLayout[[#This Row],[List Name for Layout]])+IF(ISNUMBER(VLOOKUP('Table Seed Map'!$A$25,SeedMap[],9,0)),VLOOKUP('Table Seed Map'!$A$25,SeedMap[],9,0),0))</f>
        <v>25</v>
      </c>
      <c r="AV27" s="17">
        <f>IFERROR(VLOOKUP(ListLayout[[#This Row],[List Name for Layout]],ResourceList[[ListDisplayName]:[No]],2,0),"resource_list")</f>
        <v>6</v>
      </c>
      <c r="AW27" s="17" t="s">
        <v>951</v>
      </c>
      <c r="AX27" s="31" t="s">
        <v>54</v>
      </c>
      <c r="AY27" s="17" t="str">
        <f>IF(ListLayout[[#This Row],[List Name for Layout]]="","relation",IFERROR(VLOOKUP(ListLayout[[#This Row],[Relation]],RelationTable[[Display]:[RELID]],2,0),""))</f>
        <v/>
      </c>
      <c r="AZ27" s="17" t="str">
        <f>IF(ListLayout[[#This Row],[List Name for Layout]]="","nest_relation1",IFERROR(VLOOKUP(ListLayout[[#This Row],[Relation 1]],RelationTable[[Display]:[RELID]],2,0),""))</f>
        <v/>
      </c>
      <c r="BA27" s="17" t="str">
        <f>IF(ListLayout[[#This Row],[List Name for Layout]]="","nest_relation2",IFERROR(VLOOKUP(ListLayout[[#This Row],[Relation 2]],RelationTable[[Display]:[RELID]],2,0),""))</f>
        <v/>
      </c>
      <c r="BB27" s="31"/>
      <c r="BC27" s="31"/>
      <c r="BD27" s="31"/>
    </row>
    <row r="28" spans="1:56">
      <c r="L28" s="2" t="s">
        <v>1292</v>
      </c>
      <c r="M28" s="7">
        <f>VLOOKUP(ListExtras[[#This Row],[List Name]],ResourceList[[ListDisplayName]:[No]],2,0)</f>
        <v>16</v>
      </c>
      <c r="N28" s="4"/>
      <c r="O28" s="4" t="s">
        <v>1293</v>
      </c>
      <c r="P28" s="4"/>
      <c r="Q28" s="4"/>
      <c r="R28" s="4"/>
      <c r="S28" s="7" t="str">
        <f>'Table Seed Map'!$A$23&amp;"-"&amp;COUNT($V$1:ListExtras[[#This Row],[Scope ID]])</f>
        <v>List Scopes-0</v>
      </c>
      <c r="T28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28" s="17">
        <f>IF(ListExtras[[#This Row],[LID]]=0,"resource_list",ListExtras[[#This Row],[LID]])</f>
        <v>16</v>
      </c>
      <c r="V28" s="17" t="str">
        <f>IFERROR(VLOOKUP(ListExtras[[#This Row],[Scope Name]],ResourceScopes[[ScopesDisplayNames]:[No]],2,0),IF(ListExtras[[#This Row],[LID]]=0,"scope",""))</f>
        <v/>
      </c>
      <c r="W28" s="7" t="str">
        <f>'Table Seed Map'!$A$24&amp;"-"&amp;COUNT($Z$1:ListExtras[[#This Row],[Relation]])</f>
        <v>List Relation-26</v>
      </c>
      <c r="X28" s="17">
        <f>IF(ListExtras[[#This Row],[LID]]=0,"id",IF(ListExtras[[#This Row],[Relation]]="","",COUNT($Z$2:ListExtras[[#This Row],[Relation]])+IF(ISNUMBER(VLOOKUP('Table Seed Map'!$A$24,SeedMap[],9,0)),VLOOKUP('Table Seed Map'!$A$24,SeedMap[],9,0),0)))</f>
        <v>26</v>
      </c>
      <c r="Y28" s="17">
        <f>IF(ListExtras[[#This Row],[LID]]=0,"resource_list",ListExtras[[#This Row],[LID]])</f>
        <v>16</v>
      </c>
      <c r="Z28" s="17">
        <f>IFERROR(VLOOKUP(ListExtras[[#This Row],[Relation Name]],RelationTable[[Display]:[RELID]],2,0),IF(ListExtras[[#This Row],[LID]]=0,"relation",""))</f>
        <v>75</v>
      </c>
      <c r="AA28" s="17" t="str">
        <f>IFERROR(VLOOKUP(ListExtras[[#This Row],[R1 Name]],RelationTable[[Display]:[RELID]],2,0),IF(ListExtras[[#This Row],[LID]]=0,"nest_relation1",""))</f>
        <v/>
      </c>
      <c r="AB28" s="17" t="str">
        <f>IFERROR(VLOOKUP(ListExtras[[#This Row],[R2 Name]],RelationTable[[Display]:[RELID]],2,0),IF(ListExtras[[#This Row],[LID]]=0,"nest_relation2",""))</f>
        <v/>
      </c>
      <c r="AC28" s="17" t="str">
        <f>IFERROR(VLOOKUP(ListExtras[[#This Row],[R3 Name]],RelationTable[[Display]:[RELID]],2,0),IF(ListExtras[[#This Row],[LID]]=0,"nest_relation3",""))</f>
        <v/>
      </c>
      <c r="AS28" s="17" t="str">
        <f>'Table Seed Map'!$A$25&amp;"-"&amp;COUNTA($AU$1:ListLayout[[#This Row],[No]])-2</f>
        <v>List Layout-26</v>
      </c>
      <c r="AT28" s="2" t="s">
        <v>1169</v>
      </c>
      <c r="AU28" s="17">
        <f>IF(ListLayout[[#This Row],[List Name for Layout]]="","id",COUNTA($AT$2:ListLayout[[#This Row],[List Name for Layout]])+IF(ISNUMBER(VLOOKUP('Table Seed Map'!$A$25,SeedMap[],9,0)),VLOOKUP('Table Seed Map'!$A$25,SeedMap[],9,0),0))</f>
        <v>26</v>
      </c>
      <c r="AV28" s="17">
        <f>IFERROR(VLOOKUP(ListLayout[[#This Row],[List Name for Layout]],ResourceList[[ListDisplayName]:[No]],2,0),"resource_list")</f>
        <v>7</v>
      </c>
      <c r="AW28" s="17" t="s">
        <v>276</v>
      </c>
      <c r="AX28" s="31" t="s">
        <v>26</v>
      </c>
      <c r="AY28" s="17">
        <f>IF(ListLayout[[#This Row],[List Name for Layout]]="","relation",IFERROR(VLOOKUP(ListLayout[[#This Row],[Relation]],RelationTable[[Display]:[RELID]],2,0),""))</f>
        <v>42</v>
      </c>
      <c r="AZ28" s="17" t="str">
        <f>IF(ListLayout[[#This Row],[List Name for Layout]]="","nest_relation1",IFERROR(VLOOKUP(ListLayout[[#This Row],[Relation 1]],RelationTable[[Display]:[RELID]],2,0),""))</f>
        <v/>
      </c>
      <c r="BA28" s="17" t="str">
        <f>IF(ListLayout[[#This Row],[List Name for Layout]]="","nest_relation2",IFERROR(VLOOKUP(ListLayout[[#This Row],[Relation 2]],RelationTable[[Display]:[RELID]],2,0),""))</f>
        <v/>
      </c>
      <c r="BB28" s="31" t="s">
        <v>1170</v>
      </c>
      <c r="BC28" s="31"/>
      <c r="BD28" s="31"/>
    </row>
    <row r="29" spans="1:56">
      <c r="AS29" s="17" t="str">
        <f>'Table Seed Map'!$A$25&amp;"-"&amp;COUNTA($AU$1:ListLayout[[#This Row],[No]])-2</f>
        <v>List Layout-27</v>
      </c>
      <c r="AT29" s="2" t="s">
        <v>1169</v>
      </c>
      <c r="AU29" s="17">
        <f>IF(ListLayout[[#This Row],[List Name for Layout]]="","id",COUNTA($AT$2:ListLayout[[#This Row],[List Name for Layout]])+IF(ISNUMBER(VLOOKUP('Table Seed Map'!$A$25,SeedMap[],9,0)),VLOOKUP('Table Seed Map'!$A$25,SeedMap[],9,0),0))</f>
        <v>27</v>
      </c>
      <c r="AV29" s="17">
        <f>IFERROR(VLOOKUP(ListLayout[[#This Row],[List Name for Layout]],ResourceList[[ListDisplayName]:[No]],2,0),"resource_list")</f>
        <v>7</v>
      </c>
      <c r="AW29" s="17" t="s">
        <v>1</v>
      </c>
      <c r="AX29" s="31" t="s">
        <v>26</v>
      </c>
      <c r="AY29" s="17" t="str">
        <f>IF(ListLayout[[#This Row],[List Name for Layout]]="","relation",IFERROR(VLOOKUP(ListLayout[[#This Row],[Relation]],RelationTable[[Display]:[RELID]],2,0),""))</f>
        <v/>
      </c>
      <c r="AZ29" s="17" t="str">
        <f>IF(ListLayout[[#This Row],[List Name for Layout]]="","nest_relation1",IFERROR(VLOOKUP(ListLayout[[#This Row],[Relation 1]],RelationTable[[Display]:[RELID]],2,0),""))</f>
        <v/>
      </c>
      <c r="BA29" s="17" t="str">
        <f>IF(ListLayout[[#This Row],[List Name for Layout]]="","nest_relation2",IFERROR(VLOOKUP(ListLayout[[#This Row],[Relation 2]],RelationTable[[Display]:[RELID]],2,0),""))</f>
        <v/>
      </c>
      <c r="BB29" s="31"/>
      <c r="BC29" s="31"/>
      <c r="BD29" s="31"/>
    </row>
    <row r="30" spans="1:56">
      <c r="AS30" s="17" t="str">
        <f>'Table Seed Map'!$A$25&amp;"-"&amp;COUNTA($AU$1:ListLayout[[#This Row],[No]])-2</f>
        <v>List Layout-28</v>
      </c>
      <c r="AT30" s="2" t="s">
        <v>1169</v>
      </c>
      <c r="AU30" s="17">
        <f>IF(ListLayout[[#This Row],[List Name for Layout]]="","id",COUNTA($AT$2:ListLayout[[#This Row],[List Name for Layout]])+IF(ISNUMBER(VLOOKUP('Table Seed Map'!$A$25,SeedMap[],9,0)),VLOOKUP('Table Seed Map'!$A$25,SeedMap[],9,0),0))</f>
        <v>28</v>
      </c>
      <c r="AV30" s="17">
        <f>IFERROR(VLOOKUP(ListLayout[[#This Row],[List Name for Layout]],ResourceList[[ListDisplayName]:[No]],2,0),"resource_list")</f>
        <v>7</v>
      </c>
      <c r="AW30" s="17" t="s">
        <v>14</v>
      </c>
      <c r="AX30" s="31" t="s">
        <v>48</v>
      </c>
      <c r="AY30" s="17" t="str">
        <f>IF(ListLayout[[#This Row],[List Name for Layout]]="","relation",IFERROR(VLOOKUP(ListLayout[[#This Row],[Relation]],RelationTable[[Display]:[RELID]],2,0),""))</f>
        <v/>
      </c>
      <c r="AZ30" s="17" t="str">
        <f>IF(ListLayout[[#This Row],[List Name for Layout]]="","nest_relation1",IFERROR(VLOOKUP(ListLayout[[#This Row],[Relation 1]],RelationTable[[Display]:[RELID]],2,0),""))</f>
        <v/>
      </c>
      <c r="BA30" s="17" t="str">
        <f>IF(ListLayout[[#This Row],[List Name for Layout]]="","nest_relation2",IFERROR(VLOOKUP(ListLayout[[#This Row],[Relation 2]],RelationTable[[Display]:[RELID]],2,0),""))</f>
        <v/>
      </c>
      <c r="BB30" s="31"/>
      <c r="BC30" s="31"/>
      <c r="BD30" s="31"/>
    </row>
    <row r="31" spans="1:56">
      <c r="AS31" s="17" t="str">
        <f>'Table Seed Map'!$A$25&amp;"-"&amp;COUNTA($AU$1:ListLayout[[#This Row],[No]])-2</f>
        <v>List Layout-29</v>
      </c>
      <c r="AT31" s="2" t="s">
        <v>1169</v>
      </c>
      <c r="AU31" s="17">
        <f>IF(ListLayout[[#This Row],[List Name for Layout]]="","id",COUNTA($AT$2:ListLayout[[#This Row],[List Name for Layout]])+IF(ISNUMBER(VLOOKUP('Table Seed Map'!$A$25,SeedMap[],9,0)),VLOOKUP('Table Seed Map'!$A$25,SeedMap[],9,0),0))</f>
        <v>29</v>
      </c>
      <c r="AV31" s="17">
        <f>IFERROR(VLOOKUP(ListLayout[[#This Row],[List Name for Layout]],ResourceList[[ListDisplayName]:[No]],2,0),"resource_list")</f>
        <v>7</v>
      </c>
      <c r="AW31" s="17" t="s">
        <v>244</v>
      </c>
      <c r="AX31" s="31" t="s">
        <v>230</v>
      </c>
      <c r="AY31" s="17" t="str">
        <f>IF(ListLayout[[#This Row],[List Name for Layout]]="","relation",IFERROR(VLOOKUP(ListLayout[[#This Row],[Relation]],RelationTable[[Display]:[RELID]],2,0),""))</f>
        <v/>
      </c>
      <c r="AZ31" s="17" t="str">
        <f>IF(ListLayout[[#This Row],[List Name for Layout]]="","nest_relation1",IFERROR(VLOOKUP(ListLayout[[#This Row],[Relation 1]],RelationTable[[Display]:[RELID]],2,0),""))</f>
        <v/>
      </c>
      <c r="BA31" s="17" t="str">
        <f>IF(ListLayout[[#This Row],[List Name for Layout]]="","nest_relation2",IFERROR(VLOOKUP(ListLayout[[#This Row],[Relation 2]],RelationTable[[Display]:[RELID]],2,0),""))</f>
        <v/>
      </c>
      <c r="BB31" s="31"/>
      <c r="BC31" s="31"/>
      <c r="BD31" s="31"/>
    </row>
    <row r="32" spans="1:56">
      <c r="AS32" s="17" t="str">
        <f>'Table Seed Map'!$A$25&amp;"-"&amp;COUNTA($AU$1:ListLayout[[#This Row],[No]])-2</f>
        <v>List Layout-30</v>
      </c>
      <c r="AT32" s="2" t="s">
        <v>1179</v>
      </c>
      <c r="AU32" s="17">
        <f>IF(ListLayout[[#This Row],[List Name for Layout]]="","id",COUNTA($AT$2:ListLayout[[#This Row],[List Name for Layout]])+IF(ISNUMBER(VLOOKUP('Table Seed Map'!$A$25,SeedMap[],9,0)),VLOOKUP('Table Seed Map'!$A$25,SeedMap[],9,0),0))</f>
        <v>30</v>
      </c>
      <c r="AV32" s="17">
        <f>IFERROR(VLOOKUP(ListLayout[[#This Row],[List Name for Layout]],ResourceList[[ListDisplayName]:[No]],2,0),"resource_list")</f>
        <v>8</v>
      </c>
      <c r="AW32" s="17" t="s">
        <v>276</v>
      </c>
      <c r="AX32" s="31" t="s">
        <v>26</v>
      </c>
      <c r="AY32" s="17">
        <f>IF(ListLayout[[#This Row],[List Name for Layout]]="","relation",IFERROR(VLOOKUP(ListLayout[[#This Row],[Relation]],RelationTable[[Display]:[RELID]],2,0),""))</f>
        <v>59</v>
      </c>
      <c r="AZ32" s="17">
        <f>IF(ListLayout[[#This Row],[List Name for Layout]]="","nest_relation1",IFERROR(VLOOKUP(ListLayout[[#This Row],[Relation 1]],RelationTable[[Display]:[RELID]],2,0),""))</f>
        <v>42</v>
      </c>
      <c r="BA32" s="17" t="str">
        <f>IF(ListLayout[[#This Row],[List Name for Layout]]="","nest_relation2",IFERROR(VLOOKUP(ListLayout[[#This Row],[Relation 2]],RelationTable[[Display]:[RELID]],2,0),""))</f>
        <v/>
      </c>
      <c r="BB32" s="31" t="s">
        <v>1184</v>
      </c>
      <c r="BC32" s="31" t="s">
        <v>1170</v>
      </c>
      <c r="BD32" s="31"/>
    </row>
    <row r="33" spans="45:56">
      <c r="AS33" s="17" t="str">
        <f>'Table Seed Map'!$A$25&amp;"-"&amp;COUNTA($AU$1:ListLayout[[#This Row],[No]])-2</f>
        <v>List Layout-31</v>
      </c>
      <c r="AT33" s="2" t="s">
        <v>1179</v>
      </c>
      <c r="AU33" s="17">
        <f>IF(ListLayout[[#This Row],[List Name for Layout]]="","id",COUNTA($AT$2:ListLayout[[#This Row],[List Name for Layout]])+IF(ISNUMBER(VLOOKUP('Table Seed Map'!$A$25,SeedMap[],9,0)),VLOOKUP('Table Seed Map'!$A$25,SeedMap[],9,0),0))</f>
        <v>31</v>
      </c>
      <c r="AV33" s="17">
        <f>IFERROR(VLOOKUP(ListLayout[[#This Row],[List Name for Layout]],ResourceList[[ListDisplayName]:[No]],2,0),"resource_list")</f>
        <v>8</v>
      </c>
      <c r="AW33" s="17" t="s">
        <v>13</v>
      </c>
      <c r="AX33" s="31" t="s">
        <v>26</v>
      </c>
      <c r="AY33" s="17">
        <f>IF(ListLayout[[#This Row],[List Name for Layout]]="","relation",IFERROR(VLOOKUP(ListLayout[[#This Row],[Relation]],RelationTable[[Display]:[RELID]],2,0),""))</f>
        <v>59</v>
      </c>
      <c r="AZ33" s="17" t="str">
        <f>IF(ListLayout[[#This Row],[List Name for Layout]]="","nest_relation1",IFERROR(VLOOKUP(ListLayout[[#This Row],[Relation 1]],RelationTable[[Display]:[RELID]],2,0),""))</f>
        <v/>
      </c>
      <c r="BA33" s="17" t="str">
        <f>IF(ListLayout[[#This Row],[List Name for Layout]]="","nest_relation2",IFERROR(VLOOKUP(ListLayout[[#This Row],[Relation 2]],RelationTable[[Display]:[RELID]],2,0),""))</f>
        <v/>
      </c>
      <c r="BB33" s="31" t="s">
        <v>1184</v>
      </c>
      <c r="BC33" s="31"/>
      <c r="BD33" s="31"/>
    </row>
    <row r="34" spans="45:56">
      <c r="AS34" s="17" t="str">
        <f>'Table Seed Map'!$A$25&amp;"-"&amp;COUNTA($AU$1:ListLayout[[#This Row],[No]])-2</f>
        <v>List Layout-32</v>
      </c>
      <c r="AT34" s="2" t="s">
        <v>1179</v>
      </c>
      <c r="AU34" s="17">
        <f>IF(ListLayout[[#This Row],[List Name for Layout]]="","id",COUNTA($AT$2:ListLayout[[#This Row],[List Name for Layout]])+IF(ISNUMBER(VLOOKUP('Table Seed Map'!$A$25,SeedMap[],9,0)),VLOOKUP('Table Seed Map'!$A$25,SeedMap[],9,0),0))</f>
        <v>32</v>
      </c>
      <c r="AV34" s="17">
        <f>IFERROR(VLOOKUP(ListLayout[[#This Row],[List Name for Layout]],ResourceList[[ListDisplayName]:[No]],2,0),"resource_list")</f>
        <v>8</v>
      </c>
      <c r="AW34" s="17" t="s">
        <v>802</v>
      </c>
      <c r="AX34" s="31" t="s">
        <v>472</v>
      </c>
      <c r="AY34" s="17" t="str">
        <f>IF(ListLayout[[#This Row],[List Name for Layout]]="","relation",IFERROR(VLOOKUP(ListLayout[[#This Row],[Relation]],RelationTable[[Display]:[RELID]],2,0),""))</f>
        <v/>
      </c>
      <c r="AZ34" s="17" t="str">
        <f>IF(ListLayout[[#This Row],[List Name for Layout]]="","nest_relation1",IFERROR(VLOOKUP(ListLayout[[#This Row],[Relation 1]],RelationTable[[Display]:[RELID]],2,0),""))</f>
        <v/>
      </c>
      <c r="BA34" s="17" t="str">
        <f>IF(ListLayout[[#This Row],[List Name for Layout]]="","nest_relation2",IFERROR(VLOOKUP(ListLayout[[#This Row],[Relation 2]],RelationTable[[Display]:[RELID]],2,0),""))</f>
        <v/>
      </c>
      <c r="BB34" s="31"/>
      <c r="BC34" s="31"/>
      <c r="BD34" s="31"/>
    </row>
    <row r="35" spans="45:56">
      <c r="AS35" s="17" t="str">
        <f>'Table Seed Map'!$A$25&amp;"-"&amp;COUNTA($AU$1:ListLayout[[#This Row],[No]])-2</f>
        <v>List Layout-33</v>
      </c>
      <c r="AT35" s="2" t="s">
        <v>1196</v>
      </c>
      <c r="AU35" s="17">
        <f>IF(ListLayout[[#This Row],[List Name for Layout]]="","id",COUNTA($AT$2:ListLayout[[#This Row],[List Name for Layout]])+IF(ISNUMBER(VLOOKUP('Table Seed Map'!$A$25,SeedMap[],9,0)),VLOOKUP('Table Seed Map'!$A$25,SeedMap[],9,0),0))</f>
        <v>33</v>
      </c>
      <c r="AV35" s="17">
        <f>IFERROR(VLOOKUP(ListLayout[[#This Row],[List Name for Layout]],ResourceList[[ListDisplayName]:[No]],2,0),"resource_list")</f>
        <v>9</v>
      </c>
      <c r="AW35" s="17" t="s">
        <v>513</v>
      </c>
      <c r="AX35" s="31" t="s">
        <v>26</v>
      </c>
      <c r="AY35" s="17">
        <f>IF(ListLayout[[#This Row],[List Name for Layout]]="","relation",IFERROR(VLOOKUP(ListLayout[[#This Row],[Relation]],RelationTable[[Display]:[RELID]],2,0),""))</f>
        <v>39</v>
      </c>
      <c r="AZ35" s="17" t="str">
        <f>IF(ListLayout[[#This Row],[List Name for Layout]]="","nest_relation1",IFERROR(VLOOKUP(ListLayout[[#This Row],[Relation 1]],RelationTable[[Display]:[RELID]],2,0),""))</f>
        <v/>
      </c>
      <c r="BA35" s="17" t="str">
        <f>IF(ListLayout[[#This Row],[List Name for Layout]]="","nest_relation2",IFERROR(VLOOKUP(ListLayout[[#This Row],[Relation 2]],RelationTable[[Display]:[RELID]],2,0),""))</f>
        <v/>
      </c>
      <c r="BB35" s="31" t="s">
        <v>1197</v>
      </c>
      <c r="BC35" s="31"/>
      <c r="BD35" s="31"/>
    </row>
    <row r="36" spans="45:56">
      <c r="AS36" s="17" t="str">
        <f>'Table Seed Map'!$A$25&amp;"-"&amp;COUNTA($AU$1:ListLayout[[#This Row],[No]])-2</f>
        <v>List Layout-34</v>
      </c>
      <c r="AT36" s="2" t="s">
        <v>1196</v>
      </c>
      <c r="AU36" s="17">
        <f>IF(ListLayout[[#This Row],[List Name for Layout]]="","id",COUNTA($AT$2:ListLayout[[#This Row],[List Name for Layout]])+IF(ISNUMBER(VLOOKUP('Table Seed Map'!$A$25,SeedMap[],9,0)),VLOOKUP('Table Seed Map'!$A$25,SeedMap[],9,0),0))</f>
        <v>34</v>
      </c>
      <c r="AV36" s="17">
        <f>IFERROR(VLOOKUP(ListLayout[[#This Row],[List Name for Layout]],ResourceList[[ListDisplayName]:[No]],2,0),"resource_list")</f>
        <v>9</v>
      </c>
      <c r="AW36" s="17" t="s">
        <v>246</v>
      </c>
      <c r="AX36" s="31" t="s">
        <v>26</v>
      </c>
      <c r="AY36" s="17">
        <f>IF(ListLayout[[#This Row],[List Name for Layout]]="","relation",IFERROR(VLOOKUP(ListLayout[[#This Row],[Relation]],RelationTable[[Display]:[RELID]],2,0),""))</f>
        <v>40</v>
      </c>
      <c r="AZ36" s="17" t="str">
        <f>IF(ListLayout[[#This Row],[List Name for Layout]]="","nest_relation1",IFERROR(VLOOKUP(ListLayout[[#This Row],[Relation 1]],RelationTable[[Display]:[RELID]],2,0),""))</f>
        <v/>
      </c>
      <c r="BA36" s="17" t="str">
        <f>IF(ListLayout[[#This Row],[List Name for Layout]]="","nest_relation2",IFERROR(VLOOKUP(ListLayout[[#This Row],[Relation 2]],RelationTable[[Display]:[RELID]],2,0),""))</f>
        <v/>
      </c>
      <c r="BB36" s="31" t="s">
        <v>1198</v>
      </c>
      <c r="BC36" s="31"/>
      <c r="BD36" s="31"/>
    </row>
    <row r="37" spans="45:56">
      <c r="AS37" s="17" t="str">
        <f>'Table Seed Map'!$A$25&amp;"-"&amp;COUNTA($AU$1:ListLayout[[#This Row],[No]])-2</f>
        <v>List Layout-35</v>
      </c>
      <c r="AT37" s="2" t="s">
        <v>1196</v>
      </c>
      <c r="AU37" s="17">
        <f>IF(ListLayout[[#This Row],[List Name for Layout]]="","id",COUNTA($AT$2:ListLayout[[#This Row],[List Name for Layout]])+IF(ISNUMBER(VLOOKUP('Table Seed Map'!$A$25,SeedMap[],9,0)),VLOOKUP('Table Seed Map'!$A$25,SeedMap[],9,0),0))</f>
        <v>35</v>
      </c>
      <c r="AV37" s="17">
        <f>IFERROR(VLOOKUP(ListLayout[[#This Row],[List Name for Layout]],ResourceList[[ListDisplayName]:[No]],2,0),"resource_list")</f>
        <v>9</v>
      </c>
      <c r="AW37" s="17" t="s">
        <v>913</v>
      </c>
      <c r="AX37" s="31" t="s">
        <v>230</v>
      </c>
      <c r="AY37" s="17">
        <f>IF(ListLayout[[#This Row],[List Name for Layout]]="","relation",IFERROR(VLOOKUP(ListLayout[[#This Row],[Relation]],RelationTable[[Display]:[RELID]],2,0),""))</f>
        <v>60</v>
      </c>
      <c r="AZ37" s="17" t="str">
        <f>IF(ListLayout[[#This Row],[List Name for Layout]]="","nest_relation1",IFERROR(VLOOKUP(ListLayout[[#This Row],[Relation 1]],RelationTable[[Display]:[RELID]],2,0),""))</f>
        <v/>
      </c>
      <c r="BA37" s="17" t="str">
        <f>IF(ListLayout[[#This Row],[List Name for Layout]]="","nest_relation2",IFERROR(VLOOKUP(ListLayout[[#This Row],[Relation 2]],RelationTable[[Display]:[RELID]],2,0),""))</f>
        <v/>
      </c>
      <c r="BB37" s="31" t="s">
        <v>1199</v>
      </c>
      <c r="BC37" s="31"/>
      <c r="BD37" s="31"/>
    </row>
    <row r="38" spans="45:56">
      <c r="AS38" s="17" t="str">
        <f>'Table Seed Map'!$A$25&amp;"-"&amp;COUNTA($AU$1:ListLayout[[#This Row],[No]])-2</f>
        <v>List Layout-36</v>
      </c>
      <c r="AT38" s="2" t="s">
        <v>1196</v>
      </c>
      <c r="AU38" s="17">
        <f>IF(ListLayout[[#This Row],[List Name for Layout]]="","id",COUNTA($AT$2:ListLayout[[#This Row],[List Name for Layout]])+IF(ISNUMBER(VLOOKUP('Table Seed Map'!$A$25,SeedMap[],9,0)),VLOOKUP('Table Seed Map'!$A$25,SeedMap[],9,0),0))</f>
        <v>36</v>
      </c>
      <c r="AV38" s="17">
        <f>IFERROR(VLOOKUP(ListLayout[[#This Row],[List Name for Layout]],ResourceList[[ListDisplayName]:[No]],2,0),"resource_list")</f>
        <v>9</v>
      </c>
      <c r="AW38" s="17" t="s">
        <v>1200</v>
      </c>
      <c r="AX38" s="31" t="s">
        <v>26</v>
      </c>
      <c r="AY38" s="17">
        <f>IF(ListLayout[[#This Row],[List Name for Layout]]="","relation",IFERROR(VLOOKUP(ListLayout[[#This Row],[Relation]],RelationTable[[Display]:[RELID]],2,0),""))</f>
        <v>60</v>
      </c>
      <c r="AZ38" s="17" t="str">
        <f>IF(ListLayout[[#This Row],[List Name for Layout]]="","nest_relation1",IFERROR(VLOOKUP(ListLayout[[#This Row],[Relation 1]],RelationTable[[Display]:[RELID]],2,0),""))</f>
        <v/>
      </c>
      <c r="BA38" s="17" t="str">
        <f>IF(ListLayout[[#This Row],[List Name for Layout]]="","nest_relation2",IFERROR(VLOOKUP(ListLayout[[#This Row],[Relation 2]],RelationTable[[Display]:[RELID]],2,0),""))</f>
        <v/>
      </c>
      <c r="BB38" s="31" t="s">
        <v>1199</v>
      </c>
      <c r="BC38" s="31"/>
      <c r="BD38" s="31"/>
    </row>
    <row r="39" spans="45:56">
      <c r="AS39" s="17" t="str">
        <f>'Table Seed Map'!$A$25&amp;"-"&amp;COUNTA($AU$1:ListLayout[[#This Row],[No]])-2</f>
        <v>List Layout-37</v>
      </c>
      <c r="AT39" s="2" t="s">
        <v>1196</v>
      </c>
      <c r="AU39" s="17">
        <f>IF(ListLayout[[#This Row],[List Name for Layout]]="","id",COUNTA($AT$2:ListLayout[[#This Row],[List Name for Layout]])+IF(ISNUMBER(VLOOKUP('Table Seed Map'!$A$25,SeedMap[],9,0)),VLOOKUP('Table Seed Map'!$A$25,SeedMap[],9,0),0))</f>
        <v>37</v>
      </c>
      <c r="AV39" s="17">
        <f>IFERROR(VLOOKUP(ListLayout[[#This Row],[List Name for Layout]],ResourceList[[ListDisplayName]:[No]],2,0),"resource_list")</f>
        <v>9</v>
      </c>
      <c r="AW39" s="17" t="s">
        <v>1201</v>
      </c>
      <c r="AX39" s="31" t="s">
        <v>48</v>
      </c>
      <c r="AY39" s="17">
        <f>IF(ListLayout[[#This Row],[List Name for Layout]]="","relation",IFERROR(VLOOKUP(ListLayout[[#This Row],[Relation]],RelationTable[[Display]:[RELID]],2,0),""))</f>
        <v>60</v>
      </c>
      <c r="AZ39" s="17" t="str">
        <f>IF(ListLayout[[#This Row],[List Name for Layout]]="","nest_relation1",IFERROR(VLOOKUP(ListLayout[[#This Row],[Relation 1]],RelationTable[[Display]:[RELID]],2,0),""))</f>
        <v/>
      </c>
      <c r="BA39" s="17" t="str">
        <f>IF(ListLayout[[#This Row],[List Name for Layout]]="","nest_relation2",IFERROR(VLOOKUP(ListLayout[[#This Row],[Relation 2]],RelationTable[[Display]:[RELID]],2,0),""))</f>
        <v/>
      </c>
      <c r="BB39" s="31" t="s">
        <v>1199</v>
      </c>
      <c r="BC39" s="31"/>
      <c r="BD39" s="31"/>
    </row>
    <row r="40" spans="45:56">
      <c r="AS40" s="17" t="str">
        <f>'Table Seed Map'!$A$25&amp;"-"&amp;COUNTA($AU$1:ListLayout[[#This Row],[No]])-2</f>
        <v>List Layout-38</v>
      </c>
      <c r="AT40" s="2" t="s">
        <v>1223</v>
      </c>
      <c r="AU40" s="17">
        <f>IF(ListLayout[[#This Row],[List Name for Layout]]="","id",COUNTA($AT$2:ListLayout[[#This Row],[List Name for Layout]])+IF(ISNUMBER(VLOOKUP('Table Seed Map'!$A$25,SeedMap[],9,0)),VLOOKUP('Table Seed Map'!$A$25,SeedMap[],9,0),0))</f>
        <v>38</v>
      </c>
      <c r="AV40" s="17">
        <f>IFERROR(VLOOKUP(ListLayout[[#This Row],[List Name for Layout]],ResourceList[[ListDisplayName]:[No]],2,0),"resource_list")</f>
        <v>10</v>
      </c>
      <c r="AW40" s="17" t="s">
        <v>278</v>
      </c>
      <c r="AX40" s="31" t="s">
        <v>26</v>
      </c>
      <c r="AY40" s="17">
        <f>IF(ListLayout[[#This Row],[List Name for Layout]]="","relation",IFERROR(VLOOKUP(ListLayout[[#This Row],[Relation]],RelationTable[[Display]:[RELID]],2,0),""))</f>
        <v>61</v>
      </c>
      <c r="AZ40" s="17" t="str">
        <f>IF(ListLayout[[#This Row],[List Name for Layout]]="","nest_relation1",IFERROR(VLOOKUP(ListLayout[[#This Row],[Relation 1]],RelationTable[[Display]:[RELID]],2,0),""))</f>
        <v/>
      </c>
      <c r="BA40" s="17" t="str">
        <f>IF(ListLayout[[#This Row],[List Name for Layout]]="","nest_relation2",IFERROR(VLOOKUP(ListLayout[[#This Row],[Relation 2]],RelationTable[[Display]:[RELID]],2,0),""))</f>
        <v/>
      </c>
      <c r="BB40" s="31" t="s">
        <v>1224</v>
      </c>
      <c r="BC40" s="31"/>
      <c r="BD40" s="31"/>
    </row>
    <row r="41" spans="45:56">
      <c r="AS41" s="17" t="str">
        <f>'Table Seed Map'!$A$25&amp;"-"&amp;COUNTA($AU$1:ListLayout[[#This Row],[No]])-2</f>
        <v>List Layout-39</v>
      </c>
      <c r="AT41" s="2" t="s">
        <v>1223</v>
      </c>
      <c r="AU41" s="17">
        <f>IF(ListLayout[[#This Row],[List Name for Layout]]="","id",COUNTA($AT$2:ListLayout[[#This Row],[List Name for Layout]])+IF(ISNUMBER(VLOOKUP('Table Seed Map'!$A$25,SeedMap[],9,0)),VLOOKUP('Table Seed Map'!$A$25,SeedMap[],9,0),0))</f>
        <v>39</v>
      </c>
      <c r="AV41" s="17">
        <f>IFERROR(VLOOKUP(ListLayout[[#This Row],[List Name for Layout]],ResourceList[[ListDisplayName]:[No]],2,0),"resource_list")</f>
        <v>10</v>
      </c>
      <c r="AW41" s="17" t="s">
        <v>246</v>
      </c>
      <c r="AX41" s="31" t="s">
        <v>26</v>
      </c>
      <c r="AY41" s="17">
        <f>IF(ListLayout[[#This Row],[List Name for Layout]]="","relation",IFERROR(VLOOKUP(ListLayout[[#This Row],[Relation]],RelationTable[[Display]:[RELID]],2,0),""))</f>
        <v>62</v>
      </c>
      <c r="AZ41" s="17" t="str">
        <f>IF(ListLayout[[#This Row],[List Name for Layout]]="","nest_relation1",IFERROR(VLOOKUP(ListLayout[[#This Row],[Relation 1]],RelationTable[[Display]:[RELID]],2,0),""))</f>
        <v/>
      </c>
      <c r="BA41" s="17" t="str">
        <f>IF(ListLayout[[#This Row],[List Name for Layout]]="","nest_relation2",IFERROR(VLOOKUP(ListLayout[[#This Row],[Relation 2]],RelationTable[[Display]:[RELID]],2,0),""))</f>
        <v/>
      </c>
      <c r="BB41" s="31" t="s">
        <v>1225</v>
      </c>
      <c r="BC41" s="31"/>
      <c r="BD41" s="31"/>
    </row>
    <row r="42" spans="45:56">
      <c r="AS42" s="17" t="str">
        <f>'Table Seed Map'!$A$25&amp;"-"&amp;COUNTA($AU$1:ListLayout[[#This Row],[No]])-2</f>
        <v>List Layout-40</v>
      </c>
      <c r="AT42" s="2" t="s">
        <v>1223</v>
      </c>
      <c r="AU42" s="17">
        <f>IF(ListLayout[[#This Row],[List Name for Layout]]="","id",COUNTA($AT$2:ListLayout[[#This Row],[List Name for Layout]])+IF(ISNUMBER(VLOOKUP('Table Seed Map'!$A$25,SeedMap[],9,0)),VLOOKUP('Table Seed Map'!$A$25,SeedMap[],9,0),0))</f>
        <v>40</v>
      </c>
      <c r="AV42" s="17">
        <f>IFERROR(VLOOKUP(ListLayout[[#This Row],[List Name for Layout]],ResourceList[[ListDisplayName]:[No]],2,0),"resource_list")</f>
        <v>10</v>
      </c>
      <c r="AW42" s="17" t="s">
        <v>1243</v>
      </c>
      <c r="AX42" s="31" t="s">
        <v>26</v>
      </c>
      <c r="AY42" s="17">
        <f>IF(ListLayout[[#This Row],[List Name for Layout]]="","relation",IFERROR(VLOOKUP(ListLayout[[#This Row],[Relation]],RelationTable[[Display]:[RELID]],2,0),""))</f>
        <v>63</v>
      </c>
      <c r="AZ42" s="17" t="str">
        <f>IF(ListLayout[[#This Row],[List Name for Layout]]="","nest_relation1",IFERROR(VLOOKUP(ListLayout[[#This Row],[Relation 1]],RelationTable[[Display]:[RELID]],2,0),""))</f>
        <v/>
      </c>
      <c r="BA42" s="17" t="str">
        <f>IF(ListLayout[[#This Row],[List Name for Layout]]="","nest_relation2",IFERROR(VLOOKUP(ListLayout[[#This Row],[Relation 2]],RelationTable[[Display]:[RELID]],2,0),""))</f>
        <v/>
      </c>
      <c r="BB42" s="31" t="s">
        <v>1226</v>
      </c>
      <c r="BC42" s="31"/>
      <c r="BD42" s="31"/>
    </row>
    <row r="43" spans="45:56">
      <c r="AS43" s="17" t="str">
        <f>'Table Seed Map'!$A$25&amp;"-"&amp;COUNTA($AU$1:ListLayout[[#This Row],[No]])-2</f>
        <v>List Layout-41</v>
      </c>
      <c r="AT43" s="2" t="s">
        <v>1227</v>
      </c>
      <c r="AU43" s="17">
        <f>IF(ListLayout[[#This Row],[List Name for Layout]]="","id",COUNTA($AT$2:ListLayout[[#This Row],[List Name for Layout]])+IF(ISNUMBER(VLOOKUP('Table Seed Map'!$A$25,SeedMap[],9,0)),VLOOKUP('Table Seed Map'!$A$25,SeedMap[],9,0),0))</f>
        <v>41</v>
      </c>
      <c r="AV43" s="17">
        <f>IFERROR(VLOOKUP(ListLayout[[#This Row],[List Name for Layout]],ResourceList[[ListDisplayName]:[No]],2,0),"resource_list")</f>
        <v>11</v>
      </c>
      <c r="AW43" s="17" t="s">
        <v>278</v>
      </c>
      <c r="AX43" s="31" t="s">
        <v>26</v>
      </c>
      <c r="AY43" s="17">
        <f>IF(ListLayout[[#This Row],[List Name for Layout]]="","relation",IFERROR(VLOOKUP(ListLayout[[#This Row],[Relation]],RelationTable[[Display]:[RELID]],2,0),""))</f>
        <v>64</v>
      </c>
      <c r="AZ43" s="17" t="str">
        <f>IF(ListLayout[[#This Row],[List Name for Layout]]="","nest_relation1",IFERROR(VLOOKUP(ListLayout[[#This Row],[Relation 1]],RelationTable[[Display]:[RELID]],2,0),""))</f>
        <v/>
      </c>
      <c r="BA43" s="17" t="str">
        <f>IF(ListLayout[[#This Row],[List Name for Layout]]="","nest_relation2",IFERROR(VLOOKUP(ListLayout[[#This Row],[Relation 2]],RelationTable[[Display]:[RELID]],2,0),""))</f>
        <v/>
      </c>
      <c r="BB43" s="31" t="s">
        <v>1233</v>
      </c>
      <c r="BC43" s="31"/>
      <c r="BD43" s="31"/>
    </row>
    <row r="44" spans="45:56">
      <c r="AS44" s="17" t="str">
        <f>'Table Seed Map'!$A$25&amp;"-"&amp;COUNTA($AU$1:ListLayout[[#This Row],[No]])-2</f>
        <v>List Layout-42</v>
      </c>
      <c r="AT44" s="2" t="s">
        <v>1227</v>
      </c>
      <c r="AU44" s="17">
        <f>IF(ListLayout[[#This Row],[List Name for Layout]]="","id",COUNTA($AT$2:ListLayout[[#This Row],[List Name for Layout]])+IF(ISNUMBER(VLOOKUP('Table Seed Map'!$A$25,SeedMap[],9,0)),VLOOKUP('Table Seed Map'!$A$25,SeedMap[],9,0),0))</f>
        <v>42</v>
      </c>
      <c r="AV44" s="17">
        <f>IFERROR(VLOOKUP(ListLayout[[#This Row],[List Name for Layout]],ResourceList[[ListDisplayName]:[No]],2,0),"resource_list")</f>
        <v>11</v>
      </c>
      <c r="AW44" s="17" t="s">
        <v>1232</v>
      </c>
      <c r="AX44" s="31" t="s">
        <v>26</v>
      </c>
      <c r="AY44" s="17">
        <f>IF(ListLayout[[#This Row],[List Name for Layout]]="","relation",IFERROR(VLOOKUP(ListLayout[[#This Row],[Relation]],RelationTable[[Display]:[RELID]],2,0),""))</f>
        <v>65</v>
      </c>
      <c r="AZ44" s="17" t="str">
        <f>IF(ListLayout[[#This Row],[List Name for Layout]]="","nest_relation1",IFERROR(VLOOKUP(ListLayout[[#This Row],[Relation 1]],RelationTable[[Display]:[RELID]],2,0),""))</f>
        <v/>
      </c>
      <c r="BA44" s="17" t="str">
        <f>IF(ListLayout[[#This Row],[List Name for Layout]]="","nest_relation2",IFERROR(VLOOKUP(ListLayout[[#This Row],[Relation 2]],RelationTable[[Display]:[RELID]],2,0),""))</f>
        <v/>
      </c>
      <c r="BB44" s="31" t="s">
        <v>1234</v>
      </c>
      <c r="BC44" s="31"/>
      <c r="BD44" s="31"/>
    </row>
    <row r="45" spans="45:56">
      <c r="AS45" s="17" t="str">
        <f>'Table Seed Map'!$A$25&amp;"-"&amp;COUNTA($AU$1:ListLayout[[#This Row],[No]])-2</f>
        <v>List Layout-43</v>
      </c>
      <c r="AT45" s="2" t="s">
        <v>1235</v>
      </c>
      <c r="AU45" s="17">
        <f>IF(ListLayout[[#This Row],[List Name for Layout]]="","id",COUNTA($AT$2:ListLayout[[#This Row],[List Name for Layout]])+IF(ISNUMBER(VLOOKUP('Table Seed Map'!$A$25,SeedMap[],9,0)),VLOOKUP('Table Seed Map'!$A$25,SeedMap[],9,0),0))</f>
        <v>43</v>
      </c>
      <c r="AV45" s="17">
        <f>IFERROR(VLOOKUP(ListLayout[[#This Row],[List Name for Layout]],ResourceList[[ListDisplayName]:[No]],2,0),"resource_list")</f>
        <v>12</v>
      </c>
      <c r="AW45" s="17" t="s">
        <v>278</v>
      </c>
      <c r="AX45" s="31" t="s">
        <v>26</v>
      </c>
      <c r="AY45" s="17">
        <f>IF(ListLayout[[#This Row],[List Name for Layout]]="","relation",IFERROR(VLOOKUP(ListLayout[[#This Row],[Relation]],RelationTable[[Display]:[RELID]],2,0),""))</f>
        <v>66</v>
      </c>
      <c r="AZ45" s="17" t="str">
        <f>IF(ListLayout[[#This Row],[List Name for Layout]]="","nest_relation1",IFERROR(VLOOKUP(ListLayout[[#This Row],[Relation 1]],RelationTable[[Display]:[RELID]],2,0),""))</f>
        <v/>
      </c>
      <c r="BA45" s="17" t="str">
        <f>IF(ListLayout[[#This Row],[List Name for Layout]]="","nest_relation2",IFERROR(VLOOKUP(ListLayout[[#This Row],[Relation 2]],RelationTable[[Display]:[RELID]],2,0),""))</f>
        <v/>
      </c>
      <c r="BB45" s="31" t="s">
        <v>1238</v>
      </c>
      <c r="BC45" s="31"/>
      <c r="BD45" s="31"/>
    </row>
    <row r="46" spans="45:56">
      <c r="AS46" s="17" t="str">
        <f>'Table Seed Map'!$A$25&amp;"-"&amp;COUNTA($AU$1:ListLayout[[#This Row],[No]])-2</f>
        <v>List Layout-44</v>
      </c>
      <c r="AT46" s="2" t="s">
        <v>1235</v>
      </c>
      <c r="AU46" s="17">
        <f>IF(ListLayout[[#This Row],[List Name for Layout]]="","id",COUNTA($AT$2:ListLayout[[#This Row],[List Name for Layout]])+IF(ISNUMBER(VLOOKUP('Table Seed Map'!$A$25,SeedMap[],9,0)),VLOOKUP('Table Seed Map'!$A$25,SeedMap[],9,0),0))</f>
        <v>44</v>
      </c>
      <c r="AV46" s="17">
        <f>IFERROR(VLOOKUP(ListLayout[[#This Row],[List Name for Layout]],ResourceList[[ListDisplayName]:[No]],2,0),"resource_list")</f>
        <v>12</v>
      </c>
      <c r="AW46" s="17" t="s">
        <v>244</v>
      </c>
      <c r="AX46" s="31" t="s">
        <v>230</v>
      </c>
      <c r="AY46" s="17" t="str">
        <f>IF(ListLayout[[#This Row],[List Name for Layout]]="","relation",IFERROR(VLOOKUP(ListLayout[[#This Row],[Relation]],RelationTable[[Display]:[RELID]],2,0),""))</f>
        <v/>
      </c>
      <c r="AZ46" s="17" t="str">
        <f>IF(ListLayout[[#This Row],[List Name for Layout]]="","nest_relation1",IFERROR(VLOOKUP(ListLayout[[#This Row],[Relation 1]],RelationTable[[Display]:[RELID]],2,0),""))</f>
        <v/>
      </c>
      <c r="BA46" s="17" t="str">
        <f>IF(ListLayout[[#This Row],[List Name for Layout]]="","nest_relation2",IFERROR(VLOOKUP(ListLayout[[#This Row],[Relation 2]],RelationTable[[Display]:[RELID]],2,0),""))</f>
        <v/>
      </c>
      <c r="BB46" s="31"/>
      <c r="BC46" s="31"/>
      <c r="BD46" s="31"/>
    </row>
    <row r="47" spans="45:56">
      <c r="AS47" s="17" t="str">
        <f>'Table Seed Map'!$A$25&amp;"-"&amp;COUNTA($AU$1:ListLayout[[#This Row],[No]])-2</f>
        <v>List Layout-45</v>
      </c>
      <c r="AT47" s="2" t="s">
        <v>1235</v>
      </c>
      <c r="AU47" s="17">
        <f>IF(ListLayout[[#This Row],[List Name for Layout]]="","id",COUNTA($AT$2:ListLayout[[#This Row],[List Name for Layout]])+IF(ISNUMBER(VLOOKUP('Table Seed Map'!$A$25,SeedMap[],9,0)),VLOOKUP('Table Seed Map'!$A$25,SeedMap[],9,0),0))</f>
        <v>45</v>
      </c>
      <c r="AV47" s="17">
        <f>IFERROR(VLOOKUP(ListLayout[[#This Row],[List Name for Layout]],ResourceList[[ListDisplayName]:[No]],2,0),"resource_list")</f>
        <v>12</v>
      </c>
      <c r="AW47" s="17" t="s">
        <v>13</v>
      </c>
      <c r="AX47" s="31" t="s">
        <v>442</v>
      </c>
      <c r="AY47" s="17" t="str">
        <f>IF(ListLayout[[#This Row],[List Name for Layout]]="","relation",IFERROR(VLOOKUP(ListLayout[[#This Row],[Relation]],RelationTable[[Display]:[RELID]],2,0),""))</f>
        <v/>
      </c>
      <c r="AZ47" s="17" t="str">
        <f>IF(ListLayout[[#This Row],[List Name for Layout]]="","nest_relation1",IFERROR(VLOOKUP(ListLayout[[#This Row],[Relation 1]],RelationTable[[Display]:[RELID]],2,0),""))</f>
        <v/>
      </c>
      <c r="BA47" s="17" t="str">
        <f>IF(ListLayout[[#This Row],[List Name for Layout]]="","nest_relation2",IFERROR(VLOOKUP(ListLayout[[#This Row],[Relation 2]],RelationTable[[Display]:[RELID]],2,0),""))</f>
        <v/>
      </c>
      <c r="BB47" s="31"/>
      <c r="BC47" s="31"/>
      <c r="BD47" s="31"/>
    </row>
    <row r="48" spans="45:56">
      <c r="AS48" s="17" t="str">
        <f>'Table Seed Map'!$A$25&amp;"-"&amp;COUNTA($AU$1:ListLayout[[#This Row],[No]])-2</f>
        <v>List Layout-46</v>
      </c>
      <c r="AT48" s="2" t="s">
        <v>1235</v>
      </c>
      <c r="AU48" s="17">
        <f>IF(ListLayout[[#This Row],[List Name for Layout]]="","id",COUNTA($AT$2:ListLayout[[#This Row],[List Name for Layout]])+IF(ISNUMBER(VLOOKUP('Table Seed Map'!$A$25,SeedMap[],9,0)),VLOOKUP('Table Seed Map'!$A$25,SeedMap[],9,0),0))</f>
        <v>46</v>
      </c>
      <c r="AV48" s="17">
        <f>IFERROR(VLOOKUP(ListLayout[[#This Row],[List Name for Layout]],ResourceList[[ListDisplayName]:[No]],2,0),"resource_list")</f>
        <v>12</v>
      </c>
      <c r="AW48" s="17" t="s">
        <v>246</v>
      </c>
      <c r="AX48" s="31" t="s">
        <v>26</v>
      </c>
      <c r="AY48" s="17">
        <f>IF(ListLayout[[#This Row],[List Name for Layout]]="","relation",IFERROR(VLOOKUP(ListLayout[[#This Row],[Relation]],RelationTable[[Display]:[RELID]],2,0),""))</f>
        <v>67</v>
      </c>
      <c r="AZ48" s="17" t="str">
        <f>IF(ListLayout[[#This Row],[List Name for Layout]]="","nest_relation1",IFERROR(VLOOKUP(ListLayout[[#This Row],[Relation 1]],RelationTable[[Display]:[RELID]],2,0),""))</f>
        <v/>
      </c>
      <c r="BA48" s="17" t="str">
        <f>IF(ListLayout[[#This Row],[List Name for Layout]]="","nest_relation2",IFERROR(VLOOKUP(ListLayout[[#This Row],[Relation 2]],RelationTable[[Display]:[RELID]],2,0),""))</f>
        <v/>
      </c>
      <c r="BB48" s="31" t="s">
        <v>1246</v>
      </c>
      <c r="BC48" s="31"/>
      <c r="BD48" s="31"/>
    </row>
    <row r="49" spans="45:56">
      <c r="AS49" s="17" t="str">
        <f>'Table Seed Map'!$A$25&amp;"-"&amp;COUNTA($AU$1:ListLayout[[#This Row],[No]])-2</f>
        <v>List Layout-47</v>
      </c>
      <c r="AT49" s="2" t="s">
        <v>1239</v>
      </c>
      <c r="AU49" s="17">
        <f>IF(ListLayout[[#This Row],[List Name for Layout]]="","id",COUNTA($AT$2:ListLayout[[#This Row],[List Name for Layout]])+IF(ISNUMBER(VLOOKUP('Table Seed Map'!$A$25,SeedMap[],9,0)),VLOOKUP('Table Seed Map'!$A$25,SeedMap[],9,0),0))</f>
        <v>47</v>
      </c>
      <c r="AV49" s="17">
        <f>IFERROR(VLOOKUP(ListLayout[[#This Row],[List Name for Layout]],ResourceList[[ListDisplayName]:[No]],2,0),"resource_list")</f>
        <v>13</v>
      </c>
      <c r="AW49" s="17" t="s">
        <v>278</v>
      </c>
      <c r="AX49" s="31" t="s">
        <v>26</v>
      </c>
      <c r="AY49" s="17">
        <f>IF(ListLayout[[#This Row],[List Name for Layout]]="","relation",IFERROR(VLOOKUP(ListLayout[[#This Row],[Relation]],RelationTable[[Display]:[RELID]],2,0),""))</f>
        <v>68</v>
      </c>
      <c r="AZ49" s="17" t="str">
        <f>IF(ListLayout[[#This Row],[List Name for Layout]]="","nest_relation1",IFERROR(VLOOKUP(ListLayout[[#This Row],[Relation 1]],RelationTable[[Display]:[RELID]],2,0),""))</f>
        <v/>
      </c>
      <c r="BA49" s="17" t="str">
        <f>IF(ListLayout[[#This Row],[List Name for Layout]]="","nest_relation2",IFERROR(VLOOKUP(ListLayout[[#This Row],[Relation 2]],RelationTable[[Display]:[RELID]],2,0),""))</f>
        <v/>
      </c>
      <c r="BB49" s="31" t="s">
        <v>1242</v>
      </c>
      <c r="BC49" s="31"/>
      <c r="BD49" s="31"/>
    </row>
    <row r="50" spans="45:56">
      <c r="AS50" s="17" t="str">
        <f>'Table Seed Map'!$A$25&amp;"-"&amp;COUNTA($AU$1:ListLayout[[#This Row],[No]])-2</f>
        <v>List Layout-48</v>
      </c>
      <c r="AT50" s="2" t="s">
        <v>1239</v>
      </c>
      <c r="AU50" s="17">
        <f>IF(ListLayout[[#This Row],[List Name for Layout]]="","id",COUNTA($AT$2:ListLayout[[#This Row],[List Name for Layout]])+IF(ISNUMBER(VLOOKUP('Table Seed Map'!$A$25,SeedMap[],9,0)),VLOOKUP('Table Seed Map'!$A$25,SeedMap[],9,0),0))</f>
        <v>48</v>
      </c>
      <c r="AV50" s="17">
        <f>IFERROR(VLOOKUP(ListLayout[[#This Row],[List Name for Layout]],ResourceList[[ListDisplayName]:[No]],2,0),"resource_list")</f>
        <v>13</v>
      </c>
      <c r="AW50" s="17" t="s">
        <v>13</v>
      </c>
      <c r="AX50" s="31" t="s">
        <v>442</v>
      </c>
      <c r="AY50" s="17" t="str">
        <f>IF(ListLayout[[#This Row],[List Name for Layout]]="","relation",IFERROR(VLOOKUP(ListLayout[[#This Row],[Relation]],RelationTable[[Display]:[RELID]],2,0),""))</f>
        <v/>
      </c>
      <c r="AZ50" s="17" t="str">
        <f>IF(ListLayout[[#This Row],[List Name for Layout]]="","nest_relation1",IFERROR(VLOOKUP(ListLayout[[#This Row],[Relation 1]],RelationTable[[Display]:[RELID]],2,0),""))</f>
        <v/>
      </c>
      <c r="BA50" s="17" t="str">
        <f>IF(ListLayout[[#This Row],[List Name for Layout]]="","nest_relation2",IFERROR(VLOOKUP(ListLayout[[#This Row],[Relation 2]],RelationTable[[Display]:[RELID]],2,0),""))</f>
        <v/>
      </c>
      <c r="BB50" s="31"/>
      <c r="BC50" s="31"/>
      <c r="BD50" s="31"/>
    </row>
    <row r="51" spans="45:56">
      <c r="AS51" s="17" t="str">
        <f>'Table Seed Map'!$A$25&amp;"-"&amp;COUNTA($AU$1:ListLayout[[#This Row],[No]])-2</f>
        <v>List Layout-49</v>
      </c>
      <c r="AT51" s="2" t="s">
        <v>1239</v>
      </c>
      <c r="AU51" s="17">
        <f>IF(ListLayout[[#This Row],[List Name for Layout]]="","id",COUNTA($AT$2:ListLayout[[#This Row],[List Name for Layout]])+IF(ISNUMBER(VLOOKUP('Table Seed Map'!$A$25,SeedMap[],9,0)),VLOOKUP('Table Seed Map'!$A$25,SeedMap[],9,0),0))</f>
        <v>49</v>
      </c>
      <c r="AV51" s="17">
        <f>IFERROR(VLOOKUP(ListLayout[[#This Row],[List Name for Layout]],ResourceList[[ListDisplayName]:[No]],2,0),"resource_list")</f>
        <v>13</v>
      </c>
      <c r="AW51" s="17" t="s">
        <v>246</v>
      </c>
      <c r="AX51" s="31" t="s">
        <v>26</v>
      </c>
      <c r="AY51" s="17">
        <f>IF(ListLayout[[#This Row],[List Name for Layout]]="","relation",IFERROR(VLOOKUP(ListLayout[[#This Row],[Relation]],RelationTable[[Display]:[RELID]],2,0),""))</f>
        <v>69</v>
      </c>
      <c r="AZ51" s="17" t="str">
        <f>IF(ListLayout[[#This Row],[List Name for Layout]]="","nest_relation1",IFERROR(VLOOKUP(ListLayout[[#This Row],[Relation 1]],RelationTable[[Display]:[RELID]],2,0),""))</f>
        <v/>
      </c>
      <c r="BA51" s="17" t="str">
        <f>IF(ListLayout[[#This Row],[List Name for Layout]]="","nest_relation2",IFERROR(VLOOKUP(ListLayout[[#This Row],[Relation 2]],RelationTable[[Display]:[RELID]],2,0),""))</f>
        <v/>
      </c>
      <c r="BB51" s="31" t="s">
        <v>1249</v>
      </c>
      <c r="BC51" s="31"/>
      <c r="BD51" s="31"/>
    </row>
    <row r="52" spans="45:56">
      <c r="AS52" s="17" t="str">
        <f>'Table Seed Map'!$A$25&amp;"-"&amp;COUNTA($AU$1:ListLayout[[#This Row],[No]])-2</f>
        <v>List Layout-50</v>
      </c>
      <c r="AT52" s="2" t="s">
        <v>1284</v>
      </c>
      <c r="AU52" s="17">
        <f>IF(ListLayout[[#This Row],[List Name for Layout]]="","id",COUNTA($AT$2:ListLayout[[#This Row],[List Name for Layout]])+IF(ISNUMBER(VLOOKUP('Table Seed Map'!$A$25,SeedMap[],9,0)),VLOOKUP('Table Seed Map'!$A$25,SeedMap[],9,0),0))</f>
        <v>50</v>
      </c>
      <c r="AV52" s="17">
        <f>IFERROR(VLOOKUP(ListLayout[[#This Row],[List Name for Layout]],ResourceList[[ListDisplayName]:[No]],2,0),"resource_list")</f>
        <v>14</v>
      </c>
      <c r="AW52" s="17" t="s">
        <v>302</v>
      </c>
      <c r="AX52" s="31" t="s">
        <v>26</v>
      </c>
      <c r="AY52" s="17">
        <f>IF(ListLayout[[#This Row],[List Name for Layout]]="","relation",IFERROR(VLOOKUP(ListLayout[[#This Row],[Relation]],RelationTable[[Display]:[RELID]],2,0),""))</f>
        <v>70</v>
      </c>
      <c r="AZ52" s="17" t="str">
        <f>IF(ListLayout[[#This Row],[List Name for Layout]]="","nest_relation1",IFERROR(VLOOKUP(ListLayout[[#This Row],[Relation 1]],RelationTable[[Display]:[RELID]],2,0),""))</f>
        <v/>
      </c>
      <c r="BA52" s="17" t="str">
        <f>IF(ListLayout[[#This Row],[List Name for Layout]]="","nest_relation2",IFERROR(VLOOKUP(ListLayout[[#This Row],[Relation 2]],RelationTable[[Display]:[RELID]],2,0),""))</f>
        <v/>
      </c>
      <c r="BB52" s="31" t="s">
        <v>1285</v>
      </c>
      <c r="BC52" s="31"/>
      <c r="BD52" s="31"/>
    </row>
    <row r="53" spans="45:56">
      <c r="AS53" s="17" t="str">
        <f>'Table Seed Map'!$A$25&amp;"-"&amp;COUNTA($AU$1:ListLayout[[#This Row],[No]])-2</f>
        <v>List Layout-51</v>
      </c>
      <c r="AT53" s="2" t="s">
        <v>1284</v>
      </c>
      <c r="AU53" s="17">
        <f>IF(ListLayout[[#This Row],[List Name for Layout]]="","id",COUNTA($AT$2:ListLayout[[#This Row],[List Name for Layout]])+IF(ISNUMBER(VLOOKUP('Table Seed Map'!$A$25,SeedMap[],9,0)),VLOOKUP('Table Seed Map'!$A$25,SeedMap[],9,0),0))</f>
        <v>51</v>
      </c>
      <c r="AV53" s="17">
        <f>IFERROR(VLOOKUP(ListLayout[[#This Row],[List Name for Layout]],ResourceList[[ListDisplayName]:[No]],2,0),"resource_list")</f>
        <v>14</v>
      </c>
      <c r="AW53" s="17" t="s">
        <v>246</v>
      </c>
      <c r="AX53" s="31" t="s">
        <v>26</v>
      </c>
      <c r="AY53" s="17">
        <f>IF(ListLayout[[#This Row],[List Name for Layout]]="","relation",IFERROR(VLOOKUP(ListLayout[[#This Row],[Relation]],RelationTable[[Display]:[RELID]],2,0),""))</f>
        <v>71</v>
      </c>
      <c r="AZ53" s="17" t="str">
        <f>IF(ListLayout[[#This Row],[List Name for Layout]]="","nest_relation1",IFERROR(VLOOKUP(ListLayout[[#This Row],[Relation 1]],RelationTable[[Display]:[RELID]],2,0),""))</f>
        <v/>
      </c>
      <c r="BA53" s="17" t="str">
        <f>IF(ListLayout[[#This Row],[List Name for Layout]]="","nest_relation2",IFERROR(VLOOKUP(ListLayout[[#This Row],[Relation 2]],RelationTable[[Display]:[RELID]],2,0),""))</f>
        <v/>
      </c>
      <c r="BB53" s="31" t="s">
        <v>1286</v>
      </c>
      <c r="BC53" s="31"/>
      <c r="BD53" s="31"/>
    </row>
    <row r="54" spans="45:56">
      <c r="AS54" s="17" t="str">
        <f>'Table Seed Map'!$A$25&amp;"-"&amp;COUNTA($AU$1:ListLayout[[#This Row],[No]])-2</f>
        <v>List Layout-52</v>
      </c>
      <c r="AT54" s="2" t="s">
        <v>1284</v>
      </c>
      <c r="AU54" s="17">
        <f>IF(ListLayout[[#This Row],[List Name for Layout]]="","id",COUNTA($AT$2:ListLayout[[#This Row],[List Name for Layout]])+IF(ISNUMBER(VLOOKUP('Table Seed Map'!$A$25,SeedMap[],9,0)),VLOOKUP('Table Seed Map'!$A$25,SeedMap[],9,0),0))</f>
        <v>52</v>
      </c>
      <c r="AV54" s="17">
        <f>IFERROR(VLOOKUP(ListLayout[[#This Row],[List Name for Layout]],ResourceList[[ListDisplayName]:[No]],2,0),"resource_list")</f>
        <v>14</v>
      </c>
      <c r="AW54" s="17" t="s">
        <v>1294</v>
      </c>
      <c r="AX54" s="31" t="s">
        <v>26</v>
      </c>
      <c r="AY54" s="17">
        <f>IF(ListLayout[[#This Row],[List Name for Layout]]="","relation",IFERROR(VLOOKUP(ListLayout[[#This Row],[Relation]],RelationTable[[Display]:[RELID]],2,0),""))</f>
        <v>72</v>
      </c>
      <c r="AZ54" s="17" t="str">
        <f>IF(ListLayout[[#This Row],[List Name for Layout]]="","nest_relation1",IFERROR(VLOOKUP(ListLayout[[#This Row],[Relation 1]],RelationTable[[Display]:[RELID]],2,0),""))</f>
        <v/>
      </c>
      <c r="BA54" s="17" t="str">
        <f>IF(ListLayout[[#This Row],[List Name for Layout]]="","nest_relation2",IFERROR(VLOOKUP(ListLayout[[#This Row],[Relation 2]],RelationTable[[Display]:[RELID]],2,0),""))</f>
        <v/>
      </c>
      <c r="BB54" s="31" t="s">
        <v>1287</v>
      </c>
      <c r="BC54" s="31"/>
      <c r="BD54" s="31"/>
    </row>
    <row r="55" spans="45:56">
      <c r="AS55" s="17" t="str">
        <f>'Table Seed Map'!$A$25&amp;"-"&amp;COUNTA($AU$1:ListLayout[[#This Row],[No]])-2</f>
        <v>List Layout-53</v>
      </c>
      <c r="AT55" s="2" t="s">
        <v>1289</v>
      </c>
      <c r="AU55" s="17">
        <f>IF(ListLayout[[#This Row],[List Name for Layout]]="","id",COUNTA($AT$2:ListLayout[[#This Row],[List Name for Layout]])+IF(ISNUMBER(VLOOKUP('Table Seed Map'!$A$25,SeedMap[],9,0)),VLOOKUP('Table Seed Map'!$A$25,SeedMap[],9,0),0))</f>
        <v>53</v>
      </c>
      <c r="AV55" s="17">
        <f>IFERROR(VLOOKUP(ListLayout[[#This Row],[List Name for Layout]],ResourceList[[ListDisplayName]:[No]],2,0),"resource_list")</f>
        <v>15</v>
      </c>
      <c r="AW55" s="17" t="s">
        <v>302</v>
      </c>
      <c r="AX55" s="31" t="s">
        <v>26</v>
      </c>
      <c r="AY55" s="17">
        <f>IF(ListLayout[[#This Row],[List Name for Layout]]="","relation",IFERROR(VLOOKUP(ListLayout[[#This Row],[Relation]],RelationTable[[Display]:[RELID]],2,0),""))</f>
        <v>73</v>
      </c>
      <c r="AZ55" s="17" t="str">
        <f>IF(ListLayout[[#This Row],[List Name for Layout]]="","nest_relation1",IFERROR(VLOOKUP(ListLayout[[#This Row],[Relation 1]],RelationTable[[Display]:[RELID]],2,0),""))</f>
        <v/>
      </c>
      <c r="BA55" s="17" t="str">
        <f>IF(ListLayout[[#This Row],[List Name for Layout]]="","nest_relation2",IFERROR(VLOOKUP(ListLayout[[#This Row],[Relation 2]],RelationTable[[Display]:[RELID]],2,0),""))</f>
        <v/>
      </c>
      <c r="BB55" s="31" t="s">
        <v>1290</v>
      </c>
      <c r="BC55" s="31"/>
      <c r="BD55" s="31"/>
    </row>
    <row r="56" spans="45:56">
      <c r="AS56" s="17" t="str">
        <f>'Table Seed Map'!$A$25&amp;"-"&amp;COUNTA($AU$1:ListLayout[[#This Row],[No]])-2</f>
        <v>List Layout-54</v>
      </c>
      <c r="AT56" s="2" t="s">
        <v>1289</v>
      </c>
      <c r="AU56" s="17">
        <f>IF(ListLayout[[#This Row],[List Name for Layout]]="","id",COUNTA($AT$2:ListLayout[[#This Row],[List Name for Layout]])+IF(ISNUMBER(VLOOKUP('Table Seed Map'!$A$25,SeedMap[],9,0)),VLOOKUP('Table Seed Map'!$A$25,SeedMap[],9,0),0))</f>
        <v>54</v>
      </c>
      <c r="AV56" s="17">
        <f>IFERROR(VLOOKUP(ListLayout[[#This Row],[List Name for Layout]],ResourceList[[ListDisplayName]:[No]],2,0),"resource_list")</f>
        <v>15</v>
      </c>
      <c r="AW56" s="17" t="s">
        <v>1232</v>
      </c>
      <c r="AX56" s="31" t="s">
        <v>26</v>
      </c>
      <c r="AY56" s="17">
        <f>IF(ListLayout[[#This Row],[List Name for Layout]]="","relation",IFERROR(VLOOKUP(ListLayout[[#This Row],[Relation]],RelationTable[[Display]:[RELID]],2,0),""))</f>
        <v>74</v>
      </c>
      <c r="AZ56" s="17" t="str">
        <f>IF(ListLayout[[#This Row],[List Name for Layout]]="","nest_relation1",IFERROR(VLOOKUP(ListLayout[[#This Row],[Relation 1]],RelationTable[[Display]:[RELID]],2,0),""))</f>
        <v/>
      </c>
      <c r="BA56" s="17" t="str">
        <f>IF(ListLayout[[#This Row],[List Name for Layout]]="","nest_relation2",IFERROR(VLOOKUP(ListLayout[[#This Row],[Relation 2]],RelationTable[[Display]:[RELID]],2,0),""))</f>
        <v/>
      </c>
      <c r="BB56" s="31" t="s">
        <v>1291</v>
      </c>
      <c r="BC56" s="31"/>
      <c r="BD56" s="31"/>
    </row>
    <row r="57" spans="45:56">
      <c r="AS57" s="17" t="str">
        <f>'Table Seed Map'!$A$25&amp;"-"&amp;COUNTA($AU$1:ListLayout[[#This Row],[No]])-2</f>
        <v>List Layout-55</v>
      </c>
      <c r="AT57" s="2" t="s">
        <v>1292</v>
      </c>
      <c r="AU57" s="17">
        <f>IF(ListLayout[[#This Row],[List Name for Layout]]="","id",COUNTA($AT$2:ListLayout[[#This Row],[List Name for Layout]])+IF(ISNUMBER(VLOOKUP('Table Seed Map'!$A$25,SeedMap[],9,0)),VLOOKUP('Table Seed Map'!$A$25,SeedMap[],9,0),0))</f>
        <v>55</v>
      </c>
      <c r="AV57" s="17">
        <f>IFERROR(VLOOKUP(ListLayout[[#This Row],[List Name for Layout]],ResourceList[[ListDisplayName]:[No]],2,0),"resource_list")</f>
        <v>16</v>
      </c>
      <c r="AW57" s="17" t="s">
        <v>302</v>
      </c>
      <c r="AX57" s="31" t="s">
        <v>26</v>
      </c>
      <c r="AY57" s="17">
        <f>IF(ListLayout[[#This Row],[List Name for Layout]]="","relation",IFERROR(VLOOKUP(ListLayout[[#This Row],[Relation]],RelationTable[[Display]:[RELID]],2,0),""))</f>
        <v>75</v>
      </c>
      <c r="AZ57" s="17" t="str">
        <f>IF(ListLayout[[#This Row],[List Name for Layout]]="","nest_relation1",IFERROR(VLOOKUP(ListLayout[[#This Row],[Relation 1]],RelationTable[[Display]:[RELID]],2,0),""))</f>
        <v/>
      </c>
      <c r="BA57" s="17" t="str">
        <f>IF(ListLayout[[#This Row],[List Name for Layout]]="","nest_relation2",IFERROR(VLOOKUP(ListLayout[[#This Row],[Relation 2]],RelationTable[[Display]:[RELID]],2,0),""))</f>
        <v/>
      </c>
      <c r="BB57" s="31" t="s">
        <v>1293</v>
      </c>
      <c r="BC57" s="31"/>
      <c r="BD57" s="31"/>
    </row>
    <row r="58" spans="45:56">
      <c r="AS58" s="17" t="str">
        <f>'Table Seed Map'!$A$25&amp;"-"&amp;COUNTA($AU$1:ListLayout[[#This Row],[No]])-2</f>
        <v>List Layout-56</v>
      </c>
      <c r="AT58" s="2" t="s">
        <v>1292</v>
      </c>
      <c r="AU58" s="17">
        <f>IF(ListLayout[[#This Row],[List Name for Layout]]="","id",COUNTA($AT$2:ListLayout[[#This Row],[List Name for Layout]])+IF(ISNUMBER(VLOOKUP('Table Seed Map'!$A$25,SeedMap[],9,0)),VLOOKUP('Table Seed Map'!$A$25,SeedMap[],9,0),0))</f>
        <v>56</v>
      </c>
      <c r="AV58" s="17">
        <f>IFERROR(VLOOKUP(ListLayout[[#This Row],[List Name for Layout]],ResourceList[[ListDisplayName]:[No]],2,0),"resource_list")</f>
        <v>16</v>
      </c>
      <c r="AW58" s="17" t="s">
        <v>236</v>
      </c>
      <c r="AX58" s="31" t="s">
        <v>30</v>
      </c>
      <c r="AY58" s="17" t="str">
        <f>IF(ListLayout[[#This Row],[List Name for Layout]]="","relation",IFERROR(VLOOKUP(ListLayout[[#This Row],[Relation]],RelationTable[[Display]:[RELID]],2,0),""))</f>
        <v/>
      </c>
      <c r="AZ58" s="17" t="str">
        <f>IF(ListLayout[[#This Row],[List Name for Layout]]="","nest_relation1",IFERROR(VLOOKUP(ListLayout[[#This Row],[Relation 1]],RelationTable[[Display]:[RELID]],2,0),""))</f>
        <v/>
      </c>
      <c r="BA58" s="17" t="str">
        <f>IF(ListLayout[[#This Row],[List Name for Layout]]="","nest_relation2",IFERROR(VLOOKUP(ListLayout[[#This Row],[Relation 2]],RelationTable[[Display]:[RELID]],2,0),""))</f>
        <v/>
      </c>
      <c r="BB58" s="31"/>
      <c r="BC58" s="31"/>
      <c r="BD58" s="31"/>
    </row>
    <row r="59" spans="45:56">
      <c r="AS59" s="17" t="str">
        <f>'Table Seed Map'!$A$25&amp;"-"&amp;COUNTA($AU$1:ListLayout[[#This Row],[No]])-2</f>
        <v>List Layout-57</v>
      </c>
      <c r="AT59" s="2" t="s">
        <v>1292</v>
      </c>
      <c r="AU59" s="17">
        <f>IF(ListLayout[[#This Row],[List Name for Layout]]="","id",COUNTA($AT$2:ListLayout[[#This Row],[List Name for Layout]])+IF(ISNUMBER(VLOOKUP('Table Seed Map'!$A$25,SeedMap[],9,0)),VLOOKUP('Table Seed Map'!$A$25,SeedMap[],9,0),0))</f>
        <v>57</v>
      </c>
      <c r="AV59" s="17">
        <f>IFERROR(VLOOKUP(ListLayout[[#This Row],[List Name for Layout]],ResourceList[[ListDisplayName]:[No]],2,0),"resource_list")</f>
        <v>16</v>
      </c>
      <c r="AW59" s="17" t="s">
        <v>951</v>
      </c>
      <c r="AX59" s="31" t="s">
        <v>54</v>
      </c>
      <c r="AY59" s="17" t="str">
        <f>IF(ListLayout[[#This Row],[List Name for Layout]]="","relation",IFERROR(VLOOKUP(ListLayout[[#This Row],[Relation]],RelationTable[[Display]:[RELID]],2,0),""))</f>
        <v/>
      </c>
      <c r="AZ59" s="17" t="str">
        <f>IF(ListLayout[[#This Row],[List Name for Layout]]="","nest_relation1",IFERROR(VLOOKUP(ListLayout[[#This Row],[Relation 1]],RelationTable[[Display]:[RELID]],2,0),""))</f>
        <v/>
      </c>
      <c r="BA59" s="17" t="str">
        <f>IF(ListLayout[[#This Row],[List Name for Layout]]="","nest_relation2",IFERROR(VLOOKUP(ListLayout[[#This Row],[Relation 2]],RelationTable[[Display]:[RELID]],2,0),""))</f>
        <v/>
      </c>
      <c r="BB59" s="31"/>
      <c r="BC59" s="31"/>
      <c r="BD59" s="31"/>
    </row>
    <row r="60" spans="45:56">
      <c r="AS60" s="17" t="str">
        <f>'Table Seed Map'!$A$25&amp;"-"&amp;COUNTA($AU$1:ListLayout[[#This Row],[No]])-2</f>
        <v>List Layout-58</v>
      </c>
      <c r="AT60" s="2" t="s">
        <v>1292</v>
      </c>
      <c r="AU60" s="17">
        <f>IF(ListLayout[[#This Row],[List Name for Layout]]="","id",COUNTA($AT$2:ListLayout[[#This Row],[List Name for Layout]])+IF(ISNUMBER(VLOOKUP('Table Seed Map'!$A$25,SeedMap[],9,0)),VLOOKUP('Table Seed Map'!$A$25,SeedMap[],9,0),0))</f>
        <v>58</v>
      </c>
      <c r="AV60" s="17">
        <f>IFERROR(VLOOKUP(ListLayout[[#This Row],[List Name for Layout]],ResourceList[[ListDisplayName]:[No]],2,0),"resource_list")</f>
        <v>16</v>
      </c>
      <c r="AW60" s="17" t="s">
        <v>246</v>
      </c>
      <c r="AX60" s="31" t="s">
        <v>26</v>
      </c>
      <c r="AY60" s="17">
        <f>IF(ListLayout[[#This Row],[List Name for Layout]]="","relation",IFERROR(VLOOKUP(ListLayout[[#This Row],[Relation]],RelationTable[[Display]:[RELID]],2,0),""))</f>
        <v>35</v>
      </c>
      <c r="AZ60" s="17" t="str">
        <f>IF(ListLayout[[#This Row],[List Name for Layout]]="","nest_relation1",IFERROR(VLOOKUP(ListLayout[[#This Row],[Relation 1]],RelationTable[[Display]:[RELID]],2,0),""))</f>
        <v/>
      </c>
      <c r="BA60" s="17" t="str">
        <f>IF(ListLayout[[#This Row],[List Name for Layout]]="","nest_relation2",IFERROR(VLOOKUP(ListLayout[[#This Row],[Relation 2]],RelationTable[[Display]:[RELID]],2,0),""))</f>
        <v/>
      </c>
      <c r="BB60" s="31" t="s">
        <v>1295</v>
      </c>
      <c r="BC60" s="31"/>
      <c r="BD60" s="31"/>
    </row>
    <row r="61" spans="45:56">
      <c r="AS61" s="17" t="str">
        <f>'Table Seed Map'!$A$25&amp;"-"&amp;COUNTA($AU$1:ListLayout[[#This Row],[No]])-2</f>
        <v>List Layout-59</v>
      </c>
      <c r="AT61" s="2" t="s">
        <v>1292</v>
      </c>
      <c r="AU61" s="17">
        <f>IF(ListLayout[[#This Row],[List Name for Layout]]="","id",COUNTA($AT$2:ListLayout[[#This Row],[List Name for Layout]])+IF(ISNUMBER(VLOOKUP('Table Seed Map'!$A$25,SeedMap[],9,0)),VLOOKUP('Table Seed Map'!$A$25,SeedMap[],9,0),0))</f>
        <v>59</v>
      </c>
      <c r="AV61" s="17">
        <f>IFERROR(VLOOKUP(ListLayout[[#This Row],[List Name for Layout]],ResourceList[[ListDisplayName]:[No]],2,0),"resource_list")</f>
        <v>16</v>
      </c>
      <c r="AW61" s="17" t="s">
        <v>802</v>
      </c>
      <c r="AX61" s="31" t="s">
        <v>472</v>
      </c>
      <c r="AY61" s="17" t="str">
        <f>IF(ListLayout[[#This Row],[List Name for Layout]]="","relation",IFERROR(VLOOKUP(ListLayout[[#This Row],[Relation]],RelationTable[[Display]:[RELID]],2,0),""))</f>
        <v/>
      </c>
      <c r="AZ61" s="17" t="str">
        <f>IF(ListLayout[[#This Row],[List Name for Layout]]="","nest_relation1",IFERROR(VLOOKUP(ListLayout[[#This Row],[Relation 1]],RelationTable[[Display]:[RELID]],2,0),""))</f>
        <v/>
      </c>
      <c r="BA61" s="17" t="str">
        <f>IF(ListLayout[[#This Row],[List Name for Layout]]="","nest_relation2",IFERROR(VLOOKUP(ListLayout[[#This Row],[Relation 2]],RelationTable[[Display]:[RELID]],2,0),""))</f>
        <v/>
      </c>
      <c r="BB61" s="31"/>
      <c r="BC61" s="31"/>
      <c r="BD61" s="31"/>
    </row>
    <row r="62" spans="45:56">
      <c r="AS62" s="17" t="str">
        <f>'Table Seed Map'!$A$25&amp;"-"&amp;COUNTA($AU$1:ListLayout[[#This Row],[No]])-2</f>
        <v>List Layout-60</v>
      </c>
      <c r="AT62" s="2" t="s">
        <v>1336</v>
      </c>
      <c r="AU62" s="17">
        <f>IF(ListLayout[[#This Row],[List Name for Layout]]="","id",COUNTA($AT$2:ListLayout[[#This Row],[List Name for Layout]])+IF(ISNUMBER(VLOOKUP('Table Seed Map'!$A$25,SeedMap[],9,0)),VLOOKUP('Table Seed Map'!$A$25,SeedMap[],9,0),0))</f>
        <v>60</v>
      </c>
      <c r="AV62" s="17">
        <f>IFERROR(VLOOKUP(ListLayout[[#This Row],[List Name for Layout]],ResourceList[[ListDisplayName]:[No]],2,0),"resource_list")</f>
        <v>17</v>
      </c>
      <c r="AW62" s="17" t="s">
        <v>1</v>
      </c>
      <c r="AX62" s="31" t="s">
        <v>26</v>
      </c>
      <c r="AY62" s="17" t="str">
        <f>IF(ListLayout[[#This Row],[List Name for Layout]]="","relation",IFERROR(VLOOKUP(ListLayout[[#This Row],[Relation]],RelationTable[[Display]:[RELID]],2,0),""))</f>
        <v/>
      </c>
      <c r="AZ62" s="17" t="str">
        <f>IF(ListLayout[[#This Row],[List Name for Layout]]="","nest_relation1",IFERROR(VLOOKUP(ListLayout[[#This Row],[Relation 1]],RelationTable[[Display]:[RELID]],2,0),""))</f>
        <v/>
      </c>
      <c r="BA62" s="17" t="str">
        <f>IF(ListLayout[[#This Row],[List Name for Layout]]="","nest_relation2",IFERROR(VLOOKUP(ListLayout[[#This Row],[Relation 2]],RelationTable[[Display]:[RELID]],2,0),""))</f>
        <v/>
      </c>
      <c r="BB62" s="31"/>
      <c r="BC62" s="31"/>
      <c r="BD62" s="31"/>
    </row>
    <row r="63" spans="45:56">
      <c r="AS63" s="17" t="str">
        <f>'Table Seed Map'!$A$25&amp;"-"&amp;COUNTA($AU$1:ListLayout[[#This Row],[No]])-2</f>
        <v>List Layout-61</v>
      </c>
      <c r="AT63" s="2" t="s">
        <v>1336</v>
      </c>
      <c r="AU63" s="17">
        <f>IF(ListLayout[[#This Row],[List Name for Layout]]="","id",COUNTA($AT$2:ListLayout[[#This Row],[List Name for Layout]])+IF(ISNUMBER(VLOOKUP('Table Seed Map'!$A$25,SeedMap[],9,0)),VLOOKUP('Table Seed Map'!$A$25,SeedMap[],9,0),0))</f>
        <v>61</v>
      </c>
      <c r="AV63" s="17">
        <f>IFERROR(VLOOKUP(ListLayout[[#This Row],[List Name for Layout]],ResourceList[[ListDisplayName]:[No]],2,0),"resource_list")</f>
        <v>17</v>
      </c>
      <c r="AW63" s="17" t="s">
        <v>665</v>
      </c>
      <c r="AX63" s="31" t="s">
        <v>95</v>
      </c>
      <c r="AY63" s="17" t="str">
        <f>IF(ListLayout[[#This Row],[List Name for Layout]]="","relation",IFERROR(VLOOKUP(ListLayout[[#This Row],[Relation]],RelationTable[[Display]:[RELID]],2,0),""))</f>
        <v/>
      </c>
      <c r="AZ63" s="17" t="str">
        <f>IF(ListLayout[[#This Row],[List Name for Layout]]="","nest_relation1",IFERROR(VLOOKUP(ListLayout[[#This Row],[Relation 1]],RelationTable[[Display]:[RELID]],2,0),""))</f>
        <v/>
      </c>
      <c r="BA63" s="17" t="str">
        <f>IF(ListLayout[[#This Row],[List Name for Layout]]="","nest_relation2",IFERROR(VLOOKUP(ListLayout[[#This Row],[Relation 2]],RelationTable[[Display]:[RELID]],2,0),""))</f>
        <v/>
      </c>
      <c r="BB63" s="31"/>
      <c r="BC63" s="31"/>
      <c r="BD63" s="31"/>
    </row>
    <row r="64" spans="45:56">
      <c r="AS64" s="17" t="str">
        <f>'Table Seed Map'!$A$25&amp;"-"&amp;COUNTA($AU$1:ListLayout[[#This Row],[No]])-2</f>
        <v>List Layout-62</v>
      </c>
      <c r="AT64" s="2" t="s">
        <v>1355</v>
      </c>
      <c r="AU64" s="17">
        <f>IF(ListLayout[[#This Row],[List Name for Layout]]="","id",COUNTA($AT$2:ListLayout[[#This Row],[List Name for Layout]])+IF(ISNUMBER(VLOOKUP('Table Seed Map'!$A$25,SeedMap[],9,0)),VLOOKUP('Table Seed Map'!$A$25,SeedMap[],9,0),0))</f>
        <v>62</v>
      </c>
      <c r="AV64" s="17">
        <f>IFERROR(VLOOKUP(ListLayout[[#This Row],[List Name for Layout]],ResourceList[[ListDisplayName]:[No]],2,0),"resource_list")</f>
        <v>18</v>
      </c>
      <c r="AW64" s="17" t="s">
        <v>1</v>
      </c>
      <c r="AX64" s="31" t="s">
        <v>26</v>
      </c>
      <c r="AY64" s="17" t="str">
        <f>IF(ListLayout[[#This Row],[List Name for Layout]]="","relation",IFERROR(VLOOKUP(ListLayout[[#This Row],[Relation]],RelationTable[[Display]:[RELID]],2,0),""))</f>
        <v/>
      </c>
      <c r="AZ64" s="17" t="str">
        <f>IF(ListLayout[[#This Row],[List Name for Layout]]="","nest_relation1",IFERROR(VLOOKUP(ListLayout[[#This Row],[Relation 1]],RelationTable[[Display]:[RELID]],2,0),""))</f>
        <v/>
      </c>
      <c r="BA64" s="17" t="str">
        <f>IF(ListLayout[[#This Row],[List Name for Layout]]="","nest_relation2",IFERROR(VLOOKUP(ListLayout[[#This Row],[Relation 2]],RelationTable[[Display]:[RELID]],2,0),""))</f>
        <v/>
      </c>
      <c r="BB64" s="31"/>
      <c r="BC64" s="31"/>
      <c r="BD64" s="31"/>
    </row>
    <row r="65" spans="45:56">
      <c r="AS65" s="17" t="str">
        <f>'Table Seed Map'!$A$25&amp;"-"&amp;COUNTA($AU$1:ListLayout[[#This Row],[No]])-2</f>
        <v>List Layout-63</v>
      </c>
      <c r="AT65" s="2" t="s">
        <v>1355</v>
      </c>
      <c r="AU65" s="17">
        <f>IF(ListLayout[[#This Row],[List Name for Layout]]="","id",COUNTA($AT$2:ListLayout[[#This Row],[List Name for Layout]])+IF(ISNUMBER(VLOOKUP('Table Seed Map'!$A$25,SeedMap[],9,0)),VLOOKUP('Table Seed Map'!$A$25,SeedMap[],9,0),0))</f>
        <v>63</v>
      </c>
      <c r="AV65" s="17">
        <f>IFERROR(VLOOKUP(ListLayout[[#This Row],[List Name for Layout]],ResourceList[[ListDisplayName]:[No]],2,0),"resource_list")</f>
        <v>18</v>
      </c>
      <c r="AW65" s="17" t="s">
        <v>665</v>
      </c>
      <c r="AX65" s="31" t="s">
        <v>95</v>
      </c>
      <c r="AY65" s="17" t="str">
        <f>IF(ListLayout[[#This Row],[List Name for Layout]]="","relation",IFERROR(VLOOKUP(ListLayout[[#This Row],[Relation]],RelationTable[[Display]:[RELID]],2,0),""))</f>
        <v/>
      </c>
      <c r="AZ65" s="17" t="str">
        <f>IF(ListLayout[[#This Row],[List Name for Layout]]="","nest_relation1",IFERROR(VLOOKUP(ListLayout[[#This Row],[Relation 1]],RelationTable[[Display]:[RELID]],2,0),""))</f>
        <v/>
      </c>
      <c r="BA65" s="17" t="str">
        <f>IF(ListLayout[[#This Row],[List Name for Layout]]="","nest_relation2",IFERROR(VLOOKUP(ListLayout[[#This Row],[Relation 2]],RelationTable[[Display]:[RELID]],2,0),""))</f>
        <v/>
      </c>
      <c r="BB65" s="31"/>
      <c r="BC65" s="31"/>
      <c r="BD65" s="31"/>
    </row>
    <row r="66" spans="45:56">
      <c r="AS66" s="17" t="str">
        <f>'Table Seed Map'!$A$25&amp;"-"&amp;COUNTA($AU$1:ListLayout[[#This Row],[No]])-2</f>
        <v>List Layout-64</v>
      </c>
      <c r="AT66" s="2" t="s">
        <v>1356</v>
      </c>
      <c r="AU66" s="17">
        <f>IF(ListLayout[[#This Row],[List Name for Layout]]="","id",COUNTA($AT$2:ListLayout[[#This Row],[List Name for Layout]])+IF(ISNUMBER(VLOOKUP('Table Seed Map'!$A$25,SeedMap[],9,0)),VLOOKUP('Table Seed Map'!$A$25,SeedMap[],9,0),0))</f>
        <v>64</v>
      </c>
      <c r="AV66" s="17">
        <f>IFERROR(VLOOKUP(ListLayout[[#This Row],[List Name for Layout]],ResourceList[[ListDisplayName]:[No]],2,0),"resource_list")</f>
        <v>19</v>
      </c>
      <c r="AW66" s="17" t="s">
        <v>14</v>
      </c>
      <c r="AX66" s="31" t="s">
        <v>48</v>
      </c>
      <c r="AY66" s="17" t="str">
        <f>IF(ListLayout[[#This Row],[List Name for Layout]]="","relation",IFERROR(VLOOKUP(ListLayout[[#This Row],[Relation]],RelationTable[[Display]:[RELID]],2,0),""))</f>
        <v/>
      </c>
      <c r="AZ66" s="17" t="str">
        <f>IF(ListLayout[[#This Row],[List Name for Layout]]="","nest_relation1",IFERROR(VLOOKUP(ListLayout[[#This Row],[Relation 1]],RelationTable[[Display]:[RELID]],2,0),""))</f>
        <v/>
      </c>
      <c r="BA66" s="17" t="str">
        <f>IF(ListLayout[[#This Row],[List Name for Layout]]="","nest_relation2",IFERROR(VLOOKUP(ListLayout[[#This Row],[Relation 2]],RelationTable[[Display]:[RELID]],2,0),""))</f>
        <v/>
      </c>
      <c r="BB66" s="31"/>
      <c r="BC66" s="31"/>
      <c r="BD66" s="31"/>
    </row>
    <row r="67" spans="45:56">
      <c r="AS67" s="17" t="str">
        <f>'Table Seed Map'!$A$25&amp;"-"&amp;COUNTA($AU$1:ListLayout[[#This Row],[No]])-2</f>
        <v>List Layout-65</v>
      </c>
      <c r="AT67" s="2" t="s">
        <v>1356</v>
      </c>
      <c r="AU67" s="17">
        <f>IF(ListLayout[[#This Row],[List Name for Layout]]="","id",COUNTA($AT$2:ListLayout[[#This Row],[List Name for Layout]])+IF(ISNUMBER(VLOOKUP('Table Seed Map'!$A$25,SeedMap[],9,0)),VLOOKUP('Table Seed Map'!$A$25,SeedMap[],9,0),0))</f>
        <v>65</v>
      </c>
      <c r="AV67" s="17">
        <f>IFERROR(VLOOKUP(ListLayout[[#This Row],[List Name for Layout]],ResourceList[[ListDisplayName]:[No]],2,0),"resource_list")</f>
        <v>19</v>
      </c>
      <c r="AW67" s="17" t="s">
        <v>275</v>
      </c>
      <c r="AX67" s="31" t="s">
        <v>200</v>
      </c>
      <c r="AY67" s="17" t="str">
        <f>IF(ListLayout[[#This Row],[List Name for Layout]]="","relation",IFERROR(VLOOKUP(ListLayout[[#This Row],[Relation]],RelationTable[[Display]:[RELID]],2,0),""))</f>
        <v/>
      </c>
      <c r="AZ67" s="17" t="str">
        <f>IF(ListLayout[[#This Row],[List Name for Layout]]="","nest_relation1",IFERROR(VLOOKUP(ListLayout[[#This Row],[Relation 1]],RelationTable[[Display]:[RELID]],2,0),""))</f>
        <v/>
      </c>
      <c r="BA67" s="17" t="str">
        <f>IF(ListLayout[[#This Row],[List Name for Layout]]="","nest_relation2",IFERROR(VLOOKUP(ListLayout[[#This Row],[Relation 2]],RelationTable[[Display]:[RELID]],2,0),""))</f>
        <v/>
      </c>
      <c r="BB67" s="31"/>
      <c r="BC67" s="31"/>
      <c r="BD67" s="31"/>
    </row>
    <row r="68" spans="45:56">
      <c r="AS68" s="17" t="str">
        <f>'Table Seed Map'!$A$25&amp;"-"&amp;COUNTA($AU$1:ListLayout[[#This Row],[No]])-2</f>
        <v>List Layout-66</v>
      </c>
      <c r="AT68" s="2" t="s">
        <v>1356</v>
      </c>
      <c r="AU68" s="17">
        <f>IF(ListLayout[[#This Row],[List Name for Layout]]="","id",COUNTA($AT$2:ListLayout[[#This Row],[List Name for Layout]])+IF(ISNUMBER(VLOOKUP('Table Seed Map'!$A$25,SeedMap[],9,0)),VLOOKUP('Table Seed Map'!$A$25,SeedMap[],9,0),0))</f>
        <v>66</v>
      </c>
      <c r="AV68" s="17">
        <f>IFERROR(VLOOKUP(ListLayout[[#This Row],[List Name for Layout]],ResourceList[[ListDisplayName]:[No]],2,0),"resource_list")</f>
        <v>19</v>
      </c>
      <c r="AW68" s="17" t="s">
        <v>1358</v>
      </c>
      <c r="AX68" s="31" t="s">
        <v>357</v>
      </c>
      <c r="AY68" s="17" t="str">
        <f>IF(ListLayout[[#This Row],[List Name for Layout]]="","relation",IFERROR(VLOOKUP(ListLayout[[#This Row],[Relation]],RelationTable[[Display]:[RELID]],2,0),""))</f>
        <v/>
      </c>
      <c r="AZ68" s="17" t="str">
        <f>IF(ListLayout[[#This Row],[List Name for Layout]]="","nest_relation1",IFERROR(VLOOKUP(ListLayout[[#This Row],[Relation 1]],RelationTable[[Display]:[RELID]],2,0),""))</f>
        <v/>
      </c>
      <c r="BA68" s="17" t="str">
        <f>IF(ListLayout[[#This Row],[List Name for Layout]]="","nest_relation2",IFERROR(VLOOKUP(ListLayout[[#This Row],[Relation 2]],RelationTable[[Display]:[RELID]],2,0),""))</f>
        <v/>
      </c>
      <c r="BB68" s="31"/>
      <c r="BC68" s="31"/>
      <c r="BD68" s="31"/>
    </row>
    <row r="69" spans="45:56">
      <c r="AS69" s="17" t="str">
        <f>'Table Seed Map'!$A$25&amp;"-"&amp;COUNTA($AU$1:ListLayout[[#This Row],[No]])-2</f>
        <v>List Layout-67</v>
      </c>
      <c r="AT69" s="2" t="s">
        <v>1356</v>
      </c>
      <c r="AU69" s="17">
        <f>IF(ListLayout[[#This Row],[List Name for Layout]]="","id",COUNTA($AT$2:ListLayout[[#This Row],[List Name for Layout]])+IF(ISNUMBER(VLOOKUP('Table Seed Map'!$A$25,SeedMap[],9,0)),VLOOKUP('Table Seed Map'!$A$25,SeedMap[],9,0),0))</f>
        <v>67</v>
      </c>
      <c r="AV69" s="17">
        <f>IFERROR(VLOOKUP(ListLayout[[#This Row],[List Name for Layout]],ResourceList[[ListDisplayName]:[No]],2,0),"resource_list")</f>
        <v>19</v>
      </c>
      <c r="AW69" s="17" t="s">
        <v>1359</v>
      </c>
      <c r="AX69" s="31" t="s">
        <v>359</v>
      </c>
      <c r="AY69" s="17" t="str">
        <f>IF(ListLayout[[#This Row],[List Name for Layout]]="","relation",IFERROR(VLOOKUP(ListLayout[[#This Row],[Relation]],RelationTable[[Display]:[RELID]],2,0),""))</f>
        <v/>
      </c>
      <c r="AZ69" s="17" t="str">
        <f>IF(ListLayout[[#This Row],[List Name for Layout]]="","nest_relation1",IFERROR(VLOOKUP(ListLayout[[#This Row],[Relation 1]],RelationTable[[Display]:[RELID]],2,0),""))</f>
        <v/>
      </c>
      <c r="BA69" s="17" t="str">
        <f>IF(ListLayout[[#This Row],[List Name for Layout]]="","nest_relation2",IFERROR(VLOOKUP(ListLayout[[#This Row],[Relation 2]],RelationTable[[Display]:[RELID]],2,0),""))</f>
        <v/>
      </c>
      <c r="BB69" s="31"/>
      <c r="BC69" s="31"/>
      <c r="BD69" s="31"/>
    </row>
    <row r="70" spans="45:56">
      <c r="AS70" s="17" t="str">
        <f>'Table Seed Map'!$A$25&amp;"-"&amp;COUNTA($AU$1:ListLayout[[#This Row],[No]])-2</f>
        <v>List Layout-68</v>
      </c>
      <c r="AT70" s="2" t="s">
        <v>1356</v>
      </c>
      <c r="AU70" s="17">
        <f>IF(ListLayout[[#This Row],[List Name for Layout]]="","id",COUNTA($AT$2:ListLayout[[#This Row],[List Name for Layout]])+IF(ISNUMBER(VLOOKUP('Table Seed Map'!$A$25,SeedMap[],9,0)),VLOOKUP('Table Seed Map'!$A$25,SeedMap[],9,0),0))</f>
        <v>68</v>
      </c>
      <c r="AV70" s="17">
        <f>IFERROR(VLOOKUP(ListLayout[[#This Row],[List Name for Layout]],ResourceList[[ListDisplayName]:[No]],2,0),"resource_list")</f>
        <v>19</v>
      </c>
      <c r="AW70" s="17" t="s">
        <v>661</v>
      </c>
      <c r="AX70" s="31" t="s">
        <v>361</v>
      </c>
      <c r="AY70" s="17" t="str">
        <f>IF(ListLayout[[#This Row],[List Name for Layout]]="","relation",IFERROR(VLOOKUP(ListLayout[[#This Row],[Relation]],RelationTable[[Display]:[RELID]],2,0),""))</f>
        <v/>
      </c>
      <c r="AZ70" s="17" t="str">
        <f>IF(ListLayout[[#This Row],[List Name for Layout]]="","nest_relation1",IFERROR(VLOOKUP(ListLayout[[#This Row],[Relation 1]],RelationTable[[Display]:[RELID]],2,0),""))</f>
        <v/>
      </c>
      <c r="BA70" s="17" t="str">
        <f>IF(ListLayout[[#This Row],[List Name for Layout]]="","nest_relation2",IFERROR(VLOOKUP(ListLayout[[#This Row],[Relation 2]],RelationTable[[Display]:[RELID]],2,0),""))</f>
        <v/>
      </c>
      <c r="BB70" s="31"/>
      <c r="BC70" s="31"/>
      <c r="BD70" s="31"/>
    </row>
    <row r="71" spans="45:56">
      <c r="AS71" s="17" t="str">
        <f>'Table Seed Map'!$A$25&amp;"-"&amp;COUNTA($AU$1:ListLayout[[#This Row],[No]])-2</f>
        <v>List Layout-69</v>
      </c>
      <c r="AT71" s="2" t="s">
        <v>1360</v>
      </c>
      <c r="AU71" s="17">
        <f>IF(ListLayout[[#This Row],[List Name for Layout]]="","id",COUNTA($AT$2:ListLayout[[#This Row],[List Name for Layout]])+IF(ISNUMBER(VLOOKUP('Table Seed Map'!$A$25,SeedMap[],9,0)),VLOOKUP('Table Seed Map'!$A$25,SeedMap[],9,0),0))</f>
        <v>69</v>
      </c>
      <c r="AV71" s="17">
        <f>IFERROR(VLOOKUP(ListLayout[[#This Row],[List Name for Layout]],ResourceList[[ListDisplayName]:[No]],2,0),"resource_list")</f>
        <v>20</v>
      </c>
      <c r="AW71" s="17" t="s">
        <v>662</v>
      </c>
      <c r="AX71" s="31" t="s">
        <v>128</v>
      </c>
      <c r="AY71" s="17" t="str">
        <f>IF(ListLayout[[#This Row],[List Name for Layout]]="","relation",IFERROR(VLOOKUP(ListLayout[[#This Row],[Relation]],RelationTable[[Display]:[RELID]],2,0),""))</f>
        <v/>
      </c>
      <c r="AZ71" s="17" t="str">
        <f>IF(ListLayout[[#This Row],[List Name for Layout]]="","nest_relation1",IFERROR(VLOOKUP(ListLayout[[#This Row],[Relation 1]],RelationTable[[Display]:[RELID]],2,0),""))</f>
        <v/>
      </c>
      <c r="BA71" s="17" t="str">
        <f>IF(ListLayout[[#This Row],[List Name for Layout]]="","nest_relation2",IFERROR(VLOOKUP(ListLayout[[#This Row],[Relation 2]],RelationTable[[Display]:[RELID]],2,0),""))</f>
        <v/>
      </c>
      <c r="BB71" s="31"/>
      <c r="BC71" s="31"/>
      <c r="BD71" s="31"/>
    </row>
    <row r="72" spans="45:56">
      <c r="AS72" s="17" t="str">
        <f>'Table Seed Map'!$A$25&amp;"-"&amp;COUNTA($AU$1:ListLayout[[#This Row],[No]])-2</f>
        <v>List Layout-70</v>
      </c>
      <c r="AT72" s="2" t="s">
        <v>1360</v>
      </c>
      <c r="AU72" s="17">
        <f>IF(ListLayout[[#This Row],[List Name for Layout]]="","id",COUNTA($AT$2:ListLayout[[#This Row],[List Name for Layout]])+IF(ISNUMBER(VLOOKUP('Table Seed Map'!$A$25,SeedMap[],9,0)),VLOOKUP('Table Seed Map'!$A$25,SeedMap[],9,0),0))</f>
        <v>70</v>
      </c>
      <c r="AV72" s="17">
        <f>IFERROR(VLOOKUP(ListLayout[[#This Row],[List Name for Layout]],ResourceList[[ListDisplayName]:[No]],2,0),"resource_list")</f>
        <v>20</v>
      </c>
      <c r="AW72" s="17" t="s">
        <v>663</v>
      </c>
      <c r="AX72" s="31" t="s">
        <v>129</v>
      </c>
      <c r="AY72" s="17" t="str">
        <f>IF(ListLayout[[#This Row],[List Name for Layout]]="","relation",IFERROR(VLOOKUP(ListLayout[[#This Row],[Relation]],RelationTable[[Display]:[RELID]],2,0),""))</f>
        <v/>
      </c>
      <c r="AZ72" s="17" t="str">
        <f>IF(ListLayout[[#This Row],[List Name for Layout]]="","nest_relation1",IFERROR(VLOOKUP(ListLayout[[#This Row],[Relation 1]],RelationTable[[Display]:[RELID]],2,0),""))</f>
        <v/>
      </c>
      <c r="BA72" s="17" t="str">
        <f>IF(ListLayout[[#This Row],[List Name for Layout]]="","nest_relation2",IFERROR(VLOOKUP(ListLayout[[#This Row],[Relation 2]],RelationTable[[Display]:[RELID]],2,0),""))</f>
        <v/>
      </c>
      <c r="BB72" s="31"/>
      <c r="BC72" s="31"/>
      <c r="BD72" s="31"/>
    </row>
    <row r="73" spans="45:56">
      <c r="AS73" s="17" t="str">
        <f>'Table Seed Map'!$A$25&amp;"-"&amp;COUNTA($AU$1:ListLayout[[#This Row],[No]])-2</f>
        <v>List Layout-71</v>
      </c>
      <c r="AT73" s="2" t="s">
        <v>1360</v>
      </c>
      <c r="AU73" s="17">
        <f>IF(ListLayout[[#This Row],[List Name for Layout]]="","id",COUNTA($AT$2:ListLayout[[#This Row],[List Name for Layout]])+IF(ISNUMBER(VLOOKUP('Table Seed Map'!$A$25,SeedMap[],9,0)),VLOOKUP('Table Seed Map'!$A$25,SeedMap[],9,0),0))</f>
        <v>71</v>
      </c>
      <c r="AV73" s="17">
        <f>IFERROR(VLOOKUP(ListLayout[[#This Row],[List Name for Layout]],ResourceList[[ListDisplayName]:[No]],2,0),"resource_list")</f>
        <v>20</v>
      </c>
      <c r="AW73" s="17" t="s">
        <v>1361</v>
      </c>
      <c r="AX73" s="31" t="s">
        <v>36</v>
      </c>
      <c r="AY73" s="17" t="str">
        <f>IF(ListLayout[[#This Row],[List Name for Layout]]="","relation",IFERROR(VLOOKUP(ListLayout[[#This Row],[Relation]],RelationTable[[Display]:[RELID]],2,0),""))</f>
        <v/>
      </c>
      <c r="AZ73" s="17" t="str">
        <f>IF(ListLayout[[#This Row],[List Name for Layout]]="","nest_relation1",IFERROR(VLOOKUP(ListLayout[[#This Row],[Relation 1]],RelationTable[[Display]:[RELID]],2,0),""))</f>
        <v/>
      </c>
      <c r="BA73" s="17" t="str">
        <f>IF(ListLayout[[#This Row],[List Name for Layout]]="","nest_relation2",IFERROR(VLOOKUP(ListLayout[[#This Row],[Relation 2]],RelationTable[[Display]:[RELID]],2,0),""))</f>
        <v/>
      </c>
      <c r="BB73" s="31"/>
      <c r="BC73" s="31"/>
      <c r="BD73" s="31"/>
    </row>
    <row r="74" spans="45:56">
      <c r="AS74" s="17" t="str">
        <f>'Table Seed Map'!$A$25&amp;"-"&amp;COUNTA($AU$1:ListLayout[[#This Row],[No]])-2</f>
        <v>List Layout-72</v>
      </c>
      <c r="AT74" s="2" t="s">
        <v>1360</v>
      </c>
      <c r="AU74" s="17">
        <f>IF(ListLayout[[#This Row],[List Name for Layout]]="","id",COUNTA($AT$2:ListLayout[[#This Row],[List Name for Layout]])+IF(ISNUMBER(VLOOKUP('Table Seed Map'!$A$25,SeedMap[],9,0)),VLOOKUP('Table Seed Map'!$A$25,SeedMap[],9,0),0))</f>
        <v>72</v>
      </c>
      <c r="AV74" s="17">
        <f>IFERROR(VLOOKUP(ListLayout[[#This Row],[List Name for Layout]],ResourceList[[ListDisplayName]:[No]],2,0),"resource_list")</f>
        <v>20</v>
      </c>
      <c r="AW74" s="17" t="s">
        <v>1363</v>
      </c>
      <c r="AX74" s="31" t="s">
        <v>37</v>
      </c>
      <c r="AY74" s="17" t="str">
        <f>IF(ListLayout[[#This Row],[List Name for Layout]]="","relation",IFERROR(VLOOKUP(ListLayout[[#This Row],[Relation]],RelationTable[[Display]:[RELID]],2,0),""))</f>
        <v/>
      </c>
      <c r="AZ74" s="17" t="str">
        <f>IF(ListLayout[[#This Row],[List Name for Layout]]="","nest_relation1",IFERROR(VLOOKUP(ListLayout[[#This Row],[Relation 1]],RelationTable[[Display]:[RELID]],2,0),""))</f>
        <v/>
      </c>
      <c r="BA74" s="17" t="str">
        <f>IF(ListLayout[[#This Row],[List Name for Layout]]="","nest_relation2",IFERROR(VLOOKUP(ListLayout[[#This Row],[Relation 2]],RelationTable[[Display]:[RELID]],2,0),""))</f>
        <v/>
      </c>
      <c r="BB74" s="31"/>
      <c r="BC74" s="31"/>
      <c r="BD74" s="31"/>
    </row>
    <row r="75" spans="45:56">
      <c r="AS75" s="17" t="str">
        <f>'Table Seed Map'!$A$25&amp;"-"&amp;COUNTA($AU$1:ListLayout[[#This Row],[No]])-2</f>
        <v>List Layout-73</v>
      </c>
      <c r="AT75" s="2" t="s">
        <v>1360</v>
      </c>
      <c r="AU75" s="17">
        <f>IF(ListLayout[[#This Row],[List Name for Layout]]="","id",COUNTA($AT$2:ListLayout[[#This Row],[List Name for Layout]])+IF(ISNUMBER(VLOOKUP('Table Seed Map'!$A$25,SeedMap[],9,0)),VLOOKUP('Table Seed Map'!$A$25,SeedMap[],9,0),0))</f>
        <v>73</v>
      </c>
      <c r="AV75" s="17">
        <f>IFERROR(VLOOKUP(ListLayout[[#This Row],[List Name for Layout]],ResourceList[[ListDisplayName]:[No]],2,0),"resource_list")</f>
        <v>20</v>
      </c>
      <c r="AW75" s="17" t="s">
        <v>1362</v>
      </c>
      <c r="AX75" s="31" t="s">
        <v>38</v>
      </c>
      <c r="AY75" s="17" t="str">
        <f>IF(ListLayout[[#This Row],[List Name for Layout]]="","relation",IFERROR(VLOOKUP(ListLayout[[#This Row],[Relation]],RelationTable[[Display]:[RELID]],2,0),""))</f>
        <v/>
      </c>
      <c r="AZ75" s="17" t="str">
        <f>IF(ListLayout[[#This Row],[List Name for Layout]]="","nest_relation1",IFERROR(VLOOKUP(ListLayout[[#This Row],[Relation 1]],RelationTable[[Display]:[RELID]],2,0),""))</f>
        <v/>
      </c>
      <c r="BA75" s="17" t="str">
        <f>IF(ListLayout[[#This Row],[List Name for Layout]]="","nest_relation2",IFERROR(VLOOKUP(ListLayout[[#This Row],[Relation 2]],RelationTable[[Display]:[RELID]],2,0),""))</f>
        <v/>
      </c>
      <c r="BB75" s="31"/>
      <c r="BC75" s="31"/>
      <c r="BD75" s="31"/>
    </row>
    <row r="76" spans="45:56">
      <c r="AS76" s="17" t="str">
        <f>'Table Seed Map'!$A$25&amp;"-"&amp;COUNTA($AU$1:ListLayout[[#This Row],[No]])-2</f>
        <v>List Layout-74</v>
      </c>
      <c r="AT76" s="2" t="s">
        <v>1364</v>
      </c>
      <c r="AU76" s="17">
        <f>IF(ListLayout[[#This Row],[List Name for Layout]]="","id",COUNTA($AT$2:ListLayout[[#This Row],[List Name for Layout]])+IF(ISNUMBER(VLOOKUP('Table Seed Map'!$A$25,SeedMap[],9,0)),VLOOKUP('Table Seed Map'!$A$25,SeedMap[],9,0),0))</f>
        <v>74</v>
      </c>
      <c r="AV76" s="17">
        <f>IFERROR(VLOOKUP(ListLayout[[#This Row],[List Name for Layout]],ResourceList[[ListDisplayName]:[No]],2,0),"resource_list")</f>
        <v>21</v>
      </c>
      <c r="AW76" s="17" t="s">
        <v>1365</v>
      </c>
      <c r="AX76" s="31" t="s">
        <v>541</v>
      </c>
      <c r="AY76" s="17" t="str">
        <f>IF(ListLayout[[#This Row],[List Name for Layout]]="","relation",IFERROR(VLOOKUP(ListLayout[[#This Row],[Relation]],RelationTable[[Display]:[RELID]],2,0),""))</f>
        <v/>
      </c>
      <c r="AZ76" s="17" t="str">
        <f>IF(ListLayout[[#This Row],[List Name for Layout]]="","nest_relation1",IFERROR(VLOOKUP(ListLayout[[#This Row],[Relation 1]],RelationTable[[Display]:[RELID]],2,0),""))</f>
        <v/>
      </c>
      <c r="BA76" s="17" t="str">
        <f>IF(ListLayout[[#This Row],[List Name for Layout]]="","nest_relation2",IFERROR(VLOOKUP(ListLayout[[#This Row],[Relation 2]],RelationTable[[Display]:[RELID]],2,0),""))</f>
        <v/>
      </c>
      <c r="BB76" s="31"/>
      <c r="BC76" s="31"/>
      <c r="BD76" s="31"/>
    </row>
    <row r="77" spans="45:56">
      <c r="AS77" s="17" t="str">
        <f>'Table Seed Map'!$A$25&amp;"-"&amp;COUNTA($AU$1:ListLayout[[#This Row],[No]])-2</f>
        <v>List Layout-75</v>
      </c>
      <c r="AT77" s="2" t="s">
        <v>1364</v>
      </c>
      <c r="AU77" s="17">
        <f>IF(ListLayout[[#This Row],[List Name for Layout]]="","id",COUNTA($AT$2:ListLayout[[#This Row],[List Name for Layout]])+IF(ISNUMBER(VLOOKUP('Table Seed Map'!$A$25,SeedMap[],9,0)),VLOOKUP('Table Seed Map'!$A$25,SeedMap[],9,0),0))</f>
        <v>75</v>
      </c>
      <c r="AV77" s="17">
        <f>IFERROR(VLOOKUP(ListLayout[[#This Row],[List Name for Layout]],ResourceList[[ListDisplayName]:[No]],2,0),"resource_list")</f>
        <v>21</v>
      </c>
      <c r="AW77" s="17" t="s">
        <v>1105</v>
      </c>
      <c r="AX77" s="31" t="s">
        <v>543</v>
      </c>
      <c r="AY77" s="17" t="str">
        <f>IF(ListLayout[[#This Row],[List Name for Layout]]="","relation",IFERROR(VLOOKUP(ListLayout[[#This Row],[Relation]],RelationTable[[Display]:[RELID]],2,0),""))</f>
        <v/>
      </c>
      <c r="AZ77" s="17" t="str">
        <f>IF(ListLayout[[#This Row],[List Name for Layout]]="","nest_relation1",IFERROR(VLOOKUP(ListLayout[[#This Row],[Relation 1]],RelationTable[[Display]:[RELID]],2,0),""))</f>
        <v/>
      </c>
      <c r="BA77" s="17" t="str">
        <f>IF(ListLayout[[#This Row],[List Name for Layout]]="","nest_relation2",IFERROR(VLOOKUP(ListLayout[[#This Row],[Relation 2]],RelationTable[[Display]:[RELID]],2,0),""))</f>
        <v/>
      </c>
      <c r="BB77" s="31"/>
      <c r="BC77" s="31"/>
      <c r="BD77" s="31"/>
    </row>
    <row r="78" spans="45:56">
      <c r="AS78" s="17" t="str">
        <f>'Table Seed Map'!$A$25&amp;"-"&amp;COUNTA($AU$1:ListLayout[[#This Row],[No]])-2</f>
        <v>List Layout-76</v>
      </c>
      <c r="AT78" s="2" t="s">
        <v>1364</v>
      </c>
      <c r="AU78" s="17">
        <f>IF(ListLayout[[#This Row],[List Name for Layout]]="","id",COUNTA($AT$2:ListLayout[[#This Row],[List Name for Layout]])+IF(ISNUMBER(VLOOKUP('Table Seed Map'!$A$25,SeedMap[],9,0)),VLOOKUP('Table Seed Map'!$A$25,SeedMap[],9,0),0))</f>
        <v>76</v>
      </c>
      <c r="AV78" s="17">
        <f>IFERROR(VLOOKUP(ListLayout[[#This Row],[List Name for Layout]],ResourceList[[ListDisplayName]:[No]],2,0),"resource_list")</f>
        <v>21</v>
      </c>
      <c r="AW78" s="17" t="s">
        <v>793</v>
      </c>
      <c r="AX78" s="31" t="s">
        <v>545</v>
      </c>
      <c r="AY78" s="17" t="str">
        <f>IF(ListLayout[[#This Row],[List Name for Layout]]="","relation",IFERROR(VLOOKUP(ListLayout[[#This Row],[Relation]],RelationTable[[Display]:[RELID]],2,0),""))</f>
        <v/>
      </c>
      <c r="AZ78" s="17" t="str">
        <f>IF(ListLayout[[#This Row],[List Name for Layout]]="","nest_relation1",IFERROR(VLOOKUP(ListLayout[[#This Row],[Relation 1]],RelationTable[[Display]:[RELID]],2,0),""))</f>
        <v/>
      </c>
      <c r="BA78" s="17" t="str">
        <f>IF(ListLayout[[#This Row],[List Name for Layout]]="","nest_relation2",IFERROR(VLOOKUP(ListLayout[[#This Row],[Relation 2]],RelationTable[[Display]:[RELID]],2,0),""))</f>
        <v/>
      </c>
      <c r="BB78" s="31"/>
      <c r="BC78" s="31"/>
      <c r="BD78" s="31"/>
    </row>
    <row r="79" spans="45:56">
      <c r="AS79" s="17" t="str">
        <f>'Table Seed Map'!$A$25&amp;"-"&amp;COUNTA($AU$1:ListLayout[[#This Row],[No]])-2</f>
        <v>List Layout-77</v>
      </c>
      <c r="AT79" s="2" t="s">
        <v>1364</v>
      </c>
      <c r="AU79" s="17">
        <f>IF(ListLayout[[#This Row],[List Name for Layout]]="","id",COUNTA($AT$2:ListLayout[[#This Row],[List Name for Layout]])+IF(ISNUMBER(VLOOKUP('Table Seed Map'!$A$25,SeedMap[],9,0)),VLOOKUP('Table Seed Map'!$A$25,SeedMap[],9,0),0))</f>
        <v>77</v>
      </c>
      <c r="AV79" s="17">
        <f>IFERROR(VLOOKUP(ListLayout[[#This Row],[List Name for Layout]],ResourceList[[ListDisplayName]:[No]],2,0),"resource_list")</f>
        <v>21</v>
      </c>
      <c r="AW79" s="17" t="s">
        <v>1366</v>
      </c>
      <c r="AX79" s="31" t="s">
        <v>549</v>
      </c>
      <c r="AY79" s="17" t="str">
        <f>IF(ListLayout[[#This Row],[List Name for Layout]]="","relation",IFERROR(VLOOKUP(ListLayout[[#This Row],[Relation]],RelationTable[[Display]:[RELID]],2,0),""))</f>
        <v/>
      </c>
      <c r="AZ79" s="17" t="str">
        <f>IF(ListLayout[[#This Row],[List Name for Layout]]="","nest_relation1",IFERROR(VLOOKUP(ListLayout[[#This Row],[Relation 1]],RelationTable[[Display]:[RELID]],2,0),""))</f>
        <v/>
      </c>
      <c r="BA79" s="17" t="str">
        <f>IF(ListLayout[[#This Row],[List Name for Layout]]="","nest_relation2",IFERROR(VLOOKUP(ListLayout[[#This Row],[Relation 2]],RelationTable[[Display]:[RELID]],2,0),""))</f>
        <v/>
      </c>
      <c r="BB79" s="31"/>
      <c r="BC79" s="31"/>
      <c r="BD79" s="31"/>
    </row>
    <row r="80" spans="45:56">
      <c r="AS80" s="17" t="str">
        <f>'Table Seed Map'!$A$25&amp;"-"&amp;COUNTA($AU$1:ListLayout[[#This Row],[No]])-2</f>
        <v>List Layout-78</v>
      </c>
      <c r="AT80" s="2" t="s">
        <v>1364</v>
      </c>
      <c r="AU80" s="17">
        <f>IF(ListLayout[[#This Row],[List Name for Layout]]="","id",COUNTA($AT$2:ListLayout[[#This Row],[List Name for Layout]])+IF(ISNUMBER(VLOOKUP('Table Seed Map'!$A$25,SeedMap[],9,0)),VLOOKUP('Table Seed Map'!$A$25,SeedMap[],9,0),0))</f>
        <v>78</v>
      </c>
      <c r="AV80" s="17">
        <f>IFERROR(VLOOKUP(ListLayout[[#This Row],[List Name for Layout]],ResourceList[[ListDisplayName]:[No]],2,0),"resource_list")</f>
        <v>21</v>
      </c>
      <c r="AW80" s="17" t="s">
        <v>1357</v>
      </c>
      <c r="AX80" s="31" t="s">
        <v>35</v>
      </c>
      <c r="AY80" s="17" t="str">
        <f>IF(ListLayout[[#This Row],[List Name for Layout]]="","relation",IFERROR(VLOOKUP(ListLayout[[#This Row],[Relation]],RelationTable[[Display]:[RELID]],2,0),""))</f>
        <v/>
      </c>
      <c r="AZ80" s="17" t="str">
        <f>IF(ListLayout[[#This Row],[List Name for Layout]]="","nest_relation1",IFERROR(VLOOKUP(ListLayout[[#This Row],[Relation 1]],RelationTable[[Display]:[RELID]],2,0),""))</f>
        <v/>
      </c>
      <c r="BA80" s="17" t="str">
        <f>IF(ListLayout[[#This Row],[List Name for Layout]]="","nest_relation2",IFERROR(VLOOKUP(ListLayout[[#This Row],[Relation 2]],RelationTable[[Display]:[RELID]],2,0),""))</f>
        <v/>
      </c>
      <c r="BB80" s="31"/>
      <c r="BC80" s="31"/>
      <c r="BD80" s="31"/>
    </row>
    <row r="81" spans="45:56">
      <c r="AS81" s="17" t="str">
        <f>'Table Seed Map'!$A$25&amp;"-"&amp;COUNTA($AU$1:ListLayout[[#This Row],[No]])-2</f>
        <v>List Layout-79</v>
      </c>
      <c r="AT81" s="2" t="s">
        <v>1364</v>
      </c>
      <c r="AU81" s="17">
        <f>IF(ListLayout[[#This Row],[List Name for Layout]]="","id",COUNTA($AT$2:ListLayout[[#This Row],[List Name for Layout]])+IF(ISNUMBER(VLOOKUP('Table Seed Map'!$A$25,SeedMap[],9,0)),VLOOKUP('Table Seed Map'!$A$25,SeedMap[],9,0),0))</f>
        <v>79</v>
      </c>
      <c r="AV81" s="17">
        <f>IFERROR(VLOOKUP(ListLayout[[#This Row],[List Name for Layout]],ResourceList[[ListDisplayName]:[No]],2,0),"resource_list")</f>
        <v>21</v>
      </c>
      <c r="AW81" s="17" t="s">
        <v>794</v>
      </c>
      <c r="AX81" s="31" t="s">
        <v>561</v>
      </c>
      <c r="AY81" s="17" t="str">
        <f>IF(ListLayout[[#This Row],[List Name for Layout]]="","relation",IFERROR(VLOOKUP(ListLayout[[#This Row],[Relation]],RelationTable[[Display]:[RELID]],2,0),""))</f>
        <v/>
      </c>
      <c r="AZ81" s="17" t="str">
        <f>IF(ListLayout[[#This Row],[List Name for Layout]]="","nest_relation1",IFERROR(VLOOKUP(ListLayout[[#This Row],[Relation 1]],RelationTable[[Display]:[RELID]],2,0),""))</f>
        <v/>
      </c>
      <c r="BA81" s="17" t="str">
        <f>IF(ListLayout[[#This Row],[List Name for Layout]]="","nest_relation2",IFERROR(VLOOKUP(ListLayout[[#This Row],[Relation 2]],RelationTable[[Display]:[RELID]],2,0),""))</f>
        <v/>
      </c>
      <c r="BB81" s="31"/>
      <c r="BC81" s="31"/>
      <c r="BD81" s="31"/>
    </row>
    <row r="82" spans="45:56">
      <c r="AS82" s="17" t="str">
        <f>'Table Seed Map'!$A$25&amp;"-"&amp;COUNTA($AU$1:ListLayout[[#This Row],[No]])-2</f>
        <v>List Layout-80</v>
      </c>
      <c r="AT82" s="2" t="s">
        <v>1364</v>
      </c>
      <c r="AU82" s="17">
        <f>IF(ListLayout[[#This Row],[List Name for Layout]]="","id",COUNTA($AT$2:ListLayout[[#This Row],[List Name for Layout]])+IF(ISNUMBER(VLOOKUP('Table Seed Map'!$A$25,SeedMap[],9,0)),VLOOKUP('Table Seed Map'!$A$25,SeedMap[],9,0),0))</f>
        <v>80</v>
      </c>
      <c r="AV82" s="17">
        <f>IFERROR(VLOOKUP(ListLayout[[#This Row],[List Name for Layout]],ResourceList[[ListDisplayName]:[No]],2,0),"resource_list")</f>
        <v>21</v>
      </c>
      <c r="AW82" s="17" t="s">
        <v>1367</v>
      </c>
      <c r="AX82" s="31" t="s">
        <v>559</v>
      </c>
      <c r="AY82" s="17" t="str">
        <f>IF(ListLayout[[#This Row],[List Name for Layout]]="","relation",IFERROR(VLOOKUP(ListLayout[[#This Row],[Relation]],RelationTable[[Display]:[RELID]],2,0),""))</f>
        <v/>
      </c>
      <c r="AZ82" s="17" t="str">
        <f>IF(ListLayout[[#This Row],[List Name for Layout]]="","nest_relation1",IFERROR(VLOOKUP(ListLayout[[#This Row],[Relation 1]],RelationTable[[Display]:[RELID]],2,0),""))</f>
        <v/>
      </c>
      <c r="BA82" s="17" t="str">
        <f>IF(ListLayout[[#This Row],[List Name for Layout]]="","nest_relation2",IFERROR(VLOOKUP(ListLayout[[#This Row],[Relation 2]],RelationTable[[Display]:[RELID]],2,0),""))</f>
        <v/>
      </c>
      <c r="BB82" s="31"/>
      <c r="BC82" s="31"/>
      <c r="BD82" s="31"/>
    </row>
    <row r="83" spans="45:56">
      <c r="AS83" s="17" t="str">
        <f>'Table Seed Map'!$A$25&amp;"-"&amp;COUNTA($AU$1:ListLayout[[#This Row],[No]])-2</f>
        <v>List Layout-81</v>
      </c>
      <c r="AT83" s="2" t="s">
        <v>1368</v>
      </c>
      <c r="AU83" s="17">
        <f>IF(ListLayout[[#This Row],[List Name for Layout]]="","id",COUNTA($AT$2:ListLayout[[#This Row],[List Name for Layout]])+IF(ISNUMBER(VLOOKUP('Table Seed Map'!$A$25,SeedMap[],9,0)),VLOOKUP('Table Seed Map'!$A$25,SeedMap[],9,0),0))</f>
        <v>81</v>
      </c>
      <c r="AV83" s="17">
        <f>IFERROR(VLOOKUP(ListLayout[[#This Row],[List Name for Layout]],ResourceList[[ListDisplayName]:[No]],2,0),"resource_list")</f>
        <v>22</v>
      </c>
      <c r="AW83" s="17" t="s">
        <v>1369</v>
      </c>
      <c r="AX83" s="31" t="s">
        <v>48</v>
      </c>
      <c r="AY83" s="17" t="str">
        <f>IF(ListLayout[[#This Row],[List Name for Layout]]="","relation",IFERROR(VLOOKUP(ListLayout[[#This Row],[Relation]],RelationTable[[Display]:[RELID]],2,0),""))</f>
        <v/>
      </c>
      <c r="AZ83" s="17" t="str">
        <f>IF(ListLayout[[#This Row],[List Name for Layout]]="","nest_relation1",IFERROR(VLOOKUP(ListLayout[[#This Row],[Relation 1]],RelationTable[[Display]:[RELID]],2,0),""))</f>
        <v/>
      </c>
      <c r="BA83" s="17" t="str">
        <f>IF(ListLayout[[#This Row],[List Name for Layout]]="","nest_relation2",IFERROR(VLOOKUP(ListLayout[[#This Row],[Relation 2]],RelationTable[[Display]:[RELID]],2,0),""))</f>
        <v/>
      </c>
      <c r="BB83" s="31"/>
      <c r="BC83" s="31"/>
      <c r="BD83" s="31"/>
    </row>
    <row r="84" spans="45:56">
      <c r="AS84" s="17" t="str">
        <f>'Table Seed Map'!$A$25&amp;"-"&amp;COUNTA($AU$1:ListLayout[[#This Row],[No]])-2</f>
        <v>List Layout-82</v>
      </c>
      <c r="AT84" s="2" t="s">
        <v>1368</v>
      </c>
      <c r="AU84" s="17">
        <f>IF(ListLayout[[#This Row],[List Name for Layout]]="","id",COUNTA($AT$2:ListLayout[[#This Row],[List Name for Layout]])+IF(ISNUMBER(VLOOKUP('Table Seed Map'!$A$25,SeedMap[],9,0)),VLOOKUP('Table Seed Map'!$A$25,SeedMap[],9,0),0))</f>
        <v>82</v>
      </c>
      <c r="AV84" s="17">
        <f>IFERROR(VLOOKUP(ListLayout[[#This Row],[List Name for Layout]],ResourceList[[ListDisplayName]:[No]],2,0),"resource_list")</f>
        <v>22</v>
      </c>
      <c r="AW84" s="17" t="s">
        <v>1365</v>
      </c>
      <c r="AX84" s="31" t="s">
        <v>541</v>
      </c>
      <c r="AY84" s="17" t="str">
        <f>IF(ListLayout[[#This Row],[List Name for Layout]]="","relation",IFERROR(VLOOKUP(ListLayout[[#This Row],[Relation]],RelationTable[[Display]:[RELID]],2,0),""))</f>
        <v/>
      </c>
      <c r="AZ84" s="17" t="str">
        <f>IF(ListLayout[[#This Row],[List Name for Layout]]="","nest_relation1",IFERROR(VLOOKUP(ListLayout[[#This Row],[Relation 1]],RelationTable[[Display]:[RELID]],2,0),""))</f>
        <v/>
      </c>
      <c r="BA84" s="17" t="str">
        <f>IF(ListLayout[[#This Row],[List Name for Layout]]="","nest_relation2",IFERROR(VLOOKUP(ListLayout[[#This Row],[Relation 2]],RelationTable[[Display]:[RELID]],2,0),""))</f>
        <v/>
      </c>
      <c r="BB84" s="31"/>
      <c r="BC84" s="31"/>
      <c r="BD84" s="31"/>
    </row>
    <row r="85" spans="45:56">
      <c r="AS85" s="17" t="str">
        <f>'Table Seed Map'!$A$25&amp;"-"&amp;COUNTA($AU$1:ListLayout[[#This Row],[No]])-2</f>
        <v>List Layout-83</v>
      </c>
      <c r="AT85" s="2" t="s">
        <v>1368</v>
      </c>
      <c r="AU85" s="17">
        <f>IF(ListLayout[[#This Row],[List Name for Layout]]="","id",COUNTA($AT$2:ListLayout[[#This Row],[List Name for Layout]])+IF(ISNUMBER(VLOOKUP('Table Seed Map'!$A$25,SeedMap[],9,0)),VLOOKUP('Table Seed Map'!$A$25,SeedMap[],9,0),0))</f>
        <v>83</v>
      </c>
      <c r="AV85" s="17">
        <f>IFERROR(VLOOKUP(ListLayout[[#This Row],[List Name for Layout]],ResourceList[[ListDisplayName]:[No]],2,0),"resource_list")</f>
        <v>22</v>
      </c>
      <c r="AW85" s="17" t="s">
        <v>796</v>
      </c>
      <c r="AX85" s="31" t="s">
        <v>643</v>
      </c>
      <c r="AY85" s="17" t="str">
        <f>IF(ListLayout[[#This Row],[List Name for Layout]]="","relation",IFERROR(VLOOKUP(ListLayout[[#This Row],[Relation]],RelationTable[[Display]:[RELID]],2,0),""))</f>
        <v/>
      </c>
      <c r="AZ85" s="17" t="str">
        <f>IF(ListLayout[[#This Row],[List Name for Layout]]="","nest_relation1",IFERROR(VLOOKUP(ListLayout[[#This Row],[Relation 1]],RelationTable[[Display]:[RELID]],2,0),""))</f>
        <v/>
      </c>
      <c r="BA85" s="17" t="str">
        <f>IF(ListLayout[[#This Row],[List Name for Layout]]="","nest_relation2",IFERROR(VLOOKUP(ListLayout[[#This Row],[Relation 2]],RelationTable[[Display]:[RELID]],2,0),""))</f>
        <v/>
      </c>
      <c r="BB85" s="31"/>
      <c r="BC85" s="31"/>
      <c r="BD85" s="31"/>
    </row>
    <row r="86" spans="45:56">
      <c r="AS86" s="17" t="str">
        <f>'Table Seed Map'!$A$25&amp;"-"&amp;COUNTA($AU$1:ListLayout[[#This Row],[No]])-2</f>
        <v>List Layout-84</v>
      </c>
      <c r="AT86" s="2" t="s">
        <v>1368</v>
      </c>
      <c r="AU86" s="17">
        <f>IF(ListLayout[[#This Row],[List Name for Layout]]="","id",COUNTA($AT$2:ListLayout[[#This Row],[List Name for Layout]])+IF(ISNUMBER(VLOOKUP('Table Seed Map'!$A$25,SeedMap[],9,0)),VLOOKUP('Table Seed Map'!$A$25,SeedMap[],9,0),0))</f>
        <v>84</v>
      </c>
      <c r="AV86" s="17">
        <f>IFERROR(VLOOKUP(ListLayout[[#This Row],[List Name for Layout]],ResourceList[[ListDisplayName]:[No]],2,0),"resource_list")</f>
        <v>22</v>
      </c>
      <c r="AW86" s="17" t="s">
        <v>665</v>
      </c>
      <c r="AX86" s="31" t="s">
        <v>95</v>
      </c>
      <c r="AY86" s="17" t="str">
        <f>IF(ListLayout[[#This Row],[List Name for Layout]]="","relation",IFERROR(VLOOKUP(ListLayout[[#This Row],[Relation]],RelationTable[[Display]:[RELID]],2,0),""))</f>
        <v/>
      </c>
      <c r="AZ86" s="17" t="str">
        <f>IF(ListLayout[[#This Row],[List Name for Layout]]="","nest_relation1",IFERROR(VLOOKUP(ListLayout[[#This Row],[Relation 1]],RelationTable[[Display]:[RELID]],2,0),""))</f>
        <v/>
      </c>
      <c r="BA86" s="17" t="str">
        <f>IF(ListLayout[[#This Row],[List Name for Layout]]="","nest_relation2",IFERROR(VLOOKUP(ListLayout[[#This Row],[Relation 2]],RelationTable[[Display]:[RELID]],2,0),""))</f>
        <v/>
      </c>
      <c r="BB86" s="31"/>
      <c r="BC86" s="31"/>
      <c r="BD86" s="31"/>
    </row>
    <row r="87" spans="45:56">
      <c r="AS87" s="17" t="str">
        <f>'Table Seed Map'!$A$25&amp;"-"&amp;COUNTA($AU$1:ListLayout[[#This Row],[No]])-2</f>
        <v>List Layout-85</v>
      </c>
      <c r="AT87" s="2" t="s">
        <v>1368</v>
      </c>
      <c r="AU87" s="17">
        <f>IF(ListLayout[[#This Row],[List Name for Layout]]="","id",COUNTA($AT$2:ListLayout[[#This Row],[List Name for Layout]])+IF(ISNUMBER(VLOOKUP('Table Seed Map'!$A$25,SeedMap[],9,0)),VLOOKUP('Table Seed Map'!$A$25,SeedMap[],9,0),0))</f>
        <v>85</v>
      </c>
      <c r="AV87" s="17">
        <f>IFERROR(VLOOKUP(ListLayout[[#This Row],[List Name for Layout]],ResourceList[[ListDisplayName]:[No]],2,0),"resource_list")</f>
        <v>22</v>
      </c>
      <c r="AW87" s="17" t="s">
        <v>666</v>
      </c>
      <c r="AX87" s="31" t="s">
        <v>659</v>
      </c>
      <c r="AY87" s="17" t="str">
        <f>IF(ListLayout[[#This Row],[List Name for Layout]]="","relation",IFERROR(VLOOKUP(ListLayout[[#This Row],[Relation]],RelationTable[[Display]:[RELID]],2,0),""))</f>
        <v/>
      </c>
      <c r="AZ87" s="17" t="str">
        <f>IF(ListLayout[[#This Row],[List Name for Layout]]="","nest_relation1",IFERROR(VLOOKUP(ListLayout[[#This Row],[Relation 1]],RelationTable[[Display]:[RELID]],2,0),""))</f>
        <v/>
      </c>
      <c r="BA87" s="17" t="str">
        <f>IF(ListLayout[[#This Row],[List Name for Layout]]="","nest_relation2",IFERROR(VLOOKUP(ListLayout[[#This Row],[Relation 2]],RelationTable[[Display]:[RELID]],2,0),""))</f>
        <v/>
      </c>
      <c r="BB87" s="31"/>
      <c r="BC87" s="31"/>
      <c r="BD87" s="31"/>
    </row>
    <row r="88" spans="45:56">
      <c r="AS88" s="17" t="str">
        <f>'Table Seed Map'!$A$25&amp;"-"&amp;COUNTA($AU$1:ListLayout[[#This Row],[No]])-2</f>
        <v>List Layout-86</v>
      </c>
      <c r="AT88" s="2" t="s">
        <v>1368</v>
      </c>
      <c r="AU88" s="17">
        <f>IF(ListLayout[[#This Row],[List Name for Layout]]="","id",COUNTA($AT$2:ListLayout[[#This Row],[List Name for Layout]])+IF(ISNUMBER(VLOOKUP('Table Seed Map'!$A$25,SeedMap[],9,0)),VLOOKUP('Table Seed Map'!$A$25,SeedMap[],9,0),0))</f>
        <v>86</v>
      </c>
      <c r="AV88" s="17">
        <f>IFERROR(VLOOKUP(ListLayout[[#This Row],[List Name for Layout]],ResourceList[[ListDisplayName]:[No]],2,0),"resource_list")</f>
        <v>22</v>
      </c>
      <c r="AW88" s="17" t="s">
        <v>793</v>
      </c>
      <c r="AX88" s="31" t="s">
        <v>545</v>
      </c>
      <c r="AY88" s="17" t="str">
        <f>IF(ListLayout[[#This Row],[List Name for Layout]]="","relation",IFERROR(VLOOKUP(ListLayout[[#This Row],[Relation]],RelationTable[[Display]:[RELID]],2,0),""))</f>
        <v/>
      </c>
      <c r="AZ88" s="17" t="str">
        <f>IF(ListLayout[[#This Row],[List Name for Layout]]="","nest_relation1",IFERROR(VLOOKUP(ListLayout[[#This Row],[Relation 1]],RelationTable[[Display]:[RELID]],2,0),""))</f>
        <v/>
      </c>
      <c r="BA88" s="17" t="str">
        <f>IF(ListLayout[[#This Row],[List Name for Layout]]="","nest_relation2",IFERROR(VLOOKUP(ListLayout[[#This Row],[Relation 2]],RelationTable[[Display]:[RELID]],2,0),""))</f>
        <v/>
      </c>
      <c r="BB88" s="31"/>
      <c r="BC88" s="31"/>
      <c r="BD88" s="31"/>
    </row>
  </sheetData>
  <dataValidations count="4">
    <dataValidation type="list" allowBlank="1" showInputMessage="1" showErrorMessage="1" sqref="AN2:AQ2 O2:R28 BB2:BD88">
      <formula1>Relations</formula1>
    </dataValidation>
    <dataValidation type="list" allowBlank="1" showInputMessage="1" showErrorMessage="1" sqref="AF2 L2:L28 AT2:AT88">
      <formula1>ListNames</formula1>
    </dataValidation>
    <dataValidation type="list" allowBlank="1" showInputMessage="1" showErrorMessage="1" sqref="B2:B24">
      <formula1>Resources</formula1>
    </dataValidation>
    <dataValidation type="list" allowBlank="1" showInputMessage="1" showErrorMessage="1" sqref="N2:N2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3"/>
  <sheetViews>
    <sheetView topLeftCell="B1" workbookViewId="0">
      <selection activeCell="AR2" sqref="AR2"/>
    </sheetView>
  </sheetViews>
  <sheetFormatPr defaultRowHeight="15"/>
  <cols>
    <col min="1" max="1" width="12" style="21" hidden="1" customWidth="1"/>
    <col min="2" max="2" width="17.28515625" style="21" bestFit="1" customWidth="1"/>
    <col min="3" max="3" width="18.140625" style="21" hidden="1" customWidth="1"/>
    <col min="4" max="4" width="9.140625" style="21" hidden="1" customWidth="1"/>
    <col min="5" max="5" width="11.42578125" style="21" hidden="1" customWidth="1"/>
    <col min="6" max="6" width="24.42578125" style="21" customWidth="1"/>
    <col min="7" max="7" width="49.7109375" style="21" customWidth="1"/>
    <col min="8" max="9" width="24.42578125" style="21" customWidth="1"/>
    <col min="10" max="10" width="5.140625" style="21" bestFit="1" customWidth="1"/>
    <col min="11" max="11" width="9.140625" style="21"/>
    <col min="12" max="12" width="22.42578125" style="21" customWidth="1"/>
    <col min="13" max="13" width="9.140625" style="21" hidden="1" customWidth="1"/>
    <col min="14" max="14" width="19.140625" style="21" bestFit="1" customWidth="1"/>
    <col min="15" max="15" width="16.28515625" style="21" customWidth="1"/>
    <col min="16" max="18" width="11" style="21" customWidth="1"/>
    <col min="19" max="19" width="15.7109375" style="21" hidden="1" customWidth="1"/>
    <col min="20" max="20" width="16" style="21" hidden="1" customWidth="1"/>
    <col min="21" max="21" width="21.5703125" style="21" hidden="1" customWidth="1"/>
    <col min="22" max="22" width="10.7109375" style="21" hidden="1" customWidth="1"/>
    <col min="23" max="23" width="17.85546875" style="21" hidden="1" customWidth="1"/>
    <col min="24" max="24" width="18.140625" style="21" hidden="1" customWidth="1"/>
    <col min="25" max="25" width="23.7109375" style="21" hidden="1" customWidth="1"/>
    <col min="26" max="26" width="10.5703125" style="21" hidden="1" customWidth="1"/>
    <col min="27" max="27" width="11" style="21" hidden="1" customWidth="1"/>
    <col min="28" max="28" width="9.140625" style="21" hidden="1" customWidth="1"/>
    <col min="29" max="29" width="11" style="21" hidden="1" customWidth="1"/>
    <col min="30" max="30" width="9.140625" style="21" customWidth="1"/>
    <col min="31" max="31" width="21.140625" style="21" hidden="1" customWidth="1"/>
    <col min="32" max="32" width="19.140625" style="21" customWidth="1"/>
    <col min="33" max="33" width="19.140625" style="21" hidden="1" customWidth="1"/>
    <col min="34" max="34" width="9.140625" style="21" hidden="1" customWidth="1"/>
    <col min="35" max="35" width="12.140625" style="21" hidden="1" customWidth="1"/>
    <col min="36" max="37" width="19" style="21" customWidth="1"/>
    <col min="38" max="38" width="12.140625" style="21" hidden="1" customWidth="1"/>
    <col min="39" max="39" width="10.28515625" style="21" customWidth="1"/>
    <col min="40" max="40" width="18.28515625" style="21" customWidth="1"/>
    <col min="41" max="41" width="9.140625" style="21"/>
    <col min="42" max="42" width="18.7109375" style="21" hidden="1" customWidth="1"/>
    <col min="43" max="43" width="17.85546875" style="21" bestFit="1" customWidth="1"/>
    <col min="44" max="44" width="9.85546875" style="21" customWidth="1"/>
    <col min="45" max="46" width="17.85546875" style="21" customWidth="1"/>
    <col min="47" max="47" width="16.85546875" style="21" customWidth="1"/>
    <col min="48" max="48" width="11.7109375" style="21" customWidth="1"/>
    <col min="49" max="49" width="17" style="21" customWidth="1"/>
    <col min="50" max="16384" width="9.140625" style="21"/>
  </cols>
  <sheetData>
    <row r="1" spans="1:49">
      <c r="A1" s="21" t="s">
        <v>850</v>
      </c>
      <c r="B1" s="21" t="s">
        <v>240</v>
      </c>
      <c r="C1" s="21" t="s">
        <v>950</v>
      </c>
      <c r="D1" s="21" t="s">
        <v>239</v>
      </c>
      <c r="E1" s="21" t="s">
        <v>204</v>
      </c>
      <c r="F1" s="21" t="s">
        <v>1</v>
      </c>
      <c r="G1" s="21" t="s">
        <v>242</v>
      </c>
      <c r="H1" s="21" t="s">
        <v>951</v>
      </c>
      <c r="I1" s="21" t="s">
        <v>275</v>
      </c>
      <c r="J1" s="21" t="s">
        <v>785</v>
      </c>
      <c r="L1" s="1" t="s">
        <v>952</v>
      </c>
      <c r="M1" s="1" t="s">
        <v>954</v>
      </c>
      <c r="N1" s="1" t="s">
        <v>924</v>
      </c>
      <c r="O1" s="1" t="s">
        <v>923</v>
      </c>
      <c r="P1" s="1" t="s">
        <v>925</v>
      </c>
      <c r="Q1" s="1" t="s">
        <v>926</v>
      </c>
      <c r="R1" s="1" t="s">
        <v>927</v>
      </c>
      <c r="S1" s="1" t="s">
        <v>934</v>
      </c>
      <c r="T1" s="1" t="s">
        <v>929</v>
      </c>
      <c r="U1" s="1" t="s">
        <v>956</v>
      </c>
      <c r="V1" s="1" t="s">
        <v>930</v>
      </c>
      <c r="W1" s="1" t="s">
        <v>935</v>
      </c>
      <c r="X1" s="1" t="s">
        <v>931</v>
      </c>
      <c r="Y1" s="1" t="s">
        <v>955</v>
      </c>
      <c r="Z1" s="1" t="s">
        <v>246</v>
      </c>
      <c r="AA1" s="1" t="s">
        <v>778</v>
      </c>
      <c r="AB1" s="1" t="s">
        <v>779</v>
      </c>
      <c r="AC1" s="1" t="s">
        <v>780</v>
      </c>
      <c r="AE1" s="1" t="s">
        <v>850</v>
      </c>
      <c r="AF1" s="1" t="s">
        <v>958</v>
      </c>
      <c r="AG1" s="1" t="s">
        <v>959</v>
      </c>
      <c r="AH1" s="1" t="s">
        <v>239</v>
      </c>
      <c r="AI1" s="1" t="s">
        <v>896</v>
      </c>
      <c r="AJ1" s="1" t="s">
        <v>236</v>
      </c>
      <c r="AK1" s="1" t="s">
        <v>951</v>
      </c>
      <c r="AL1" s="1" t="s">
        <v>781</v>
      </c>
      <c r="AM1" s="1" t="s">
        <v>802</v>
      </c>
      <c r="AN1" s="1" t="s">
        <v>246</v>
      </c>
      <c r="AP1" s="1" t="s">
        <v>850</v>
      </c>
      <c r="AQ1" s="1" t="s">
        <v>960</v>
      </c>
      <c r="AR1" s="1" t="s">
        <v>239</v>
      </c>
      <c r="AS1" s="1" t="s">
        <v>961</v>
      </c>
      <c r="AT1" s="1" t="s">
        <v>244</v>
      </c>
      <c r="AU1" s="1" t="s">
        <v>247</v>
      </c>
      <c r="AV1" s="1" t="s">
        <v>941</v>
      </c>
      <c r="AW1" s="1" t="s">
        <v>246</v>
      </c>
    </row>
    <row r="2" spans="1:49">
      <c r="A2" s="6" t="str">
        <f>'Table Seed Map'!$A$27&amp;"-"&amp;COUNTA($B$1:ResourceData[[#This Row],[Resource Name]])-1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IF($D1="id",IF(ISNUMBER(VLOOKUP('Table Seed Map'!$A$27,SeedMap[],9,0)),VLOOKUP('Table Seed Map'!$A$27,SeedMap[],9,0)+1,1),IFERROR($D1+1,"id"))</f>
        <v>id</v>
      </c>
      <c r="E2" s="15" t="str">
        <f>IFERROR(VLOOKUP(ResourceData[[#This Row],[Resource Name]],ResourceTable[[RName]:[RID]],2,0),"resource")</f>
        <v>resource</v>
      </c>
      <c r="F2" s="13" t="s">
        <v>26</v>
      </c>
      <c r="G2" s="13" t="s">
        <v>28</v>
      </c>
      <c r="H2" s="13" t="s">
        <v>54</v>
      </c>
      <c r="I2" s="83" t="s">
        <v>35</v>
      </c>
      <c r="J2" s="88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Map'!$A$28&amp;"-"&amp;COUNT($V$1:DataExtra[[#This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Map'!$A$28,SeedMap[],9,0)),VLOOKUP('Table Seed Map'!$A$28,SeedMap[],9,0),0)))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Map'!$A$29&amp;"-"&amp;COUNT($Z$1:DataExtra[[#This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Map'!$A$29,SeedMap[],9,0)),VLOOKUP('Table Seed Map'!$A$29,SeedMap[],9,0),0)))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Map'!$A$30&amp;"-"&amp;COUNTA($AH$1:DataViewSection[[#This Row],[No]])-2</f>
        <v>Data View Section-0</v>
      </c>
      <c r="AF2" s="2"/>
      <c r="AG2" s="9" t="str">
        <f>DataViewSection[[#This Row],[Data Name for Layout]]&amp;"/"&amp;COUNTA($AH$1:DataViewSection[[#This Row],[No]])-2</f>
        <v>/0</v>
      </c>
      <c r="AH2" s="16" t="str">
        <f>IF(DataViewSection[[#This Row],[Data Name for Layout]]="","id",IFERROR($AH1+1,IF(ISNUMBER(VLOOKUP('Table Seed Map'!$A$30,SeedMap[],9,0)),VLOOKUP('Table Seed Map'!$A$30,SeedMap[],9,0)+1,1)))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30</v>
      </c>
      <c r="AK2" s="16" t="s">
        <v>54</v>
      </c>
      <c r="AL2" s="16" t="s">
        <v>55</v>
      </c>
      <c r="AM2" s="14" t="s">
        <v>472</v>
      </c>
      <c r="AN2" s="14"/>
      <c r="AP2" s="16" t="str">
        <f>'Table Seed Map'!$A$31&amp;"-"&amp;COUNTA($AQ$2:DataViewSectionItem[[#This Row],[Data Section for Items]])</f>
        <v>Data View Section Items-0</v>
      </c>
      <c r="AQ2" s="2"/>
      <c r="AR2" s="16" t="str">
        <f>IF(DataViewSectionItem[[#This Row],[Data Section for Items]]="","id",IFERROR($AR1+1,IF(ISNUMBER(VLOOKUP('Table Seed Map'!$A$31,SeedMap[],9,0)),VLOOKUP('Table Seed Map'!$A$31,SeedMap[],9,0)+1,1)))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230</v>
      </c>
      <c r="AU2" s="14" t="s">
        <v>124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9" t="str">
        <f>'Table Seed Map'!$A$27&amp;"-"&amp;COUNTA($B$1:ResourceData[[#This Row],[Resource Name]])-1</f>
        <v>Resource Data-1</v>
      </c>
      <c r="B3" s="2" t="s">
        <v>174</v>
      </c>
      <c r="C3" s="9" t="str">
        <f>ResourceData[[#This Row],[Resource Name]]&amp;"/"&amp;ResourceData[[#This Row],[Name]]</f>
        <v>User/UserDetailsData</v>
      </c>
      <c r="D3" s="16">
        <f>IF($D2="id",IF(ISNUMBER(VLOOKUP('Table Seed Map'!$A$27,SeedMap[],9,0)),VLOOKUP('Table Seed Map'!$A$27,SeedMap[],9,0)+1,1),IFERROR($D2+1,"id"))</f>
        <v>1</v>
      </c>
      <c r="E3" s="16">
        <f>IFERROR(VLOOKUP(ResourceData[[#This Row],[Resource Name]],ResourceTable[[RName]:[RID]],2,0),"resource")</f>
        <v>1</v>
      </c>
      <c r="F3" s="14" t="s">
        <v>823</v>
      </c>
      <c r="G3" s="14" t="s">
        <v>824</v>
      </c>
      <c r="H3" s="14" t="s">
        <v>26</v>
      </c>
      <c r="I3" s="84"/>
      <c r="J3" s="89">
        <f>[No]</f>
        <v>1</v>
      </c>
      <c r="L3" s="2" t="s">
        <v>953</v>
      </c>
      <c r="M3" s="9">
        <f>VLOOKUP(DataExtra[[#This Row],[Data Name]],ResourceData[[DataDisplayName]:[No]],2,0)</f>
        <v>1</v>
      </c>
      <c r="N3" s="2"/>
      <c r="O3" s="2" t="s">
        <v>862</v>
      </c>
      <c r="P3" s="2"/>
      <c r="Q3" s="2"/>
      <c r="R3" s="2"/>
      <c r="S3" s="9" t="str">
        <f>'Table Seed Map'!$A$28&amp;"-"&amp;COUNT($V$1:DataExtra[[#This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Map'!$A$28,SeedMap[],9,0)),VLOOKUP('Table Seed Map'!$A$28,SeedMap[],9,0),0)))</f>
        <v/>
      </c>
      <c r="U3" s="16">
        <f>IF(DataExtra[[#This Row],[DID]]=0,"resource_data",DataExtra[[#This Row],[DID]])</f>
        <v>1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Map'!$A$29&amp;"-"&amp;COUNT($Z$1:DataExtra[[#This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Map'!$A$29,SeedMap[],9,0)),VLOOKUP('Table Seed Map'!$A$29,SeedMap[],9,0),0)))</f>
        <v>1</v>
      </c>
      <c r="Y3" s="16">
        <f>IF(DataExtra[[#This Row],[DID]]=0,"resource_data",DataExtra[[#This Row],[DID]])</f>
        <v>1</v>
      </c>
      <c r="Z3" s="16">
        <f>IFERROR(VLOOKUP(DataExtra[[#This Row],[Relation Name]],RelationTable[[Display]:[RELID]],2,0),IF(DataExtra[[#This Row],[DID]]=0,"relation",""))</f>
        <v>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</row>
  </sheetData>
  <dataValidations count="5">
    <dataValidation type="list" allowBlank="1" showInputMessage="1" showErrorMessage="1" sqref="AW2 O2:R3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:B3">
      <formula1>Resources</formula1>
    </dataValidation>
    <dataValidation type="list" allowBlank="1" showInputMessage="1" showErrorMessage="1" sqref="N2:N3">
      <formula1>Scopes</formula1>
    </dataValidation>
    <dataValidation type="list" allowBlank="1" showInputMessage="1" showErrorMessage="1" sqref="L2:L3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D1" workbookViewId="0">
      <selection activeCell="O3" sqref="O3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1" bestFit="1" customWidth="1"/>
    <col min="7" max="8" width="14" style="21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343</v>
      </c>
      <c r="C1" s="1" t="s">
        <v>1032</v>
      </c>
      <c r="D1" s="1" t="s">
        <v>1033</v>
      </c>
      <c r="E1" s="1" t="s">
        <v>1031</v>
      </c>
      <c r="F1" s="1" t="s">
        <v>1035</v>
      </c>
      <c r="G1" s="1" t="s">
        <v>1036</v>
      </c>
      <c r="H1" s="1" t="s">
        <v>1037</v>
      </c>
      <c r="J1" s="1" t="s">
        <v>239</v>
      </c>
      <c r="K1" s="1" t="s">
        <v>14</v>
      </c>
      <c r="L1" s="1" t="s">
        <v>1034</v>
      </c>
      <c r="M1" s="1" t="s">
        <v>850</v>
      </c>
      <c r="N1" s="1" t="s">
        <v>1</v>
      </c>
      <c r="O1" s="1" t="s">
        <v>836</v>
      </c>
      <c r="P1" s="1" t="s">
        <v>785</v>
      </c>
    </row>
    <row r="2" spans="1:16">
      <c r="A2" s="45" t="s">
        <v>313</v>
      </c>
      <c r="B2" s="45" t="s">
        <v>856</v>
      </c>
      <c r="C2" s="45" t="s">
        <v>850</v>
      </c>
      <c r="D2" s="90">
        <v>1</v>
      </c>
      <c r="E2" s="90">
        <f ca="1">COUNTA(INDIRECT(RecordCount[[#This Row],[Table Name]]&amp;"["&amp;RecordCount[[#This Row],[Count Field]]&amp;"]"))-RecordCount[[#This Row],[Count Reduce]]</f>
        <v>13</v>
      </c>
      <c r="F2" s="45" t="s">
        <v>339</v>
      </c>
      <c r="G2" s="90">
        <v>2</v>
      </c>
      <c r="H2" s="90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User/NewUserForm</v>
      </c>
      <c r="O2" s="6" t="str">
        <f ca="1">IF(IDNMaps[[#This Row],[Name]]="","","("&amp;IDNMaps[[#This Row],[Type]]&amp;") "&amp;IDNMaps[[#This Row],[Name]])</f>
        <v>(Forms) User/NewUserForm</v>
      </c>
      <c r="P2" s="6">
        <f ca="1">IFERROR(VLOOKUP(IDNMaps[[#This Row],[Primary]],INDIRECT(VLOOKUP(IDNMaps[[#This Row],[Type]],RecordCount[],2,0)),VLOOKUP(IDNMaps[[#This Row],[Type]],RecordCount[],8,0),0),"")</f>
        <v>1</v>
      </c>
    </row>
    <row r="3" spans="1:16">
      <c r="A3" s="45" t="s">
        <v>300</v>
      </c>
      <c r="B3" s="45" t="s">
        <v>407</v>
      </c>
      <c r="C3" s="45" t="s">
        <v>850</v>
      </c>
      <c r="D3" s="90">
        <v>1</v>
      </c>
      <c r="E3" s="90">
        <f ca="1">COUNTA(INDIRECT(RecordCount[[#This Row],[Table Name]]&amp;"["&amp;RecordCount[[#This Row],[Count Field]]&amp;"]"))-RecordCount[[#This Row],[Count Reduce]]</f>
        <v>22</v>
      </c>
      <c r="F3" s="45" t="s">
        <v>347</v>
      </c>
      <c r="G3" s="90">
        <v>6</v>
      </c>
      <c r="H3" s="90">
        <v>10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User/UpdateUserForm</v>
      </c>
      <c r="O3" s="6" t="str">
        <f ca="1">IF(IDNMaps[[#This Row],[Name]]="","","("&amp;IDNMaps[[#This Row],[Type]]&amp;") "&amp;IDNMaps[[#This Row],[Name]])</f>
        <v>(Forms) User/UpdateUserForm</v>
      </c>
      <c r="P3" s="6">
        <f ca="1">IFERROR(VLOOKUP(IDNMaps[[#This Row],[Primary]],INDIRECT(VLOOKUP(IDNMaps[[#This Row],[Type]],RecordCount[],2,0)),VLOOKUP(IDNMaps[[#This Row],[Type]],RecordCount[],8,0),0),"")</f>
        <v>2</v>
      </c>
    </row>
    <row r="4" spans="1:16">
      <c r="A4" s="46" t="s">
        <v>302</v>
      </c>
      <c r="B4" s="45" t="s">
        <v>430</v>
      </c>
      <c r="C4" s="45" t="s">
        <v>850</v>
      </c>
      <c r="D4" s="90">
        <v>1</v>
      </c>
      <c r="E4" s="91">
        <f ca="1">COUNTA(INDIRECT(RecordCount[[#This Row],[Table Name]]&amp;"["&amp;RecordCount[[#This Row],[Count Field]]&amp;"]"))-RecordCount[[#This Row],[Count Reduce]]</f>
        <v>1</v>
      </c>
      <c r="F4" s="45" t="s">
        <v>439</v>
      </c>
      <c r="G4" s="90">
        <v>6</v>
      </c>
      <c r="H4" s="90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User/ChangeUserPassword</v>
      </c>
      <c r="O4" s="6" t="str">
        <f ca="1">IF(IDNMaps[[#This Row],[Name]]="","","("&amp;IDNMaps[[#This Row],[Type]]&amp;") "&amp;IDNMaps[[#This Row],[Name]])</f>
        <v>(Forms) User/ChangeUserPassword</v>
      </c>
      <c r="P4" s="6">
        <f ca="1">IFERROR(VLOOKUP(IDNMaps[[#This Row],[Primary]],INDIRECT(VLOOKUP(IDNMaps[[#This Row],[Type]],RecordCount[],2,0)),VLOOKUP(IDNMaps[[#This Row],[Type]],RecordCount[],8,0),0),"")</f>
        <v>3</v>
      </c>
    </row>
    <row r="5" spans="1:16">
      <c r="A5" s="46" t="s">
        <v>246</v>
      </c>
      <c r="B5" s="46" t="s">
        <v>853</v>
      </c>
      <c r="C5" s="45" t="s">
        <v>850</v>
      </c>
      <c r="D5" s="90">
        <v>1</v>
      </c>
      <c r="E5" s="91">
        <f ca="1">COUNTA(INDIRECT(RecordCount[[#This Row],[Table Name]]&amp;"["&amp;RecordCount[[#This Row],[Count Field]]&amp;"]"))-RecordCount[[#This Row],[Count Reduce]]</f>
        <v>76</v>
      </c>
      <c r="F5" s="45" t="s">
        <v>348</v>
      </c>
      <c r="G5" s="90">
        <v>3</v>
      </c>
      <c r="H5" s="90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Resource/NewResourceForm</v>
      </c>
      <c r="O5" s="6" t="str">
        <f ca="1">IF(IDNMaps[[#This Row],[Name]]="","","("&amp;IDNMaps[[#This Row],[Type]]&amp;") "&amp;IDNMaps[[#This Row],[Name]])</f>
        <v>(Forms) Resource/NewResourceForm</v>
      </c>
      <c r="P5" s="6">
        <f ca="1">IFERROR(VLOOKUP(IDNMaps[[#This Row],[Primary]],INDIRECT(VLOOKUP(IDNMaps[[#This Row],[Type]],RecordCount[],2,0)),VLOOKUP(IDNMaps[[#This Row],[Type]],RecordCount[],8,0),0),"")</f>
        <v>4</v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ResourceAction/NewActionForm</v>
      </c>
      <c r="O6" s="6" t="str">
        <f ca="1">IF(IDNMaps[[#This Row],[Name]]="","","("&amp;IDNMaps[[#This Row],[Type]]&amp;") "&amp;IDNMaps[[#This Row],[Name]])</f>
        <v>(Forms) ResourceAction/NewActionForm</v>
      </c>
      <c r="P6" s="6">
        <f ca="1">IFERROR(VLOOKUP(IDNMaps[[#This Row],[Primary]],INDIRECT(VLOOKUP(IDNMaps[[#This Row],[Type]],RecordCount[],2,0)),VLOOKUP(IDNMaps[[#This Row],[Type]],RecordCount[],8,0),0),"")</f>
        <v>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ResourceAction/AddActionForm</v>
      </c>
      <c r="O7" s="6" t="str">
        <f ca="1">IF(IDNMaps[[#This Row],[Name]]="","","("&amp;IDNMaps[[#This Row],[Type]]&amp;") "&amp;IDNMaps[[#This Row],[Name]])</f>
        <v>(Forms) ResourceAction/AddActionForm</v>
      </c>
      <c r="P7" s="6">
        <f ca="1">IFERROR(VLOOKUP(IDNMaps[[#This Row],[Primary]],INDIRECT(VLOOKUP(IDNMaps[[#This Row],[Type]],RecordCount[],2,0)),VLOOKUP(IDNMaps[[#This Row],[Type]],RecordCount[],8,0),0),"")</f>
        <v>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ResourceForm/NewFormForm</v>
      </c>
      <c r="O8" s="6" t="str">
        <f ca="1">IF(IDNMaps[[#This Row],[Name]]="","","("&amp;IDNMaps[[#This Row],[Type]]&amp;") "&amp;IDNMaps[[#This Row],[Name]])</f>
        <v>(Forms) ResourceForm/NewFormForm</v>
      </c>
      <c r="P8" s="6">
        <f ca="1">IFERROR(VLOOKUP(IDNMaps[[#This Row],[Primary]],INDIRECT(VLOOKUP(IDNMaps[[#This Row],[Type]],RecordCount[],2,0)),VLOOKUP(IDNMaps[[#This Row],[Type]],RecordCount[],8,0),0),"")</f>
        <v>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ResourceForm/AddResourceForm</v>
      </c>
      <c r="O9" s="6" t="str">
        <f ca="1">IF(IDNMaps[[#This Row],[Name]]="","","("&amp;IDNMaps[[#This Row],[Type]]&amp;") "&amp;IDNMaps[[#This Row],[Name]])</f>
        <v>(Forms) ResourceForm/AddResourceForm</v>
      </c>
      <c r="P9" s="6">
        <f ca="1">IFERROR(VLOOKUP(IDNMaps[[#This Row],[Primary]],INDIRECT(VLOOKUP(IDNMaps[[#This Row],[Type]],RecordCount[],2,0)),VLOOKUP(IDNMaps[[#This Row],[Type]],RecordCount[],8,0),0),"")</f>
        <v>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ResourceFormField/CreateFormField</v>
      </c>
      <c r="O10" s="6" t="str">
        <f ca="1">IF(IDNMaps[[#This Row],[Name]]="","","("&amp;IDNMaps[[#This Row],[Type]]&amp;") "&amp;IDNMaps[[#This Row],[Name]])</f>
        <v>(Forms) ResourceFormField/CreateFormField</v>
      </c>
      <c r="P10" s="6">
        <f ca="1">IFERROR(VLOOKUP(IDNMaps[[#This Row],[Primary]],INDIRECT(VLOOKUP(IDNMaps[[#This Row],[Type]],RecordCount[],2,0)),VLOOKUP(IDNMaps[[#This Row],[Type]],RecordCount[],8,0),0),"")</f>
        <v>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ResourceList/CreateListForm</v>
      </c>
      <c r="O11" s="6" t="str">
        <f ca="1">IF(IDNMaps[[#This Row],[Name]]="","","("&amp;IDNMaps[[#This Row],[Type]]&amp;") "&amp;IDNMaps[[#This Row],[Name]])</f>
        <v>(Forms) ResourceList/CreateListForm</v>
      </c>
      <c r="P11" s="6">
        <f ca="1">IFERROR(VLOOKUP(IDNMaps[[#This Row],[Primary]],INDIRECT(VLOOKUP(IDNMaps[[#This Row],[Type]],RecordCount[],2,0)),VLOOKUP(IDNMaps[[#This Row],[Type]],RecordCount[],8,0),0),"")</f>
        <v>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ResourceList/AddResourceList</v>
      </c>
      <c r="O12" s="6" t="str">
        <f ca="1">IF(IDNMaps[[#This Row],[Name]]="","","("&amp;IDNMaps[[#This Row],[Type]]&amp;") "&amp;IDNMaps[[#This Row],[Name]])</f>
        <v>(Forms) ResourceList/AddResourceList</v>
      </c>
      <c r="P12" s="6">
        <f ca="1">IFERROR(VLOOKUP(IDNMaps[[#This Row],[Primary]],INDIRECT(VLOOKUP(IDNMaps[[#This Row],[Type]],RecordCount[],2,0)),VLOOKUP(IDNMaps[[#This Row],[Type]],RecordCount[],8,0),0),"")</f>
        <v>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ResourceData/CreateDataForm</v>
      </c>
      <c r="O13" s="6" t="str">
        <f ca="1">IF(IDNMaps[[#This Row],[Name]]="","","("&amp;IDNMaps[[#This Row],[Type]]&amp;") "&amp;IDNMaps[[#This Row],[Name]])</f>
        <v>(Forms) ResourceData/CreateDataForm</v>
      </c>
      <c r="P13" s="6">
        <f ca="1">IFERROR(VLOOKUP(IDNMaps[[#This Row],[Primary]],INDIRECT(VLOOKUP(IDNMaps[[#This Row],[Type]],RecordCount[],2,0)),VLOOKUP(IDNMaps[[#This Row],[Type]],RecordCount[],8,0),0),"")</f>
        <v>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ResourceData/AddDataForm</v>
      </c>
      <c r="O14" s="6" t="str">
        <f ca="1">IF(IDNMaps[[#This Row],[Name]]="","","("&amp;IDNMaps[[#This Row],[Type]]&amp;") "&amp;IDNMaps[[#This Row],[Name]])</f>
        <v>(Forms) ResourceData/AddDataForm</v>
      </c>
      <c r="P14" s="6">
        <f ca="1">IFERROR(VLOOKUP(IDNMaps[[#This Row],[Primary]],INDIRECT(VLOOKUP(IDNMaps[[#This Row],[Type]],RecordCount[],2,0)),VLOOKUP(IDNMaps[[#This Row],[Type]],RecordCount[],8,0),0),"")</f>
        <v>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5" s="6">
        <f ca="1">IF(IDNMaps[[#This Row],[Type]]="","",COUNTIF($K$1:IDNMaps[[#This Row],[Type]],IDNMaps[[#This Row],[Type]]))</f>
        <v>1</v>
      </c>
      <c r="M15" s="6" t="str">
        <f ca="1">IFERROR(VLOOKUP(IDNMaps[[#This Row],[Type]],RecordCount[],6,0)&amp;"-"&amp;IDNMaps[[#This Row],[Type Count]],"")</f>
        <v>Resource Lists-1</v>
      </c>
      <c r="N15" s="6" t="str">
        <f ca="1">IFERROR(VLOOKUP(IDNMaps[[#This Row],[Primary]],INDIRECT(VLOOKUP(IDNMaps[[#This Row],[Type]],RecordCount[],2,0)),VLOOKUP(IDNMaps[[#This Row],[Type]],RecordCount[],7,0),0),"")</f>
        <v>UsersList</v>
      </c>
      <c r="O15" s="6" t="str">
        <f ca="1">IF(IDNMaps[[#This Row],[Name]]="","","("&amp;IDNMaps[[#This Row],[Type]]&amp;") "&amp;IDNMaps[[#This Row],[Name]])</f>
        <v>(Lists) UsersList</v>
      </c>
      <c r="P15" s="6">
        <f ca="1">IFERROR(VLOOKUP(IDNMaps[[#This Row],[Primary]],INDIRECT(VLOOKUP(IDNMaps[[#This Row],[Type]],RecordCount[],2,0)),VLOOKUP(IDNMaps[[#This Row],[Type]],RecordCount[],8,0),0),"")</f>
        <v>1</v>
      </c>
    </row>
    <row r="16" spans="1:16">
      <c r="J16" s="104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6" s="6">
        <f ca="1">IF(IDNMaps[[#This Row],[Type]]="","",COUNTIF($K$1:IDNMaps[[#This Row],[Type]],IDNMaps[[#This Row],[Type]]))</f>
        <v>2</v>
      </c>
      <c r="M16" s="6" t="str">
        <f ca="1">IFERROR(VLOOKUP(IDNMaps[[#This Row],[Type]],RecordCount[],6,0)&amp;"-"&amp;IDNMaps[[#This Row],[Type Count]],"")</f>
        <v>Resource Lists-2</v>
      </c>
      <c r="N16" s="6" t="str">
        <f ca="1">IFERROR(VLOOKUP(IDNMaps[[#This Row],[Primary]],INDIRECT(VLOOKUP(IDNMaps[[#This Row],[Type]],RecordCount[],2,0)),VLOOKUP(IDNMaps[[#This Row],[Type]],RecordCount[],7,0),0),"")</f>
        <v>ResourcesList</v>
      </c>
      <c r="O16" s="6" t="str">
        <f ca="1">IF(IDNMaps[[#This Row],[Name]]="","","("&amp;IDNMaps[[#This Row],[Type]]&amp;") "&amp;IDNMaps[[#This Row],[Name]])</f>
        <v>(Lists) ResourcesList</v>
      </c>
      <c r="P16" s="6">
        <f ca="1">IFERROR(VLOOKUP(IDNMaps[[#This Row],[Primary]],INDIRECT(VLOOKUP(IDNMaps[[#This Row],[Type]],RecordCount[],2,0)),VLOOKUP(IDNMaps[[#This Row],[Type]],RecordCount[],8,0),0),"")</f>
        <v>2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7" s="6">
        <f ca="1">IF(IDNMaps[[#This Row],[Type]]="","",COUNTIF($K$1:IDNMaps[[#This Row],[Type]],IDNMaps[[#This Row],[Type]]))</f>
        <v>3</v>
      </c>
      <c r="M17" s="6" t="str">
        <f ca="1">IFERROR(VLOOKUP(IDNMaps[[#This Row],[Type]],RecordCount[],6,0)&amp;"-"&amp;IDNMaps[[#This Row],[Type Count]],"")</f>
        <v>Resource Lists-3</v>
      </c>
      <c r="N17" s="6" t="str">
        <f ca="1">IFERROR(VLOOKUP(IDNMaps[[#This Row],[Primary]],INDIRECT(VLOOKUP(IDNMaps[[#This Row],[Type]],RecordCount[],2,0)),VLOOKUP(IDNMaps[[#This Row],[Type]],RecordCount[],7,0),0),"")</f>
        <v>ActionsList</v>
      </c>
      <c r="O17" s="6" t="str">
        <f ca="1">IF(IDNMaps[[#This Row],[Name]]="","","("&amp;IDNMaps[[#This Row],[Type]]&amp;") "&amp;IDNMaps[[#This Row],[Name]])</f>
        <v>(Lists) ActionsList</v>
      </c>
      <c r="P17" s="6">
        <f ca="1">IFERROR(VLOOKUP(IDNMaps[[#This Row],[Primary]],INDIRECT(VLOOKUP(IDNMaps[[#This Row],[Type]],RecordCount[],2,0)),VLOOKUP(IDNMaps[[#This Row],[Type]],RecordCount[],8,0),0),"")</f>
        <v>3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8" s="6">
        <f ca="1">IF(IDNMaps[[#This Row],[Type]]="","",COUNTIF($K$1:IDNMaps[[#This Row],[Type]],IDNMaps[[#This Row],[Type]]))</f>
        <v>4</v>
      </c>
      <c r="M18" s="6" t="str">
        <f ca="1">IFERROR(VLOOKUP(IDNMaps[[#This Row],[Type]],RecordCount[],6,0)&amp;"-"&amp;IDNMaps[[#This Row],[Type Count]],"")</f>
        <v>Resource Lists-4</v>
      </c>
      <c r="N18" s="6" t="str">
        <f ca="1">IFERROR(VLOOKUP(IDNMaps[[#This Row],[Primary]],INDIRECT(VLOOKUP(IDNMaps[[#This Row],[Type]],RecordCount[],2,0)),VLOOKUP(IDNMaps[[#This Row],[Type]],RecordCount[],7,0),0),"")</f>
        <v>FormsList</v>
      </c>
      <c r="O18" s="6" t="str">
        <f ca="1">IF(IDNMaps[[#This Row],[Name]]="","","("&amp;IDNMaps[[#This Row],[Type]]&amp;") "&amp;IDNMaps[[#This Row],[Name]])</f>
        <v>(Lists) FormsList</v>
      </c>
      <c r="P18" s="6">
        <f ca="1">IFERROR(VLOOKUP(IDNMaps[[#This Row],[Primary]],INDIRECT(VLOOKUP(IDNMaps[[#This Row],[Type]],RecordCount[],2,0)),VLOOKUP(IDNMaps[[#This Row],[Type]],RecordCount[],8,0),0),"")</f>
        <v>4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9" s="6">
        <f ca="1">IF(IDNMaps[[#This Row],[Type]]="","",COUNTIF($K$1:IDNMaps[[#This Row],[Type]],IDNMaps[[#This Row],[Type]]))</f>
        <v>5</v>
      </c>
      <c r="M19" s="6" t="str">
        <f ca="1">IFERROR(VLOOKUP(IDNMaps[[#This Row],[Type]],RecordCount[],6,0)&amp;"-"&amp;IDNMaps[[#This Row],[Type Count]],"")</f>
        <v>Resource Lists-5</v>
      </c>
      <c r="N19" s="6" t="str">
        <f ca="1">IFERROR(VLOOKUP(IDNMaps[[#This Row],[Primary]],INDIRECT(VLOOKUP(IDNMaps[[#This Row],[Type]],RecordCount[],2,0)),VLOOKUP(IDNMaps[[#This Row],[Type]],RecordCount[],7,0),0),"")</f>
        <v>ListsList</v>
      </c>
      <c r="O19" s="6" t="str">
        <f ca="1">IF(IDNMaps[[#This Row],[Name]]="","","("&amp;IDNMaps[[#This Row],[Type]]&amp;") "&amp;IDNMaps[[#This Row],[Name]])</f>
        <v>(Lists) ListsList</v>
      </c>
      <c r="P19" s="6">
        <f ca="1">IFERROR(VLOOKUP(IDNMaps[[#This Row],[Primary]],INDIRECT(VLOOKUP(IDNMaps[[#This Row],[Type]],RecordCount[],2,0)),VLOOKUP(IDNMaps[[#This Row],[Type]],RecordCount[],8,0),0),"")</f>
        <v>5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0" s="6">
        <f ca="1">IF(IDNMaps[[#This Row],[Type]]="","",COUNTIF($K$1:IDNMaps[[#This Row],[Type]],IDNMaps[[#This Row],[Type]]))</f>
        <v>6</v>
      </c>
      <c r="M20" s="6" t="str">
        <f ca="1">IFERROR(VLOOKUP(IDNMaps[[#This Row],[Type]],RecordCount[],6,0)&amp;"-"&amp;IDNMaps[[#This Row],[Type Count]],"")</f>
        <v>Resource Lists-6</v>
      </c>
      <c r="N20" s="6" t="str">
        <f ca="1">IFERROR(VLOOKUP(IDNMaps[[#This Row],[Primary]],INDIRECT(VLOOKUP(IDNMaps[[#This Row],[Type]],RecordCount[],2,0)),VLOOKUP(IDNMaps[[#This Row],[Type]],RecordCount[],7,0),0),"")</f>
        <v>DataList</v>
      </c>
      <c r="O20" s="6" t="str">
        <f ca="1">IF(IDNMaps[[#This Row],[Name]]="","","("&amp;IDNMaps[[#This Row],[Type]]&amp;") "&amp;IDNMaps[[#This Row],[Name]])</f>
        <v>(Lists) DataList</v>
      </c>
      <c r="P20" s="6">
        <f ca="1">IFERROR(VLOOKUP(IDNMaps[[#This Row],[Primary]],INDIRECT(VLOOKUP(IDNMaps[[#This Row],[Type]],RecordCount[],2,0)),VLOOKUP(IDNMaps[[#This Row],[Type]],RecordCount[],8,0),0),"")</f>
        <v>6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1" s="6">
        <f ca="1">IF(IDNMaps[[#This Row],[Type]]="","",COUNTIF($K$1:IDNMaps[[#This Row],[Type]],IDNMaps[[#This Row],[Type]]))</f>
        <v>7</v>
      </c>
      <c r="M21" s="6" t="str">
        <f ca="1">IFERROR(VLOOKUP(IDNMaps[[#This Row],[Type]],RecordCount[],6,0)&amp;"-"&amp;IDNMaps[[#This Row],[Type Count]],"")</f>
        <v>Resource Lists-7</v>
      </c>
      <c r="N21" s="6" t="str">
        <f ca="1">IFERROR(VLOOKUP(IDNMaps[[#This Row],[Primary]],INDIRECT(VLOOKUP(IDNMaps[[#This Row],[Type]],RecordCount[],2,0)),VLOOKUP(IDNMaps[[#This Row],[Type]],RecordCount[],7,0),0),"")</f>
        <v>FieldsList</v>
      </c>
      <c r="O21" s="6" t="str">
        <f ca="1">IF(IDNMaps[[#This Row],[Name]]="","","("&amp;IDNMaps[[#This Row],[Type]]&amp;") "&amp;IDNMaps[[#This Row],[Name]])</f>
        <v>(Lists) FieldsList</v>
      </c>
      <c r="P21" s="6">
        <f ca="1">IFERROR(VLOOKUP(IDNMaps[[#This Row],[Primary]],INDIRECT(VLOOKUP(IDNMaps[[#This Row],[Type]],RecordCount[],2,0)),VLOOKUP(IDNMaps[[#This Row],[Type]],RecordCount[],8,0),0),"")</f>
        <v>7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2" s="6">
        <f ca="1">IF(IDNMaps[[#This Row],[Type]]="","",COUNTIF($K$1:IDNMaps[[#This Row],[Type]],IDNMaps[[#This Row],[Type]]))</f>
        <v>8</v>
      </c>
      <c r="M22" s="6" t="str">
        <f ca="1">IFERROR(VLOOKUP(IDNMaps[[#This Row],[Type]],RecordCount[],6,0)&amp;"-"&amp;IDNMaps[[#This Row],[Type Count]],"")</f>
        <v>Resource Lists-8</v>
      </c>
      <c r="N22" s="6" t="str">
        <f ca="1">IFERROR(VLOOKUP(IDNMaps[[#This Row],[Primary]],INDIRECT(VLOOKUP(IDNMaps[[#This Row],[Type]],RecordCount[],2,0)),VLOOKUP(IDNMaps[[#This Row],[Type]],RecordCount[],7,0),0),"")</f>
        <v>FormLayout</v>
      </c>
      <c r="O22" s="6" t="str">
        <f ca="1">IF(IDNMaps[[#This Row],[Name]]="","","("&amp;IDNMaps[[#This Row],[Type]]&amp;") "&amp;IDNMaps[[#This Row],[Name]])</f>
        <v>(Lists) FormLayout</v>
      </c>
      <c r="P22" s="6">
        <f ca="1">IFERROR(VLOOKUP(IDNMaps[[#This Row],[Primary]],INDIRECT(VLOOKUP(IDNMaps[[#This Row],[Type]],RecordCount[],2,0)),VLOOKUP(IDNMaps[[#This Row],[Type]],RecordCount[],8,0),0),"")</f>
        <v>8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3" s="6">
        <f ca="1">IF(IDNMaps[[#This Row],[Type]]="","",COUNTIF($K$1:IDNMaps[[#This Row],[Type]],IDNMaps[[#This Row],[Type]]))</f>
        <v>9</v>
      </c>
      <c r="M23" s="6" t="str">
        <f ca="1">IFERROR(VLOOKUP(IDNMaps[[#This Row],[Type]],RecordCount[],6,0)&amp;"-"&amp;IDNMaps[[#This Row],[Type Count]],"")</f>
        <v>Resource Lists-9</v>
      </c>
      <c r="N23" s="6" t="str">
        <f ca="1">IFERROR(VLOOKUP(IDNMaps[[#This Row],[Primary]],INDIRECT(VLOOKUP(IDNMaps[[#This Row],[Type]],RecordCount[],2,0)),VLOOKUP(IDNMaps[[#This Row],[Type]],RecordCount[],7,0),0),"")</f>
        <v>FormCollections</v>
      </c>
      <c r="O23" s="6" t="str">
        <f ca="1">IF(IDNMaps[[#This Row],[Name]]="","","("&amp;IDNMaps[[#This Row],[Type]]&amp;") "&amp;IDNMaps[[#This Row],[Name]])</f>
        <v>(Lists) FormCollections</v>
      </c>
      <c r="P23" s="6">
        <f ca="1">IFERROR(VLOOKUP(IDNMaps[[#This Row],[Primary]],INDIRECT(VLOOKUP(IDNMaps[[#This Row],[Type]],RecordCount[],2,0)),VLOOKUP(IDNMaps[[#This Row],[Type]],RecordCount[],8,0),0),"")</f>
        <v>9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4" s="6">
        <f ca="1">IF(IDNMaps[[#This Row],[Type]]="","",COUNTIF($K$1:IDNMaps[[#This Row],[Type]],IDNMaps[[#This Row],[Type]]))</f>
        <v>10</v>
      </c>
      <c r="M24" s="6" t="str">
        <f ca="1">IFERROR(VLOOKUP(IDNMaps[[#This Row],[Type]],RecordCount[],6,0)&amp;"-"&amp;IDNMaps[[#This Row],[Type Count]],"")</f>
        <v>Resource Lists-10</v>
      </c>
      <c r="N24" s="6" t="str">
        <f ca="1">IFERROR(VLOOKUP(IDNMaps[[#This Row],[Primary]],INDIRECT(VLOOKUP(IDNMaps[[#This Row],[Type]],RecordCount[],2,0)),VLOOKUP(IDNMaps[[#This Row],[Type]],RecordCount[],7,0),0),"")</f>
        <v>ListRelations</v>
      </c>
      <c r="O24" s="6" t="str">
        <f ca="1">IF(IDNMaps[[#This Row],[Name]]="","","("&amp;IDNMaps[[#This Row],[Type]]&amp;") "&amp;IDNMaps[[#This Row],[Name]])</f>
        <v>(Lists) ListRelations</v>
      </c>
      <c r="P24" s="6">
        <f ca="1">IFERROR(VLOOKUP(IDNMaps[[#This Row],[Primary]],INDIRECT(VLOOKUP(IDNMaps[[#This Row],[Type]],RecordCount[],2,0)),VLOOKUP(IDNMaps[[#This Row],[Type]],RecordCount[],8,0),0),"")</f>
        <v>10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5" s="6">
        <f ca="1">IF(IDNMaps[[#This Row],[Type]]="","",COUNTIF($K$1:IDNMaps[[#This Row],[Type]],IDNMaps[[#This Row],[Type]]))</f>
        <v>11</v>
      </c>
      <c r="M25" s="6" t="str">
        <f ca="1">IFERROR(VLOOKUP(IDNMaps[[#This Row],[Type]],RecordCount[],6,0)&amp;"-"&amp;IDNMaps[[#This Row],[Type Count]],"")</f>
        <v>Resource Lists-11</v>
      </c>
      <c r="N25" s="6" t="str">
        <f ca="1">IFERROR(VLOOKUP(IDNMaps[[#This Row],[Primary]],INDIRECT(VLOOKUP(IDNMaps[[#This Row],[Type]],RecordCount[],2,0)),VLOOKUP(IDNMaps[[#This Row],[Type]],RecordCount[],7,0),0),"")</f>
        <v>ListScopes</v>
      </c>
      <c r="O25" s="6" t="str">
        <f ca="1">IF(IDNMaps[[#This Row],[Name]]="","","("&amp;IDNMaps[[#This Row],[Type]]&amp;") "&amp;IDNMaps[[#This Row],[Name]])</f>
        <v>(Lists) ListScopes</v>
      </c>
      <c r="P25" s="6">
        <f ca="1">IFERROR(VLOOKUP(IDNMaps[[#This Row],[Primary]],INDIRECT(VLOOKUP(IDNMaps[[#This Row],[Type]],RecordCount[],2,0)),VLOOKUP(IDNMaps[[#This Row],[Type]],RecordCount[],8,0),0),"")</f>
        <v>11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6" s="6">
        <f ca="1">IF(IDNMaps[[#This Row],[Type]]="","",COUNTIF($K$1:IDNMaps[[#This Row],[Type]],IDNMaps[[#This Row],[Type]]))</f>
        <v>12</v>
      </c>
      <c r="M26" s="6" t="str">
        <f ca="1">IFERROR(VLOOKUP(IDNMaps[[#This Row],[Type]],RecordCount[],6,0)&amp;"-"&amp;IDNMaps[[#This Row],[Type Count]],"")</f>
        <v>Resource Lists-12</v>
      </c>
      <c r="N26" s="6" t="str">
        <f ca="1">IFERROR(VLOOKUP(IDNMaps[[#This Row],[Primary]],INDIRECT(VLOOKUP(IDNMaps[[#This Row],[Type]],RecordCount[],2,0)),VLOOKUP(IDNMaps[[#This Row],[Type]],RecordCount[],7,0),0),"")</f>
        <v>ListLayout</v>
      </c>
      <c r="O26" s="6" t="str">
        <f ca="1">IF(IDNMaps[[#This Row],[Name]]="","","("&amp;IDNMaps[[#This Row],[Type]]&amp;") "&amp;IDNMaps[[#This Row],[Name]])</f>
        <v>(Lists) ListLayout</v>
      </c>
      <c r="P26" s="6">
        <f ca="1">IFERROR(VLOOKUP(IDNMaps[[#This Row],[Primary]],INDIRECT(VLOOKUP(IDNMaps[[#This Row],[Type]],RecordCount[],2,0)),VLOOKUP(IDNMaps[[#This Row],[Type]],RecordCount[],8,0),0),"")</f>
        <v>12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7" s="6">
        <f ca="1">IF(IDNMaps[[#This Row],[Type]]="","",COUNTIF($K$1:IDNMaps[[#This Row],[Type]],IDNMaps[[#This Row],[Type]]))</f>
        <v>13</v>
      </c>
      <c r="M27" s="6" t="str">
        <f ca="1">IFERROR(VLOOKUP(IDNMaps[[#This Row],[Type]],RecordCount[],6,0)&amp;"-"&amp;IDNMaps[[#This Row],[Type Count]],"")</f>
        <v>Resource Lists-13</v>
      </c>
      <c r="N27" s="6" t="str">
        <f ca="1">IFERROR(VLOOKUP(IDNMaps[[#This Row],[Primary]],INDIRECT(VLOOKUP(IDNMaps[[#This Row],[Type]],RecordCount[],2,0)),VLOOKUP(IDNMaps[[#This Row],[Type]],RecordCount[],7,0),0),"")</f>
        <v>ListSearchFields</v>
      </c>
      <c r="O27" s="6" t="str">
        <f ca="1">IF(IDNMaps[[#This Row],[Name]]="","","("&amp;IDNMaps[[#This Row],[Type]]&amp;") "&amp;IDNMaps[[#This Row],[Name]])</f>
        <v>(Lists) ListSearchFields</v>
      </c>
      <c r="P27" s="6">
        <f ca="1">IFERROR(VLOOKUP(IDNMaps[[#This Row],[Primary]],INDIRECT(VLOOKUP(IDNMaps[[#This Row],[Type]],RecordCount[],2,0)),VLOOKUP(IDNMaps[[#This Row],[Type]],RecordCount[],8,0),0),"")</f>
        <v>13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8" s="6">
        <f ca="1">IF(IDNMaps[[#This Row],[Type]]="","",COUNTIF($K$1:IDNMaps[[#This Row],[Type]],IDNMaps[[#This Row],[Type]]))</f>
        <v>14</v>
      </c>
      <c r="M28" s="6" t="str">
        <f ca="1">IFERROR(VLOOKUP(IDNMaps[[#This Row],[Type]],RecordCount[],6,0)&amp;"-"&amp;IDNMaps[[#This Row],[Type Count]],"")</f>
        <v>Resource Lists-14</v>
      </c>
      <c r="N28" s="6" t="str">
        <f ca="1">IFERROR(VLOOKUP(IDNMaps[[#This Row],[Primary]],INDIRECT(VLOOKUP(IDNMaps[[#This Row],[Type]],RecordCount[],2,0)),VLOOKUP(IDNMaps[[#This Row],[Type]],RecordCount[],7,0),0),"")</f>
        <v>DataRelations</v>
      </c>
      <c r="O28" s="6" t="str">
        <f ca="1">IF(IDNMaps[[#This Row],[Name]]="","","("&amp;IDNMaps[[#This Row],[Type]]&amp;") "&amp;IDNMaps[[#This Row],[Name]])</f>
        <v>(Lists) DataRelations</v>
      </c>
      <c r="P28" s="6">
        <f ca="1">IFERROR(VLOOKUP(IDNMaps[[#This Row],[Primary]],INDIRECT(VLOOKUP(IDNMaps[[#This Row],[Type]],RecordCount[],2,0)),VLOOKUP(IDNMaps[[#This Row],[Type]],RecordCount[],8,0),0),"")</f>
        <v>14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9" s="6">
        <f ca="1">IF(IDNMaps[[#This Row],[Type]]="","",COUNTIF($K$1:IDNMaps[[#This Row],[Type]],IDNMaps[[#This Row],[Type]]))</f>
        <v>15</v>
      </c>
      <c r="M29" s="6" t="str">
        <f ca="1">IFERROR(VLOOKUP(IDNMaps[[#This Row],[Type]],RecordCount[],6,0)&amp;"-"&amp;IDNMaps[[#This Row],[Type Count]],"")</f>
        <v>Resource Lists-15</v>
      </c>
      <c r="N29" s="6" t="str">
        <f ca="1">IFERROR(VLOOKUP(IDNMaps[[#This Row],[Primary]],INDIRECT(VLOOKUP(IDNMaps[[#This Row],[Type]],RecordCount[],2,0)),VLOOKUP(IDNMaps[[#This Row],[Type]],RecordCount[],7,0),0),"")</f>
        <v>DataScopes</v>
      </c>
      <c r="O29" s="6" t="str">
        <f ca="1">IF(IDNMaps[[#This Row],[Name]]="","","("&amp;IDNMaps[[#This Row],[Type]]&amp;") "&amp;IDNMaps[[#This Row],[Name]])</f>
        <v>(Lists) DataScopes</v>
      </c>
      <c r="P29" s="6">
        <f ca="1">IFERROR(VLOOKUP(IDNMaps[[#This Row],[Primary]],INDIRECT(VLOOKUP(IDNMaps[[#This Row],[Type]],RecordCount[],2,0)),VLOOKUP(IDNMaps[[#This Row],[Type]],RecordCount[],8,0),0),"")</f>
        <v>15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0" s="6">
        <f ca="1">IF(IDNMaps[[#This Row],[Type]]="","",COUNTIF($K$1:IDNMaps[[#This Row],[Type]],IDNMaps[[#This Row],[Type]]))</f>
        <v>16</v>
      </c>
      <c r="M30" s="6" t="str">
        <f ca="1">IFERROR(VLOOKUP(IDNMaps[[#This Row],[Type]],RecordCount[],6,0)&amp;"-"&amp;IDNMaps[[#This Row],[Type Count]],"")</f>
        <v>Resource Lists-16</v>
      </c>
      <c r="N30" s="6" t="str">
        <f ca="1">IFERROR(VLOOKUP(IDNMaps[[#This Row],[Primary]],INDIRECT(VLOOKUP(IDNMaps[[#This Row],[Type]],RecordCount[],2,0)),VLOOKUP(IDNMaps[[#This Row],[Type]],RecordCount[],7,0),0),"")</f>
        <v>DataSections</v>
      </c>
      <c r="O30" s="6" t="str">
        <f ca="1">IF(IDNMaps[[#This Row],[Name]]="","","("&amp;IDNMaps[[#This Row],[Type]]&amp;") "&amp;IDNMaps[[#This Row],[Name]])</f>
        <v>(Lists) DataSections</v>
      </c>
      <c r="P30" s="6">
        <f ca="1">IFERROR(VLOOKUP(IDNMaps[[#This Row],[Primary]],INDIRECT(VLOOKUP(IDNMaps[[#This Row],[Type]],RecordCount[],2,0)),VLOOKUP(IDNMaps[[#This Row],[Type]],RecordCount[],8,0),0),"")</f>
        <v>16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1" s="6">
        <f ca="1">IF(IDNMaps[[#This Row],[Type]]="","",COUNTIF($K$1:IDNMaps[[#This Row],[Type]],IDNMaps[[#This Row],[Type]]))</f>
        <v>17</v>
      </c>
      <c r="M31" s="6" t="str">
        <f ca="1">IFERROR(VLOOKUP(IDNMaps[[#This Row],[Type]],RecordCount[],6,0)&amp;"-"&amp;IDNMaps[[#This Row],[Type Count]],"")</f>
        <v>Resource Lists-17</v>
      </c>
      <c r="N31" s="6" t="str">
        <f ca="1">IFERROR(VLOOKUP(IDNMaps[[#This Row],[Primary]],INDIRECT(VLOOKUP(IDNMaps[[#This Row],[Type]],RecordCount[],2,0)),VLOOKUP(IDNMaps[[#This Row],[Type]],RecordCount[],7,0),0),"")</f>
        <v>ActionAttrs</v>
      </c>
      <c r="O31" s="6" t="str">
        <f ca="1">IF(IDNMaps[[#This Row],[Name]]="","","("&amp;IDNMaps[[#This Row],[Type]]&amp;") "&amp;IDNMaps[[#This Row],[Name]])</f>
        <v>(Lists) ActionAttrs</v>
      </c>
      <c r="P31" s="6">
        <f ca="1">IFERROR(VLOOKUP(IDNMaps[[#This Row],[Primary]],INDIRECT(VLOOKUP(IDNMaps[[#This Row],[Type]],RecordCount[],2,0)),VLOOKUP(IDNMaps[[#This Row],[Type]],RecordCount[],8,0),0),"")</f>
        <v>17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2" s="6">
        <f ca="1">IF(IDNMaps[[#This Row],[Type]]="","",COUNTIF($K$1:IDNMaps[[#This Row],[Type]],IDNMaps[[#This Row],[Type]]))</f>
        <v>18</v>
      </c>
      <c r="M32" s="6" t="str">
        <f ca="1">IFERROR(VLOOKUP(IDNMaps[[#This Row],[Type]],RecordCount[],6,0)&amp;"-"&amp;IDNMaps[[#This Row],[Type Count]],"")</f>
        <v>Resource Lists-18</v>
      </c>
      <c r="N32" s="6" t="str">
        <f ca="1">IFERROR(VLOOKUP(IDNMaps[[#This Row],[Primary]],INDIRECT(VLOOKUP(IDNMaps[[#This Row],[Type]],RecordCount[],2,0)),VLOOKUP(IDNMaps[[#This Row],[Type]],RecordCount[],7,0),0),"")</f>
        <v>FieldAttrsList</v>
      </c>
      <c r="O32" s="6" t="str">
        <f ca="1">IF(IDNMaps[[#This Row],[Name]]="","","("&amp;IDNMaps[[#This Row],[Type]]&amp;") "&amp;IDNMaps[[#This Row],[Name]])</f>
        <v>(Lists) FieldAttrsList</v>
      </c>
      <c r="P32" s="6">
        <f ca="1">IFERROR(VLOOKUP(IDNMaps[[#This Row],[Primary]],INDIRECT(VLOOKUP(IDNMaps[[#This Row],[Type]],RecordCount[],2,0)),VLOOKUP(IDNMaps[[#This Row],[Type]],RecordCount[],8,0),0),"")</f>
        <v>18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3" s="6">
        <f ca="1">IF(IDNMaps[[#This Row],[Type]]="","",COUNTIF($K$1:IDNMaps[[#This Row],[Type]],IDNMaps[[#This Row],[Type]]))</f>
        <v>19</v>
      </c>
      <c r="M33" s="6" t="str">
        <f ca="1">IFERROR(VLOOKUP(IDNMaps[[#This Row],[Type]],RecordCount[],6,0)&amp;"-"&amp;IDNMaps[[#This Row],[Type Count]],"")</f>
        <v>Resource Lists-19</v>
      </c>
      <c r="N33" s="6" t="str">
        <f ca="1">IFERROR(VLOOKUP(IDNMaps[[#This Row],[Primary]],INDIRECT(VLOOKUP(IDNMaps[[#This Row],[Type]],RecordCount[],2,0)),VLOOKUP(IDNMaps[[#This Row],[Type]],RecordCount[],7,0),0),"")</f>
        <v>FieldOptionsList</v>
      </c>
      <c r="O33" s="6" t="str">
        <f ca="1">IF(IDNMaps[[#This Row],[Name]]="","","("&amp;IDNMaps[[#This Row],[Type]]&amp;") "&amp;IDNMaps[[#This Row],[Name]])</f>
        <v>(Lists) FieldOptionsList</v>
      </c>
      <c r="P33" s="6">
        <f ca="1">IFERROR(VLOOKUP(IDNMaps[[#This Row],[Primary]],INDIRECT(VLOOKUP(IDNMaps[[#This Row],[Type]],RecordCount[],2,0)),VLOOKUP(IDNMaps[[#This Row],[Type]],RecordCount[],8,0),0),"")</f>
        <v>19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4" s="6">
        <f ca="1">IF(IDNMaps[[#This Row],[Type]]="","",COUNTIF($K$1:IDNMaps[[#This Row],[Type]],IDNMaps[[#This Row],[Type]]))</f>
        <v>20</v>
      </c>
      <c r="M34" s="6" t="str">
        <f ca="1">IFERROR(VLOOKUP(IDNMaps[[#This Row],[Type]],RecordCount[],6,0)&amp;"-"&amp;IDNMaps[[#This Row],[Type Count]],"")</f>
        <v>Resource Lists-20</v>
      </c>
      <c r="N34" s="6" t="str">
        <f ca="1">IFERROR(VLOOKUP(IDNMaps[[#This Row],[Primary]],INDIRECT(VLOOKUP(IDNMaps[[#This Row],[Type]],RecordCount[],2,0)),VLOOKUP(IDNMaps[[#This Row],[Type]],RecordCount[],7,0),0),"")</f>
        <v>FieldValidationsList</v>
      </c>
      <c r="O34" s="6" t="str">
        <f ca="1">IF(IDNMaps[[#This Row],[Name]]="","","("&amp;IDNMaps[[#This Row],[Type]]&amp;") "&amp;IDNMaps[[#This Row],[Name]])</f>
        <v>(Lists) FieldValidationsList</v>
      </c>
      <c r="P34" s="6">
        <f ca="1">IFERROR(VLOOKUP(IDNMaps[[#This Row],[Primary]],INDIRECT(VLOOKUP(IDNMaps[[#This Row],[Type]],RecordCount[],2,0)),VLOOKUP(IDNMaps[[#This Row],[Type]],RecordCount[],8,0),0),"")</f>
        <v>20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5" s="6">
        <f ca="1">IF(IDNMaps[[#This Row],[Type]]="","",COUNTIF($K$1:IDNMaps[[#This Row],[Type]],IDNMaps[[#This Row],[Type]]))</f>
        <v>21</v>
      </c>
      <c r="M35" s="6" t="str">
        <f ca="1">IFERROR(VLOOKUP(IDNMaps[[#This Row],[Type]],RecordCount[],6,0)&amp;"-"&amp;IDNMaps[[#This Row],[Type Count]],"")</f>
        <v>Resource Lists-21</v>
      </c>
      <c r="N35" s="6" t="str">
        <f ca="1">IFERROR(VLOOKUP(IDNMaps[[#This Row],[Primary]],INDIRECT(VLOOKUP(IDNMaps[[#This Row],[Type]],RecordCount[],2,0)),VLOOKUP(IDNMaps[[#This Row],[Type]],RecordCount[],7,0),0),"")</f>
        <v>FieldDependsList</v>
      </c>
      <c r="O35" s="6" t="str">
        <f ca="1">IF(IDNMaps[[#This Row],[Name]]="","","("&amp;IDNMaps[[#This Row],[Type]]&amp;") "&amp;IDNMaps[[#This Row],[Name]])</f>
        <v>(Lists) FieldDependsList</v>
      </c>
      <c r="P35" s="6">
        <f ca="1">IFERROR(VLOOKUP(IDNMaps[[#This Row],[Primary]],INDIRECT(VLOOKUP(IDNMaps[[#This Row],[Type]],RecordCount[],2,0)),VLOOKUP(IDNMaps[[#This Row],[Type]],RecordCount[],8,0),0),"")</f>
        <v>21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6" s="6">
        <f ca="1">IF(IDNMaps[[#This Row],[Type]]="","",COUNTIF($K$1:IDNMaps[[#This Row],[Type]],IDNMaps[[#This Row],[Type]]))</f>
        <v>22</v>
      </c>
      <c r="M36" s="6" t="str">
        <f ca="1">IFERROR(VLOOKUP(IDNMaps[[#This Row],[Type]],RecordCount[],6,0)&amp;"-"&amp;IDNMaps[[#This Row],[Type Count]],"")</f>
        <v>Resource Lists-22</v>
      </c>
      <c r="N36" s="6" t="str">
        <f ca="1">IFERROR(VLOOKUP(IDNMaps[[#This Row],[Primary]],INDIRECT(VLOOKUP(IDNMaps[[#This Row],[Type]],RecordCount[],2,0)),VLOOKUP(IDNMaps[[#This Row],[Type]],RecordCount[],7,0),0),"")</f>
        <v>FieldDynamicsList</v>
      </c>
      <c r="O36" s="6" t="str">
        <f ca="1">IF(IDNMaps[[#This Row],[Name]]="","","("&amp;IDNMaps[[#This Row],[Type]]&amp;") "&amp;IDNMaps[[#This Row],[Name]])</f>
        <v>(Lists) FieldDynamicsList</v>
      </c>
      <c r="P36" s="6">
        <f ca="1">IFERROR(VLOOKUP(IDNMaps[[#This Row],[Primary]],INDIRECT(VLOOKUP(IDNMaps[[#This Row],[Type]],RecordCount[],2,0)),VLOOKUP(IDNMaps[[#This Row],[Type]],RecordCount[],8,0),0),"")</f>
        <v>22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37" s="6">
        <f ca="1">IF(IDNMaps[[#This Row],[Type]]="","",COUNTIF($K$1:IDNMaps[[#This Row],[Type]],IDNMaps[[#This Row],[Type]]))</f>
        <v>1</v>
      </c>
      <c r="M37" s="6" t="str">
        <f ca="1">IFERROR(VLOOKUP(IDNMaps[[#This Row],[Type]],RecordCount[],6,0)&amp;"-"&amp;IDNMaps[[#This Row],[Type Count]],"")</f>
        <v>Resource Data-1</v>
      </c>
      <c r="N37" s="6" t="str">
        <f ca="1">IFERROR(VLOOKUP(IDNMaps[[#This Row],[Primary]],INDIRECT(VLOOKUP(IDNMaps[[#This Row],[Type]],RecordCount[],2,0)),VLOOKUP(IDNMaps[[#This Row],[Type]],RecordCount[],7,0),0),"")</f>
        <v>UserDetailsData</v>
      </c>
      <c r="O37" s="6" t="str">
        <f ca="1">IF(IDNMaps[[#This Row],[Name]]="","","("&amp;IDNMaps[[#This Row],[Type]]&amp;") "&amp;IDNMaps[[#This Row],[Name]])</f>
        <v>(Data) UserDetailsData</v>
      </c>
      <c r="P37" s="6">
        <f ca="1">IFERROR(VLOOKUP(IDNMaps[[#This Row],[Primary]],INDIRECT(VLOOKUP(IDNMaps[[#This Row],[Type]],RecordCount[],2,0)),VLOOKUP(IDNMaps[[#This Row],[Type]],RecordCount[],8,0),0),"")</f>
        <v>1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8" s="6">
        <f ca="1">IF(IDNMaps[[#This Row],[Type]]="","",COUNTIF($K$1:IDNMaps[[#This Row],[Type]],IDNMaps[[#This Row],[Type]]))</f>
        <v>1</v>
      </c>
      <c r="M38" s="6" t="str">
        <f ca="1">IFERROR(VLOOKUP(IDNMaps[[#This Row],[Type]],RecordCount[],6,0)&amp;"-"&amp;IDNMaps[[#This Row],[Type Count]],"")</f>
        <v>Resource Relations-1</v>
      </c>
      <c r="N38" s="6" t="str">
        <f ca="1">IFERROR(VLOOKUP(IDNMaps[[#This Row],[Primary]],INDIRECT(VLOOKUP(IDNMaps[[#This Row],[Type]],RecordCount[],2,0)),VLOOKUP(IDNMaps[[#This Row],[Type]],RecordCount[],7,0),0),"")</f>
        <v>User/Groups</v>
      </c>
      <c r="O38" s="6" t="str">
        <f ca="1">IF(IDNMaps[[#This Row],[Name]]="","","("&amp;IDNMaps[[#This Row],[Type]]&amp;") "&amp;IDNMaps[[#This Row],[Name]])</f>
        <v>(Relation) User/Groups</v>
      </c>
      <c r="P38" s="6">
        <f ca="1">IFERROR(VLOOKUP(IDNMaps[[#This Row],[Primary]],INDIRECT(VLOOKUP(IDNMaps[[#This Row],[Type]],RecordCount[],2,0)),VLOOKUP(IDNMaps[[#This Row],[Type]],RecordCount[],8,0),0),"")</f>
        <v>1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9" s="6">
        <f ca="1">IF(IDNMaps[[#This Row],[Type]]="","",COUNTIF($K$1:IDNMaps[[#This Row],[Type]],IDNMaps[[#This Row],[Type]]))</f>
        <v>2</v>
      </c>
      <c r="M39" s="6" t="str">
        <f ca="1">IFERROR(VLOOKUP(IDNMaps[[#This Row],[Type]],RecordCount[],6,0)&amp;"-"&amp;IDNMaps[[#This Row],[Type Count]],"")</f>
        <v>Resource Relations-2</v>
      </c>
      <c r="N39" s="6" t="str">
        <f ca="1">IFERROR(VLOOKUP(IDNMaps[[#This Row],[Primary]],INDIRECT(VLOOKUP(IDNMaps[[#This Row],[Type]],RecordCount[],2,0)),VLOOKUP(IDNMaps[[#This Row],[Type]],RecordCount[],7,0),0),"")</f>
        <v>Group/Users</v>
      </c>
      <c r="O39" s="6" t="str">
        <f ca="1">IF(IDNMaps[[#This Row],[Name]]="","","("&amp;IDNMaps[[#This Row],[Type]]&amp;") "&amp;IDNMaps[[#This Row],[Name]])</f>
        <v>(Relation) Group/Users</v>
      </c>
      <c r="P39" s="6">
        <f ca="1">IFERROR(VLOOKUP(IDNMaps[[#This Row],[Primary]],INDIRECT(VLOOKUP(IDNMaps[[#This Row],[Type]],RecordCount[],2,0)),VLOOKUP(IDNMaps[[#This Row],[Type]],RecordCount[],8,0),0),"")</f>
        <v>2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0" s="6">
        <f ca="1">IF(IDNMaps[[#This Row],[Type]]="","",COUNTIF($K$1:IDNMaps[[#This Row],[Type]],IDNMaps[[#This Row],[Type]]))</f>
        <v>3</v>
      </c>
      <c r="M40" s="6" t="str">
        <f ca="1">IFERROR(VLOOKUP(IDNMaps[[#This Row],[Type]],RecordCount[],6,0)&amp;"-"&amp;IDNMaps[[#This Row],[Type Count]],"")</f>
        <v>Resource Relations-3</v>
      </c>
      <c r="N40" s="6" t="str">
        <f ca="1">IFERROR(VLOOKUP(IDNMaps[[#This Row],[Primary]],INDIRECT(VLOOKUP(IDNMaps[[#This Row],[Type]],RecordCount[],2,0)),VLOOKUP(IDNMaps[[#This Row],[Type]],RecordCount[],7,0),0),"")</f>
        <v>Group/Roles</v>
      </c>
      <c r="O40" s="6" t="str">
        <f ca="1">IF(IDNMaps[[#This Row],[Name]]="","","("&amp;IDNMaps[[#This Row],[Type]]&amp;") "&amp;IDNMaps[[#This Row],[Name]])</f>
        <v>(Relation) Group/Roles</v>
      </c>
      <c r="P40" s="6">
        <f ca="1">IFERROR(VLOOKUP(IDNMaps[[#This Row],[Primary]],INDIRECT(VLOOKUP(IDNMaps[[#This Row],[Type]],RecordCount[],2,0)),VLOOKUP(IDNMaps[[#This Row],[Type]],RecordCount[],8,0),0),"")</f>
        <v>3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1" s="6">
        <f ca="1">IF(IDNMaps[[#This Row],[Type]]="","",COUNTIF($K$1:IDNMaps[[#This Row],[Type]],IDNMaps[[#This Row],[Type]]))</f>
        <v>4</v>
      </c>
      <c r="M41" s="6" t="str">
        <f ca="1">IFERROR(VLOOKUP(IDNMaps[[#This Row],[Type]],RecordCount[],6,0)&amp;"-"&amp;IDNMaps[[#This Row],[Type Count]],"")</f>
        <v>Resource Relations-4</v>
      </c>
      <c r="N41" s="6" t="str">
        <f ca="1">IFERROR(VLOOKUP(IDNMaps[[#This Row],[Primary]],INDIRECT(VLOOKUP(IDNMaps[[#This Row],[Type]],RecordCount[],2,0)),VLOOKUP(IDNMaps[[#This Row],[Type]],RecordCount[],7,0),0),"")</f>
        <v>Role/Groups</v>
      </c>
      <c r="O41" s="6" t="str">
        <f ca="1">IF(IDNMaps[[#This Row],[Name]]="","","("&amp;IDNMaps[[#This Row],[Type]]&amp;") "&amp;IDNMaps[[#This Row],[Name]])</f>
        <v>(Relation) Role/Groups</v>
      </c>
      <c r="P41" s="6">
        <f ca="1">IFERROR(VLOOKUP(IDNMaps[[#This Row],[Primary]],INDIRECT(VLOOKUP(IDNMaps[[#This Row],[Type]],RecordCount[],2,0)),VLOOKUP(IDNMaps[[#This Row],[Type]],RecordCount[],8,0),0),"")</f>
        <v>4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2" s="6">
        <f ca="1">IF(IDNMaps[[#This Row],[Type]]="","",COUNTIF($K$1:IDNMaps[[#This Row],[Type]],IDNMaps[[#This Row],[Type]]))</f>
        <v>5</v>
      </c>
      <c r="M42" s="6" t="str">
        <f ca="1">IFERROR(VLOOKUP(IDNMaps[[#This Row],[Type]],RecordCount[],6,0)&amp;"-"&amp;IDNMaps[[#This Row],[Type Count]],"")</f>
        <v>Resource Relations-5</v>
      </c>
      <c r="N42" s="6" t="str">
        <f ca="1">IFERROR(VLOOKUP(IDNMaps[[#This Row],[Primary]],INDIRECT(VLOOKUP(IDNMaps[[#This Row],[Type]],RecordCount[],2,0)),VLOOKUP(IDNMaps[[#This Row],[Type]],RecordCount[],7,0),0),"")</f>
        <v>Role/Resources</v>
      </c>
      <c r="O42" s="6" t="str">
        <f ca="1">IF(IDNMaps[[#This Row],[Name]]="","","("&amp;IDNMaps[[#This Row],[Type]]&amp;") "&amp;IDNMaps[[#This Row],[Name]])</f>
        <v>(Relation) Role/Resources</v>
      </c>
      <c r="P42" s="6">
        <f ca="1">IFERROR(VLOOKUP(IDNMaps[[#This Row],[Primary]],INDIRECT(VLOOKUP(IDNMaps[[#This Row],[Type]],RecordCount[],2,0)),VLOOKUP(IDNMaps[[#This Row],[Type]],RecordCount[],8,0),0),"")</f>
        <v>5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3" s="6">
        <f ca="1">IF(IDNMaps[[#This Row],[Type]]="","",COUNTIF($K$1:IDNMaps[[#This Row],[Type]],IDNMaps[[#This Row],[Type]]))</f>
        <v>6</v>
      </c>
      <c r="M43" s="6" t="str">
        <f ca="1">IFERROR(VLOOKUP(IDNMaps[[#This Row],[Type]],RecordCount[],6,0)&amp;"-"&amp;IDNMaps[[#This Row],[Type Count]],"")</f>
        <v>Resource Relations-6</v>
      </c>
      <c r="N43" s="6" t="str">
        <f ca="1">IFERROR(VLOOKUP(IDNMaps[[#This Row],[Primary]],INDIRECT(VLOOKUP(IDNMaps[[#This Row],[Type]],RecordCount[],2,0)),VLOOKUP(IDNMaps[[#This Row],[Type]],RecordCount[],7,0),0),"")</f>
        <v>Resource/Roles</v>
      </c>
      <c r="O43" s="6" t="str">
        <f ca="1">IF(IDNMaps[[#This Row],[Name]]="","","("&amp;IDNMaps[[#This Row],[Type]]&amp;") "&amp;IDNMaps[[#This Row],[Name]])</f>
        <v>(Relation) Resource/Roles</v>
      </c>
      <c r="P43" s="6">
        <f ca="1">IFERROR(VLOOKUP(IDNMaps[[#This Row],[Primary]],INDIRECT(VLOOKUP(IDNMaps[[#This Row],[Type]],RecordCount[],2,0)),VLOOKUP(IDNMaps[[#This Row],[Type]],RecordCount[],8,0),0),"")</f>
        <v>6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4" s="6">
        <f ca="1">IF(IDNMaps[[#This Row],[Type]]="","",COUNTIF($K$1:IDNMaps[[#This Row],[Type]],IDNMaps[[#This Row],[Type]]))</f>
        <v>7</v>
      </c>
      <c r="M44" s="6" t="str">
        <f ca="1">IFERROR(VLOOKUP(IDNMaps[[#This Row],[Type]],RecordCount[],6,0)&amp;"-"&amp;IDNMaps[[#This Row],[Type Count]],"")</f>
        <v>Resource Relations-7</v>
      </c>
      <c r="N44" s="6" t="str">
        <f ca="1">IFERROR(VLOOKUP(IDNMaps[[#This Row],[Primary]],INDIRECT(VLOOKUP(IDNMaps[[#This Row],[Type]],RecordCount[],2,0)),VLOOKUP(IDNMaps[[#This Row],[Type]],RecordCount[],7,0),0),"")</f>
        <v>Resource/Actions</v>
      </c>
      <c r="O44" s="6" t="str">
        <f ca="1">IF(IDNMaps[[#This Row],[Name]]="","","("&amp;IDNMaps[[#This Row],[Type]]&amp;") "&amp;IDNMaps[[#This Row],[Name]])</f>
        <v>(Relation) Resource/Actions</v>
      </c>
      <c r="P44" s="6">
        <f ca="1">IFERROR(VLOOKUP(IDNMaps[[#This Row],[Primary]],INDIRECT(VLOOKUP(IDNMaps[[#This Row],[Type]],RecordCount[],2,0)),VLOOKUP(IDNMaps[[#This Row],[Type]],RecordCount[],8,0),0),"")</f>
        <v>7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5" s="6">
        <f ca="1">IF(IDNMaps[[#This Row],[Type]]="","",COUNTIF($K$1:IDNMaps[[#This Row],[Type]],IDNMaps[[#This Row],[Type]]))</f>
        <v>8</v>
      </c>
      <c r="M45" s="6" t="str">
        <f ca="1">IFERROR(VLOOKUP(IDNMaps[[#This Row],[Type]],RecordCount[],6,0)&amp;"-"&amp;IDNMaps[[#This Row],[Type Count]],"")</f>
        <v>Resource Relations-8</v>
      </c>
      <c r="N45" s="6" t="str">
        <f ca="1">IFERROR(VLOOKUP(IDNMaps[[#This Row],[Primary]],INDIRECT(VLOOKUP(IDNMaps[[#This Row],[Type]],RecordCount[],2,0)),VLOOKUP(IDNMaps[[#This Row],[Type]],RecordCount[],7,0),0),"")</f>
        <v>ResourceAction/Method</v>
      </c>
      <c r="O45" s="6" t="str">
        <f ca="1">IF(IDNMaps[[#This Row],[Name]]="","","("&amp;IDNMaps[[#This Row],[Type]]&amp;") "&amp;IDNMaps[[#This Row],[Name]])</f>
        <v>(Relation) ResourceAction/Method</v>
      </c>
      <c r="P45" s="6">
        <f ca="1">IFERROR(VLOOKUP(IDNMaps[[#This Row],[Primary]],INDIRECT(VLOOKUP(IDNMaps[[#This Row],[Type]],RecordCount[],2,0)),VLOOKUP(IDNMaps[[#This Row],[Type]],RecordCount[],8,0),0),"")</f>
        <v>8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6" s="6">
        <f ca="1">IF(IDNMaps[[#This Row],[Type]]="","",COUNTIF($K$1:IDNMaps[[#This Row],[Type]],IDNMaps[[#This Row],[Type]]))</f>
        <v>9</v>
      </c>
      <c r="M46" s="6" t="str">
        <f ca="1">IFERROR(VLOOKUP(IDNMaps[[#This Row],[Type]],RecordCount[],6,0)&amp;"-"&amp;IDNMaps[[#This Row],[Type Count]],"")</f>
        <v>Resource Relations-9</v>
      </c>
      <c r="N46" s="6" t="str">
        <f ca="1">IFERROR(VLOOKUP(IDNMaps[[#This Row],[Primary]],INDIRECT(VLOOKUP(IDNMaps[[#This Row],[Type]],RecordCount[],2,0)),VLOOKUP(IDNMaps[[#This Row],[Type]],RecordCount[],7,0),0),"")</f>
        <v>ResourceAction/Lists</v>
      </c>
      <c r="O46" s="6" t="str">
        <f ca="1">IF(IDNMaps[[#This Row],[Name]]="","","("&amp;IDNMaps[[#This Row],[Type]]&amp;") "&amp;IDNMaps[[#This Row],[Name]])</f>
        <v>(Relation) ResourceAction/Lists</v>
      </c>
      <c r="P46" s="6">
        <f ca="1">IFERROR(VLOOKUP(IDNMaps[[#This Row],[Primary]],INDIRECT(VLOOKUP(IDNMaps[[#This Row],[Type]],RecordCount[],2,0)),VLOOKUP(IDNMaps[[#This Row],[Type]],RecordCount[],8,0),0),"")</f>
        <v>9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7" s="6">
        <f ca="1">IF(IDNMaps[[#This Row],[Type]]="","",COUNTIF($K$1:IDNMaps[[#This Row],[Type]],IDNMaps[[#This Row],[Type]]))</f>
        <v>10</v>
      </c>
      <c r="M47" s="6" t="str">
        <f ca="1">IFERROR(VLOOKUP(IDNMaps[[#This Row],[Type]],RecordCount[],6,0)&amp;"-"&amp;IDNMaps[[#This Row],[Type Count]],"")</f>
        <v>Resource Relations-10</v>
      </c>
      <c r="N47" s="6" t="str">
        <f ca="1">IFERROR(VLOOKUP(IDNMaps[[#This Row],[Primary]],INDIRECT(VLOOKUP(IDNMaps[[#This Row],[Type]],RecordCount[],2,0)),VLOOKUP(IDNMaps[[#This Row],[Type]],RecordCount[],7,0),0),"")</f>
        <v>ResourceAction/Data</v>
      </c>
      <c r="O47" s="6" t="str">
        <f ca="1">IF(IDNMaps[[#This Row],[Name]]="","","("&amp;IDNMaps[[#This Row],[Type]]&amp;") "&amp;IDNMaps[[#This Row],[Name]])</f>
        <v>(Relation) ResourceAction/Data</v>
      </c>
      <c r="P47" s="6">
        <f ca="1">IFERROR(VLOOKUP(IDNMaps[[#This Row],[Primary]],INDIRECT(VLOOKUP(IDNMaps[[#This Row],[Type]],RecordCount[],2,0)),VLOOKUP(IDNMaps[[#This Row],[Type]],RecordCount[],8,0),0),"")</f>
        <v>10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8" s="6">
        <f ca="1">IF(IDNMaps[[#This Row],[Type]]="","",COUNTIF($K$1:IDNMaps[[#This Row],[Type]],IDNMaps[[#This Row],[Type]]))</f>
        <v>11</v>
      </c>
      <c r="M48" s="6" t="str">
        <f ca="1">IFERROR(VLOOKUP(IDNMaps[[#This Row],[Type]],RecordCount[],6,0)&amp;"-"&amp;IDNMaps[[#This Row],[Type Count]],"")</f>
        <v>Resource Relations-11</v>
      </c>
      <c r="N48" s="6" t="str">
        <f ca="1">IFERROR(VLOOKUP(IDNMaps[[#This Row],[Primary]],INDIRECT(VLOOKUP(IDNMaps[[#This Row],[Type]],RecordCount[],2,0)),VLOOKUP(IDNMaps[[#This Row],[Type]],RecordCount[],7,0),0),"")</f>
        <v>ResourceAction/Resource</v>
      </c>
      <c r="O48" s="6" t="str">
        <f ca="1">IF(IDNMaps[[#This Row],[Name]]="","","("&amp;IDNMaps[[#This Row],[Type]]&amp;") "&amp;IDNMaps[[#This Row],[Name]])</f>
        <v>(Relation) ResourceAction/Resource</v>
      </c>
      <c r="P48" s="6">
        <f ca="1">IFERROR(VLOOKUP(IDNMaps[[#This Row],[Primary]],INDIRECT(VLOOKUP(IDNMaps[[#This Row],[Type]],RecordCount[],2,0)),VLOOKUP(IDNMaps[[#This Row],[Type]],RecordCount[],8,0),0),"")</f>
        <v>11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9" s="6">
        <f ca="1">IF(IDNMaps[[#This Row],[Type]]="","",COUNTIF($K$1:IDNMaps[[#This Row],[Type]],IDNMaps[[#This Row],[Type]]))</f>
        <v>12</v>
      </c>
      <c r="M49" s="6" t="str">
        <f ca="1">IFERROR(VLOOKUP(IDNMaps[[#This Row],[Type]],RecordCount[],6,0)&amp;"-"&amp;IDNMaps[[#This Row],[Type Count]],"")</f>
        <v>Resource Relations-12</v>
      </c>
      <c r="N49" s="6" t="str">
        <f ca="1">IFERROR(VLOOKUP(IDNMaps[[#This Row],[Primary]],INDIRECT(VLOOKUP(IDNMaps[[#This Row],[Type]],RecordCount[],2,0)),VLOOKUP(IDNMaps[[#This Row],[Type]],RecordCount[],7,0),0),"")</f>
        <v>Organisation/Contacts</v>
      </c>
      <c r="O49" s="6" t="str">
        <f ca="1">IF(IDNMaps[[#This Row],[Name]]="","","("&amp;IDNMaps[[#This Row],[Type]]&amp;") "&amp;IDNMaps[[#This Row],[Name]])</f>
        <v>(Relation) Organisation/Contacts</v>
      </c>
      <c r="P49" s="6">
        <f ca="1">IFERROR(VLOOKUP(IDNMaps[[#This Row],[Primary]],INDIRECT(VLOOKUP(IDNMaps[[#This Row],[Type]],RecordCount[],2,0)),VLOOKUP(IDNMaps[[#This Row],[Type]],RecordCount[],8,0),0),"")</f>
        <v>12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0" s="6">
        <f ca="1">IF(IDNMaps[[#This Row],[Type]]="","",COUNTIF($K$1:IDNMaps[[#This Row],[Type]],IDNMaps[[#This Row],[Type]]))</f>
        <v>13</v>
      </c>
      <c r="M50" s="6" t="str">
        <f ca="1">IFERROR(VLOOKUP(IDNMaps[[#This Row],[Type]],RecordCount[],6,0)&amp;"-"&amp;IDNMaps[[#This Row],[Type Count]],"")</f>
        <v>Resource Relations-13</v>
      </c>
      <c r="N50" s="6" t="str">
        <f ca="1">IFERROR(VLOOKUP(IDNMaps[[#This Row],[Primary]],INDIRECT(VLOOKUP(IDNMaps[[#This Row],[Type]],RecordCount[],2,0)),VLOOKUP(IDNMaps[[#This Row],[Type]],RecordCount[],7,0),0),"")</f>
        <v>ResourceRole/Resource</v>
      </c>
      <c r="O50" s="6" t="str">
        <f ca="1">IF(IDNMaps[[#This Row],[Name]]="","","("&amp;IDNMaps[[#This Row],[Type]]&amp;") "&amp;IDNMaps[[#This Row],[Name]])</f>
        <v>(Relation) ResourceRole/Resource</v>
      </c>
      <c r="P50" s="6">
        <f ca="1">IFERROR(VLOOKUP(IDNMaps[[#This Row],[Primary]],INDIRECT(VLOOKUP(IDNMaps[[#This Row],[Type]],RecordCount[],2,0)),VLOOKUP(IDNMaps[[#This Row],[Type]],RecordCount[],8,0),0),"")</f>
        <v>13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1" s="6">
        <f ca="1">IF(IDNMaps[[#This Row],[Type]]="","",COUNTIF($K$1:IDNMaps[[#This Row],[Type]],IDNMaps[[#This Row],[Type]]))</f>
        <v>14</v>
      </c>
      <c r="M51" s="6" t="str">
        <f ca="1">IFERROR(VLOOKUP(IDNMaps[[#This Row],[Type]],RecordCount[],6,0)&amp;"-"&amp;IDNMaps[[#This Row],[Type Count]],"")</f>
        <v>Resource Relations-14</v>
      </c>
      <c r="N51" s="6" t="str">
        <f ca="1">IFERROR(VLOOKUP(IDNMaps[[#This Row],[Primary]],INDIRECT(VLOOKUP(IDNMaps[[#This Row],[Type]],RecordCount[],2,0)),VLOOKUP(IDNMaps[[#This Row],[Type]],RecordCount[],7,0),0),"")</f>
        <v>Resource/Forms</v>
      </c>
      <c r="O51" s="6" t="str">
        <f ca="1">IF(IDNMaps[[#This Row],[Name]]="","","("&amp;IDNMaps[[#This Row],[Type]]&amp;") "&amp;IDNMaps[[#This Row],[Name]])</f>
        <v>(Relation) Resource/Forms</v>
      </c>
      <c r="P51" s="6">
        <f ca="1">IFERROR(VLOOKUP(IDNMaps[[#This Row],[Primary]],INDIRECT(VLOOKUP(IDNMaps[[#This Row],[Type]],RecordCount[],2,0)),VLOOKUP(IDNMaps[[#This Row],[Type]],RecordCount[],8,0),0),"")</f>
        <v>14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2" s="6">
        <f ca="1">IF(IDNMaps[[#This Row],[Type]]="","",COUNTIF($K$1:IDNMaps[[#This Row],[Type]],IDNMaps[[#This Row],[Type]]))</f>
        <v>15</v>
      </c>
      <c r="M52" s="6" t="str">
        <f ca="1">IFERROR(VLOOKUP(IDNMaps[[#This Row],[Type]],RecordCount[],6,0)&amp;"-"&amp;IDNMaps[[#This Row],[Type Count]],"")</f>
        <v>Resource Relations-15</v>
      </c>
      <c r="N52" s="6" t="str">
        <f ca="1">IFERROR(VLOOKUP(IDNMaps[[#This Row],[Primary]],INDIRECT(VLOOKUP(IDNMaps[[#This Row],[Type]],RecordCount[],2,0)),VLOOKUP(IDNMaps[[#This Row],[Type]],RecordCount[],7,0),0),"")</f>
        <v>ResourceForm/Fields</v>
      </c>
      <c r="O52" s="6" t="str">
        <f ca="1">IF(IDNMaps[[#This Row],[Name]]="","","("&amp;IDNMaps[[#This Row],[Type]]&amp;") "&amp;IDNMaps[[#This Row],[Name]])</f>
        <v>(Relation) ResourceForm/Fields</v>
      </c>
      <c r="P52" s="6">
        <f ca="1">IFERROR(VLOOKUP(IDNMaps[[#This Row],[Primary]],INDIRECT(VLOOKUP(IDNMaps[[#This Row],[Type]],RecordCount[],2,0)),VLOOKUP(IDNMaps[[#This Row],[Type]],RecordCount[],8,0),0),"")</f>
        <v>15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3" s="6">
        <f ca="1">IF(IDNMaps[[#This Row],[Type]]="","",COUNTIF($K$1:IDNMaps[[#This Row],[Type]],IDNMaps[[#This Row],[Type]]))</f>
        <v>16</v>
      </c>
      <c r="M53" s="6" t="str">
        <f ca="1">IFERROR(VLOOKUP(IDNMaps[[#This Row],[Type]],RecordCount[],6,0)&amp;"-"&amp;IDNMaps[[#This Row],[Type Count]],"")</f>
        <v>Resource Relations-16</v>
      </c>
      <c r="N53" s="6" t="str">
        <f ca="1">IFERROR(VLOOKUP(IDNMaps[[#This Row],[Primary]],INDIRECT(VLOOKUP(IDNMaps[[#This Row],[Type]],RecordCount[],2,0)),VLOOKUP(IDNMaps[[#This Row],[Type]],RecordCount[],7,0),0),"")</f>
        <v>ResourceFormField/Attributes</v>
      </c>
      <c r="O53" s="6" t="str">
        <f ca="1">IF(IDNMaps[[#This Row],[Name]]="","","("&amp;IDNMaps[[#This Row],[Type]]&amp;") "&amp;IDNMaps[[#This Row],[Name]])</f>
        <v>(Relation) ResourceFormField/Attributes</v>
      </c>
      <c r="P53" s="6">
        <f ca="1">IFERROR(VLOOKUP(IDNMaps[[#This Row],[Primary]],INDIRECT(VLOOKUP(IDNMaps[[#This Row],[Type]],RecordCount[],2,0)),VLOOKUP(IDNMaps[[#This Row],[Type]],RecordCount[],8,0),0),"")</f>
        <v>16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4" s="6">
        <f ca="1">IF(IDNMaps[[#This Row],[Type]]="","",COUNTIF($K$1:IDNMaps[[#This Row],[Type]],IDNMaps[[#This Row],[Type]]))</f>
        <v>17</v>
      </c>
      <c r="M54" s="6" t="str">
        <f ca="1">IFERROR(VLOOKUP(IDNMaps[[#This Row],[Type]],RecordCount[],6,0)&amp;"-"&amp;IDNMaps[[#This Row],[Type Count]],"")</f>
        <v>Resource Relations-17</v>
      </c>
      <c r="N54" s="6" t="str">
        <f ca="1">IFERROR(VLOOKUP(IDNMaps[[#This Row],[Primary]],INDIRECT(VLOOKUP(IDNMaps[[#This Row],[Type]],RecordCount[],2,0)),VLOOKUP(IDNMaps[[#This Row],[Type]],RecordCount[],7,0),0),"")</f>
        <v>ResourceFormField/Options</v>
      </c>
      <c r="O54" s="6" t="str">
        <f ca="1">IF(IDNMaps[[#This Row],[Name]]="","","("&amp;IDNMaps[[#This Row],[Type]]&amp;") "&amp;IDNMaps[[#This Row],[Name]])</f>
        <v>(Relation) ResourceFormField/Options</v>
      </c>
      <c r="P54" s="6">
        <f ca="1">IFERROR(VLOOKUP(IDNMaps[[#This Row],[Primary]],INDIRECT(VLOOKUP(IDNMaps[[#This Row],[Type]],RecordCount[],2,0)),VLOOKUP(IDNMaps[[#This Row],[Type]],RecordCount[],8,0),0),"")</f>
        <v>17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5" s="6">
        <f ca="1">IF(IDNMaps[[#This Row],[Type]]="","",COUNTIF($K$1:IDNMaps[[#This Row],[Type]],IDNMaps[[#This Row],[Type]]))</f>
        <v>18</v>
      </c>
      <c r="M55" s="6" t="str">
        <f ca="1">IFERROR(VLOOKUP(IDNMaps[[#This Row],[Type]],RecordCount[],6,0)&amp;"-"&amp;IDNMaps[[#This Row],[Type Count]],"")</f>
        <v>Resource Relations-18</v>
      </c>
      <c r="N55" s="6" t="str">
        <f ca="1">IFERROR(VLOOKUP(IDNMaps[[#This Row],[Primary]],INDIRECT(VLOOKUP(IDNMaps[[#This Row],[Type]],RecordCount[],2,0)),VLOOKUP(IDNMaps[[#This Row],[Type]],RecordCount[],7,0),0),"")</f>
        <v>ResourceFormField/Validations</v>
      </c>
      <c r="O55" s="6" t="str">
        <f ca="1">IF(IDNMaps[[#This Row],[Name]]="","","("&amp;IDNMaps[[#This Row],[Type]]&amp;") "&amp;IDNMaps[[#This Row],[Name]])</f>
        <v>(Relation) ResourceFormField/Validations</v>
      </c>
      <c r="P55" s="6">
        <f ca="1">IFERROR(VLOOKUP(IDNMaps[[#This Row],[Primary]],INDIRECT(VLOOKUP(IDNMaps[[#This Row],[Type]],RecordCount[],2,0)),VLOOKUP(IDNMaps[[#This Row],[Type]],RecordCount[],8,0),0),"")</f>
        <v>18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6" s="6">
        <f ca="1">IF(IDNMaps[[#This Row],[Type]]="","",COUNTIF($K$1:IDNMaps[[#This Row],[Type]],IDNMaps[[#This Row],[Type]]))</f>
        <v>19</v>
      </c>
      <c r="M56" s="6" t="str">
        <f ca="1">IFERROR(VLOOKUP(IDNMaps[[#This Row],[Type]],RecordCount[],6,0)&amp;"-"&amp;IDNMaps[[#This Row],[Type Count]],"")</f>
        <v>Resource Relations-19</v>
      </c>
      <c r="N56" s="6" t="str">
        <f ca="1">IFERROR(VLOOKUP(IDNMaps[[#This Row],[Primary]],INDIRECT(VLOOKUP(IDNMaps[[#This Row],[Type]],RecordCount[],2,0)),VLOOKUP(IDNMaps[[#This Row],[Type]],RecordCount[],7,0),0),"")</f>
        <v>ResourceForm/Resource</v>
      </c>
      <c r="O56" s="6" t="str">
        <f ca="1">IF(IDNMaps[[#This Row],[Name]]="","","("&amp;IDNMaps[[#This Row],[Type]]&amp;") "&amp;IDNMaps[[#This Row],[Name]])</f>
        <v>(Relation) ResourceForm/Resource</v>
      </c>
      <c r="P56" s="6">
        <f ca="1">IFERROR(VLOOKUP(IDNMaps[[#This Row],[Primary]],INDIRECT(VLOOKUP(IDNMaps[[#This Row],[Type]],RecordCount[],2,0)),VLOOKUP(IDNMaps[[#This Row],[Type]],RecordCount[],8,0),0),"")</f>
        <v>19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7" s="6">
        <f ca="1">IF(IDNMaps[[#This Row],[Type]]="","",COUNTIF($K$1:IDNMaps[[#This Row],[Type]],IDNMaps[[#This Row],[Type]]))</f>
        <v>20</v>
      </c>
      <c r="M57" s="6" t="str">
        <f ca="1">IFERROR(VLOOKUP(IDNMaps[[#This Row],[Type]],RecordCount[],6,0)&amp;"-"&amp;IDNMaps[[#This Row],[Type Count]],"")</f>
        <v>Resource Relations-20</v>
      </c>
      <c r="N57" s="6" t="str">
        <f ca="1">IFERROR(VLOOKUP(IDNMaps[[#This Row],[Primary]],INDIRECT(VLOOKUP(IDNMaps[[#This Row],[Type]],RecordCount[],2,0)),VLOOKUP(IDNMaps[[#This Row],[Type]],RecordCount[],7,0),0),"")</f>
        <v>ResourceForm/Defaults</v>
      </c>
      <c r="O57" s="6" t="str">
        <f ca="1">IF(IDNMaps[[#This Row],[Name]]="","","("&amp;IDNMaps[[#This Row],[Type]]&amp;") "&amp;IDNMaps[[#This Row],[Name]])</f>
        <v>(Relation) ResourceForm/Defaults</v>
      </c>
      <c r="P57" s="6">
        <f ca="1">IFERROR(VLOOKUP(IDNMaps[[#This Row],[Primary]],INDIRECT(VLOOKUP(IDNMaps[[#This Row],[Type]],RecordCount[],2,0)),VLOOKUP(IDNMaps[[#This Row],[Type]],RecordCount[],8,0),0),"")</f>
        <v>20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8" s="6">
        <f ca="1">IF(IDNMaps[[#This Row],[Type]]="","",COUNTIF($K$1:IDNMaps[[#This Row],[Type]],IDNMaps[[#This Row],[Type]]))</f>
        <v>21</v>
      </c>
      <c r="M58" s="6" t="str">
        <f ca="1">IFERROR(VLOOKUP(IDNMaps[[#This Row],[Type]],RecordCount[],6,0)&amp;"-"&amp;IDNMaps[[#This Row],[Type Count]],"")</f>
        <v>Resource Relations-21</v>
      </c>
      <c r="N58" s="6" t="str">
        <f ca="1">IFERROR(VLOOKUP(IDNMaps[[#This Row],[Primary]],INDIRECT(VLOOKUP(IDNMaps[[#This Row],[Type]],RecordCount[],2,0)),VLOOKUP(IDNMaps[[#This Row],[Type]],RecordCount[],7,0),0),"")</f>
        <v>ResourceFormField/Data</v>
      </c>
      <c r="O58" s="6" t="str">
        <f ca="1">IF(IDNMaps[[#This Row],[Name]]="","","("&amp;IDNMaps[[#This Row],[Type]]&amp;") "&amp;IDNMaps[[#This Row],[Name]])</f>
        <v>(Relation) ResourceFormField/Data</v>
      </c>
      <c r="P58" s="6">
        <f ca="1">IFERROR(VLOOKUP(IDNMaps[[#This Row],[Primary]],INDIRECT(VLOOKUP(IDNMaps[[#This Row],[Type]],RecordCount[],2,0)),VLOOKUP(IDNMaps[[#This Row],[Type]],RecordCount[],8,0),0),"")</f>
        <v>21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9" s="6">
        <f ca="1">IF(IDNMaps[[#This Row],[Type]]="","",COUNTIF($K$1:IDNMaps[[#This Row],[Type]],IDNMaps[[#This Row],[Type]]))</f>
        <v>22</v>
      </c>
      <c r="M59" s="6" t="str">
        <f ca="1">IFERROR(VLOOKUP(IDNMaps[[#This Row],[Type]],RecordCount[],6,0)&amp;"-"&amp;IDNMaps[[#This Row],[Type Count]],"")</f>
        <v>Resource Relations-22</v>
      </c>
      <c r="N59" s="6" t="str">
        <f ca="1">IFERROR(VLOOKUP(IDNMaps[[#This Row],[Primary]],INDIRECT(VLOOKUP(IDNMaps[[#This Row],[Type]],RecordCount[],2,0)),VLOOKUP(IDNMaps[[#This Row],[Type]],RecordCount[],7,0),0),"")</f>
        <v>Resource/Relations</v>
      </c>
      <c r="O59" s="6" t="str">
        <f ca="1">IF(IDNMaps[[#This Row],[Name]]="","","("&amp;IDNMaps[[#This Row],[Type]]&amp;") "&amp;IDNMaps[[#This Row],[Name]])</f>
        <v>(Relation) Resource/Relations</v>
      </c>
      <c r="P59" s="6">
        <f ca="1">IFERROR(VLOOKUP(IDNMaps[[#This Row],[Primary]],INDIRECT(VLOOKUP(IDNMaps[[#This Row],[Type]],RecordCount[],2,0)),VLOOKUP(IDNMaps[[#This Row],[Type]],RecordCount[],8,0),0),"")</f>
        <v>22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0" s="6">
        <f ca="1">IF(IDNMaps[[#This Row],[Type]]="","",COUNTIF($K$1:IDNMaps[[#This Row],[Type]],IDNMaps[[#This Row],[Type]]))</f>
        <v>23</v>
      </c>
      <c r="M60" s="6" t="str">
        <f ca="1">IFERROR(VLOOKUP(IDNMaps[[#This Row],[Type]],RecordCount[],6,0)&amp;"-"&amp;IDNMaps[[#This Row],[Type Count]],"")</f>
        <v>Resource Relations-23</v>
      </c>
      <c r="N60" s="6" t="str">
        <f ca="1">IFERROR(VLOOKUP(IDNMaps[[#This Row],[Primary]],INDIRECT(VLOOKUP(IDNMaps[[#This Row],[Type]],RecordCount[],2,0)),VLOOKUP(IDNMaps[[#This Row],[Type]],RecordCount[],7,0),0),"")</f>
        <v>ResourceFormFieldData/Relation</v>
      </c>
      <c r="O60" s="6" t="str">
        <f ca="1">IF(IDNMaps[[#This Row],[Name]]="","","("&amp;IDNMaps[[#This Row],[Type]]&amp;") "&amp;IDNMaps[[#This Row],[Name]])</f>
        <v>(Relation) ResourceFormFieldData/Relation</v>
      </c>
      <c r="P60" s="6">
        <f ca="1">IFERROR(VLOOKUP(IDNMaps[[#This Row],[Primary]],INDIRECT(VLOOKUP(IDNMaps[[#This Row],[Type]],RecordCount[],2,0)),VLOOKUP(IDNMaps[[#This Row],[Type]],RecordCount[],8,0),0),"")</f>
        <v>23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1" s="6">
        <f ca="1">IF(IDNMaps[[#This Row],[Type]]="","",COUNTIF($K$1:IDNMaps[[#This Row],[Type]],IDNMaps[[#This Row],[Type]]))</f>
        <v>24</v>
      </c>
      <c r="M61" s="6" t="str">
        <f ca="1">IFERROR(VLOOKUP(IDNMaps[[#This Row],[Type]],RecordCount[],6,0)&amp;"-"&amp;IDNMaps[[#This Row],[Type Count]],"")</f>
        <v>Resource Relations-24</v>
      </c>
      <c r="N61" s="6" t="str">
        <f ca="1">IFERROR(VLOOKUP(IDNMaps[[#This Row],[Primary]],INDIRECT(VLOOKUP(IDNMaps[[#This Row],[Type]],RecordCount[],2,0)),VLOOKUP(IDNMaps[[#This Row],[Type]],RecordCount[],7,0),0),"")</f>
        <v>ResourceFormDefault/Relation</v>
      </c>
      <c r="O61" s="6" t="str">
        <f ca="1">IF(IDNMaps[[#This Row],[Name]]="","","("&amp;IDNMaps[[#This Row],[Type]]&amp;") "&amp;IDNMaps[[#This Row],[Name]])</f>
        <v>(Relation) ResourceFormDefault/Relation</v>
      </c>
      <c r="P61" s="6">
        <f ca="1">IFERROR(VLOOKUP(IDNMaps[[#This Row],[Primary]],INDIRECT(VLOOKUP(IDNMaps[[#This Row],[Type]],RecordCount[],2,0)),VLOOKUP(IDNMaps[[#This Row],[Type]],RecordCount[],8,0),0),"")</f>
        <v>24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2" s="6">
        <f ca="1">IF(IDNMaps[[#This Row],[Type]]="","",COUNTIF($K$1:IDNMaps[[#This Row],[Type]],IDNMaps[[#This Row],[Type]]))</f>
        <v>25</v>
      </c>
      <c r="M62" s="6" t="str">
        <f ca="1">IFERROR(VLOOKUP(IDNMaps[[#This Row],[Type]],RecordCount[],6,0)&amp;"-"&amp;IDNMaps[[#This Row],[Type Count]],"")</f>
        <v>Resource Relations-25</v>
      </c>
      <c r="N62" s="6" t="str">
        <f ca="1">IFERROR(VLOOKUP(IDNMaps[[#This Row],[Primary]],INDIRECT(VLOOKUP(IDNMaps[[#This Row],[Type]],RecordCount[],2,0)),VLOOKUP(IDNMaps[[#This Row],[Type]],RecordCount[],7,0),0),"")</f>
        <v>ResourceList/Resource</v>
      </c>
      <c r="O62" s="6" t="str">
        <f ca="1">IF(IDNMaps[[#This Row],[Name]]="","","("&amp;IDNMaps[[#This Row],[Type]]&amp;") "&amp;IDNMaps[[#This Row],[Name]])</f>
        <v>(Relation) ResourceList/Resource</v>
      </c>
      <c r="P62" s="6">
        <f ca="1">IFERROR(VLOOKUP(IDNMaps[[#This Row],[Primary]],INDIRECT(VLOOKUP(IDNMaps[[#This Row],[Type]],RecordCount[],2,0)),VLOOKUP(IDNMaps[[#This Row],[Type]],RecordCount[],8,0),0),"")</f>
        <v>25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3" s="6">
        <f ca="1">IF(IDNMaps[[#This Row],[Type]]="","",COUNTIF($K$1:IDNMaps[[#This Row],[Type]],IDNMaps[[#This Row],[Type]]))</f>
        <v>26</v>
      </c>
      <c r="M63" s="6" t="str">
        <f ca="1">IFERROR(VLOOKUP(IDNMaps[[#This Row],[Type]],RecordCount[],6,0)&amp;"-"&amp;IDNMaps[[#This Row],[Type Count]],"")</f>
        <v>Resource Relations-26</v>
      </c>
      <c r="N63" s="6" t="str">
        <f ca="1">IFERROR(VLOOKUP(IDNMaps[[#This Row],[Primary]],INDIRECT(VLOOKUP(IDNMaps[[#This Row],[Type]],RecordCount[],2,0)),VLOOKUP(IDNMaps[[#This Row],[Type]],RecordCount[],7,0),0),"")</f>
        <v>ResourceList/Relations</v>
      </c>
      <c r="O63" s="6" t="str">
        <f ca="1">IF(IDNMaps[[#This Row],[Name]]="","","("&amp;IDNMaps[[#This Row],[Type]]&amp;") "&amp;IDNMaps[[#This Row],[Name]])</f>
        <v>(Relation) ResourceList/Relations</v>
      </c>
      <c r="P63" s="6">
        <f ca="1">IFERROR(VLOOKUP(IDNMaps[[#This Row],[Primary]],INDIRECT(VLOOKUP(IDNMaps[[#This Row],[Type]],RecordCount[],2,0)),VLOOKUP(IDNMaps[[#This Row],[Type]],RecordCount[],8,0),0),"")</f>
        <v>26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4" s="6">
        <f ca="1">IF(IDNMaps[[#This Row],[Type]]="","",COUNTIF($K$1:IDNMaps[[#This Row],[Type]],IDNMaps[[#This Row],[Type]]))</f>
        <v>27</v>
      </c>
      <c r="M64" s="6" t="str">
        <f ca="1">IFERROR(VLOOKUP(IDNMaps[[#This Row],[Type]],RecordCount[],6,0)&amp;"-"&amp;IDNMaps[[#This Row],[Type Count]],"")</f>
        <v>Resource Relations-27</v>
      </c>
      <c r="N64" s="6" t="str">
        <f ca="1">IFERROR(VLOOKUP(IDNMaps[[#This Row],[Primary]],INDIRECT(VLOOKUP(IDNMaps[[#This Row],[Type]],RecordCount[],2,0)),VLOOKUP(IDNMaps[[#This Row],[Type]],RecordCount[],7,0),0),"")</f>
        <v>Resource/Scopes</v>
      </c>
      <c r="O64" s="6" t="str">
        <f ca="1">IF(IDNMaps[[#This Row],[Name]]="","","("&amp;IDNMaps[[#This Row],[Type]]&amp;") "&amp;IDNMaps[[#This Row],[Name]])</f>
        <v>(Relation) Resource/Scopes</v>
      </c>
      <c r="P64" s="6">
        <f ca="1">IFERROR(VLOOKUP(IDNMaps[[#This Row],[Primary]],INDIRECT(VLOOKUP(IDNMaps[[#This Row],[Type]],RecordCount[],2,0)),VLOOKUP(IDNMaps[[#This Row],[Type]],RecordCount[],8,0),0),"")</f>
        <v>27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5" s="6">
        <f ca="1">IF(IDNMaps[[#This Row],[Type]]="","",COUNTIF($K$1:IDNMaps[[#This Row],[Type]],IDNMaps[[#This Row],[Type]]))</f>
        <v>28</v>
      </c>
      <c r="M65" s="6" t="str">
        <f ca="1">IFERROR(VLOOKUP(IDNMaps[[#This Row],[Type]],RecordCount[],6,0)&amp;"-"&amp;IDNMaps[[#This Row],[Type Count]],"")</f>
        <v>Resource Relations-28</v>
      </c>
      <c r="N65" s="6" t="str">
        <f ca="1">IFERROR(VLOOKUP(IDNMaps[[#This Row],[Primary]],INDIRECT(VLOOKUP(IDNMaps[[#This Row],[Type]],RecordCount[],2,0)),VLOOKUP(IDNMaps[[#This Row],[Type]],RecordCount[],7,0),0),"")</f>
        <v>ResourceList/Scopes</v>
      </c>
      <c r="O65" s="6" t="str">
        <f ca="1">IF(IDNMaps[[#This Row],[Name]]="","","("&amp;IDNMaps[[#This Row],[Type]]&amp;") "&amp;IDNMaps[[#This Row],[Name]])</f>
        <v>(Relation) ResourceList/Scopes</v>
      </c>
      <c r="P65" s="6">
        <f ca="1">IFERROR(VLOOKUP(IDNMaps[[#This Row],[Primary]],INDIRECT(VLOOKUP(IDNMaps[[#This Row],[Type]],RecordCount[],2,0)),VLOOKUP(IDNMaps[[#This Row],[Type]],RecordCount[],8,0),0),"")</f>
        <v>28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6" s="6">
        <f ca="1">IF(IDNMaps[[#This Row],[Type]]="","",COUNTIF($K$1:IDNMaps[[#This Row],[Type]],IDNMaps[[#This Row],[Type]]))</f>
        <v>29</v>
      </c>
      <c r="M66" s="6" t="str">
        <f ca="1">IFERROR(VLOOKUP(IDNMaps[[#This Row],[Type]],RecordCount[],6,0)&amp;"-"&amp;IDNMaps[[#This Row],[Type Count]],"")</f>
        <v>Resource Relations-29</v>
      </c>
      <c r="N66" s="6" t="str">
        <f ca="1">IFERROR(VLOOKUP(IDNMaps[[#This Row],[Primary]],INDIRECT(VLOOKUP(IDNMaps[[#This Row],[Type]],RecordCount[],2,0)),VLOOKUP(IDNMaps[[#This Row],[Type]],RecordCount[],7,0),0),"")</f>
        <v>ResourceData/Relations</v>
      </c>
      <c r="O66" s="6" t="str">
        <f ca="1">IF(IDNMaps[[#This Row],[Name]]="","","("&amp;IDNMaps[[#This Row],[Type]]&amp;") "&amp;IDNMaps[[#This Row],[Name]])</f>
        <v>(Relation) ResourceData/Relations</v>
      </c>
      <c r="P66" s="6">
        <f ca="1">IFERROR(VLOOKUP(IDNMaps[[#This Row],[Primary]],INDIRECT(VLOOKUP(IDNMaps[[#This Row],[Type]],RecordCount[],2,0)),VLOOKUP(IDNMaps[[#This Row],[Type]],RecordCount[],8,0),0),"")</f>
        <v>29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7" s="6">
        <f ca="1">IF(IDNMaps[[#This Row],[Type]]="","",COUNTIF($K$1:IDNMaps[[#This Row],[Type]],IDNMaps[[#This Row],[Type]]))</f>
        <v>30</v>
      </c>
      <c r="M67" s="6" t="str">
        <f ca="1">IFERROR(VLOOKUP(IDNMaps[[#This Row],[Type]],RecordCount[],6,0)&amp;"-"&amp;IDNMaps[[#This Row],[Type Count]],"")</f>
        <v>Resource Relations-30</v>
      </c>
      <c r="N67" s="6" t="str">
        <f ca="1">IFERROR(VLOOKUP(IDNMaps[[#This Row],[Primary]],INDIRECT(VLOOKUP(IDNMaps[[#This Row],[Type]],RecordCount[],2,0)),VLOOKUP(IDNMaps[[#This Row],[Type]],RecordCount[],7,0),0),"")</f>
        <v>ResourceData/Resource</v>
      </c>
      <c r="O67" s="6" t="str">
        <f ca="1">IF(IDNMaps[[#This Row],[Name]]="","","("&amp;IDNMaps[[#This Row],[Type]]&amp;") "&amp;IDNMaps[[#This Row],[Name]])</f>
        <v>(Relation) ResourceData/Resource</v>
      </c>
      <c r="P67" s="6">
        <f ca="1">IFERROR(VLOOKUP(IDNMaps[[#This Row],[Primary]],INDIRECT(VLOOKUP(IDNMaps[[#This Row],[Type]],RecordCount[],2,0)),VLOOKUP(IDNMaps[[#This Row],[Type]],RecordCount[],8,0),0),"")</f>
        <v>30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8" s="6">
        <f ca="1">IF(IDNMaps[[#This Row],[Type]]="","",COUNTIF($K$1:IDNMaps[[#This Row],[Type]],IDNMaps[[#This Row],[Type]]))</f>
        <v>31</v>
      </c>
      <c r="M68" s="6" t="str">
        <f ca="1">IFERROR(VLOOKUP(IDNMaps[[#This Row],[Type]],RecordCount[],6,0)&amp;"-"&amp;IDNMaps[[#This Row],[Type Count]],"")</f>
        <v>Resource Relations-31</v>
      </c>
      <c r="N68" s="6" t="str">
        <f ca="1">IFERROR(VLOOKUP(IDNMaps[[#This Row],[Primary]],INDIRECT(VLOOKUP(IDNMaps[[#This Row],[Type]],RecordCount[],2,0)),VLOOKUP(IDNMaps[[#This Row],[Type]],RecordCount[],7,0),0),"")</f>
        <v>ResourceList/Layout</v>
      </c>
      <c r="O68" s="6" t="str">
        <f ca="1">IF(IDNMaps[[#This Row],[Name]]="","","("&amp;IDNMaps[[#This Row],[Type]]&amp;") "&amp;IDNMaps[[#This Row],[Name]])</f>
        <v>(Relation) ResourceList/Layout</v>
      </c>
      <c r="P68" s="6">
        <f ca="1">IFERROR(VLOOKUP(IDNMaps[[#This Row],[Primary]],INDIRECT(VLOOKUP(IDNMaps[[#This Row],[Type]],RecordCount[],2,0)),VLOOKUP(IDNMaps[[#This Row],[Type]],RecordCount[],8,0),0),"")</f>
        <v>31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9" s="6">
        <f ca="1">IF(IDNMaps[[#This Row],[Type]]="","",COUNTIF($K$1:IDNMaps[[#This Row],[Type]],IDNMaps[[#This Row],[Type]]))</f>
        <v>32</v>
      </c>
      <c r="M69" s="6" t="str">
        <f ca="1">IFERROR(VLOOKUP(IDNMaps[[#This Row],[Type]],RecordCount[],6,0)&amp;"-"&amp;IDNMaps[[#This Row],[Type Count]],"")</f>
        <v>Resource Relations-32</v>
      </c>
      <c r="N69" s="6" t="str">
        <f ca="1">IFERROR(VLOOKUP(IDNMaps[[#This Row],[Primary]],INDIRECT(VLOOKUP(IDNMaps[[#This Row],[Type]],RecordCount[],2,0)),VLOOKUP(IDNMaps[[#This Row],[Type]],RecordCount[],7,0),0),"")</f>
        <v>ResourceRelation/Nest</v>
      </c>
      <c r="O69" s="6" t="str">
        <f ca="1">IF(IDNMaps[[#This Row],[Name]]="","","("&amp;IDNMaps[[#This Row],[Type]]&amp;") "&amp;IDNMaps[[#This Row],[Name]])</f>
        <v>(Relation) ResourceRelation/Nest</v>
      </c>
      <c r="P69" s="6">
        <f ca="1">IFERROR(VLOOKUP(IDNMaps[[#This Row],[Primary]],INDIRECT(VLOOKUP(IDNMaps[[#This Row],[Type]],RecordCount[],2,0)),VLOOKUP(IDNMaps[[#This Row],[Type]],RecordCount[],8,0),0),"")</f>
        <v>32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0" s="6">
        <f ca="1">IF(IDNMaps[[#This Row],[Type]]="","",COUNTIF($K$1:IDNMaps[[#This Row],[Type]],IDNMaps[[#This Row],[Type]]))</f>
        <v>33</v>
      </c>
      <c r="M70" s="6" t="str">
        <f ca="1">IFERROR(VLOOKUP(IDNMaps[[#This Row],[Type]],RecordCount[],6,0)&amp;"-"&amp;IDNMaps[[#This Row],[Type Count]],"")</f>
        <v>Resource Relations-33</v>
      </c>
      <c r="N70" s="6" t="str">
        <f ca="1">IFERROR(VLOOKUP(IDNMaps[[#This Row],[Primary]],INDIRECT(VLOOKUP(IDNMaps[[#This Row],[Type]],RecordCount[],2,0)),VLOOKUP(IDNMaps[[#This Row],[Type]],RecordCount[],7,0),0),"")</f>
        <v>ResourceRelation/Relation</v>
      </c>
      <c r="O70" s="6" t="str">
        <f ca="1">IF(IDNMaps[[#This Row],[Name]]="","","("&amp;IDNMaps[[#This Row],[Type]]&amp;") "&amp;IDNMaps[[#This Row],[Name]])</f>
        <v>(Relation) ResourceRelation/Relation</v>
      </c>
      <c r="P70" s="6">
        <f ca="1">IFERROR(VLOOKUP(IDNMaps[[#This Row],[Primary]],INDIRECT(VLOOKUP(IDNMaps[[#This Row],[Type]],RecordCount[],2,0)),VLOOKUP(IDNMaps[[#This Row],[Type]],RecordCount[],8,0),0),"")</f>
        <v>33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1" s="6">
        <f ca="1">IF(IDNMaps[[#This Row],[Type]]="","",COUNTIF($K$1:IDNMaps[[#This Row],[Type]],IDNMaps[[#This Row],[Type]]))</f>
        <v>34</v>
      </c>
      <c r="M71" s="6" t="str">
        <f ca="1">IFERROR(VLOOKUP(IDNMaps[[#This Row],[Type]],RecordCount[],6,0)&amp;"-"&amp;IDNMaps[[#This Row],[Type Count]],"")</f>
        <v>Resource Relations-34</v>
      </c>
      <c r="N71" s="6" t="str">
        <f ca="1">IFERROR(VLOOKUP(IDNMaps[[#This Row],[Primary]],INDIRECT(VLOOKUP(IDNMaps[[#This Row],[Type]],RecordCount[],2,0)),VLOOKUP(IDNMaps[[#This Row],[Type]],RecordCount[],7,0),0),"")</f>
        <v>ResourceData/Sections</v>
      </c>
      <c r="O71" s="6" t="str">
        <f ca="1">IF(IDNMaps[[#This Row],[Name]]="","","("&amp;IDNMaps[[#This Row],[Type]]&amp;") "&amp;IDNMaps[[#This Row],[Name]])</f>
        <v>(Relation) ResourceData/Sections</v>
      </c>
      <c r="P71" s="6">
        <f ca="1">IFERROR(VLOOKUP(IDNMaps[[#This Row],[Primary]],INDIRECT(VLOOKUP(IDNMaps[[#This Row],[Type]],RecordCount[],2,0)),VLOOKUP(IDNMaps[[#This Row],[Type]],RecordCount[],8,0),0),"")</f>
        <v>34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2" s="6">
        <f ca="1">IF(IDNMaps[[#This Row],[Type]]="","",COUNTIF($K$1:IDNMaps[[#This Row],[Type]],IDNMaps[[#This Row],[Type]]))</f>
        <v>35</v>
      </c>
      <c r="M72" s="6" t="str">
        <f ca="1">IFERROR(VLOOKUP(IDNMaps[[#This Row],[Type]],RecordCount[],6,0)&amp;"-"&amp;IDNMaps[[#This Row],[Type Count]],"")</f>
        <v>Resource Relations-35</v>
      </c>
      <c r="N72" s="6" t="str">
        <f ca="1">IFERROR(VLOOKUP(IDNMaps[[#This Row],[Primary]],INDIRECT(VLOOKUP(IDNMaps[[#This Row],[Type]],RecordCount[],2,0)),VLOOKUP(IDNMaps[[#This Row],[Type]],RecordCount[],7,0),0),"")</f>
        <v>ResourceDataViewSection/Relation</v>
      </c>
      <c r="O72" s="6" t="str">
        <f ca="1">IF(IDNMaps[[#This Row],[Name]]="","","("&amp;IDNMaps[[#This Row],[Type]]&amp;") "&amp;IDNMaps[[#This Row],[Name]])</f>
        <v>(Relation) ResourceDataViewSection/Relation</v>
      </c>
      <c r="P72" s="6">
        <f ca="1">IFERROR(VLOOKUP(IDNMaps[[#This Row],[Primary]],INDIRECT(VLOOKUP(IDNMaps[[#This Row],[Type]],RecordCount[],2,0)),VLOOKUP(IDNMaps[[#This Row],[Type]],RecordCount[],8,0),0),"")</f>
        <v>35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3" s="6">
        <f ca="1">IF(IDNMaps[[#This Row],[Type]]="","",COUNTIF($K$1:IDNMaps[[#This Row],[Type]],IDNMaps[[#This Row],[Type]]))</f>
        <v>36</v>
      </c>
      <c r="M73" s="6" t="str">
        <f ca="1">IFERROR(VLOOKUP(IDNMaps[[#This Row],[Type]],RecordCount[],6,0)&amp;"-"&amp;IDNMaps[[#This Row],[Type Count]],"")</f>
        <v>Resource Relations-36</v>
      </c>
      <c r="N73" s="6" t="str">
        <f ca="1">IFERROR(VLOOKUP(IDNMaps[[#This Row],[Primary]],INDIRECT(VLOOKUP(IDNMaps[[#This Row],[Type]],RecordCount[],2,0)),VLOOKUP(IDNMaps[[#This Row],[Type]],RecordCount[],7,0),0),"")</f>
        <v>ResourceDataViewSectionItem/Relation</v>
      </c>
      <c r="O73" s="6" t="str">
        <f ca="1">IF(IDNMaps[[#This Row],[Name]]="","","("&amp;IDNMaps[[#This Row],[Type]]&amp;") "&amp;IDNMaps[[#This Row],[Name]])</f>
        <v>(Relation) ResourceDataViewSectionItem/Relation</v>
      </c>
      <c r="P73" s="6">
        <f ca="1">IFERROR(VLOOKUP(IDNMaps[[#This Row],[Primary]],INDIRECT(VLOOKUP(IDNMaps[[#This Row],[Type]],RecordCount[],2,0)),VLOOKUP(IDNMaps[[#This Row],[Type]],RecordCount[],8,0),0),"")</f>
        <v>36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4" s="6">
        <f ca="1">IF(IDNMaps[[#This Row],[Type]]="","",COUNTIF($K$1:IDNMaps[[#This Row],[Type]],IDNMaps[[#This Row],[Type]]))</f>
        <v>37</v>
      </c>
      <c r="M74" s="6" t="str">
        <f ca="1">IFERROR(VLOOKUP(IDNMaps[[#This Row],[Type]],RecordCount[],6,0)&amp;"-"&amp;IDNMaps[[#This Row],[Type Count]],"")</f>
        <v>Resource Relations-37</v>
      </c>
      <c r="N74" s="6" t="str">
        <f ca="1">IFERROR(VLOOKUP(IDNMaps[[#This Row],[Primary]],INDIRECT(VLOOKUP(IDNMaps[[#This Row],[Type]],RecordCount[],2,0)),VLOOKUP(IDNMaps[[#This Row],[Type]],RecordCount[],7,0),0),"")</f>
        <v>ResourceRelation/Owner</v>
      </c>
      <c r="O74" s="6" t="str">
        <f ca="1">IF(IDNMaps[[#This Row],[Name]]="","","("&amp;IDNMaps[[#This Row],[Type]]&amp;") "&amp;IDNMaps[[#This Row],[Name]])</f>
        <v>(Relation) ResourceRelation/Owner</v>
      </c>
      <c r="P74" s="6">
        <f ca="1">IFERROR(VLOOKUP(IDNMaps[[#This Row],[Primary]],INDIRECT(VLOOKUP(IDNMaps[[#This Row],[Type]],RecordCount[],2,0)),VLOOKUP(IDNMaps[[#This Row],[Type]],RecordCount[],8,0),0),"")</f>
        <v>37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5" s="6">
        <f ca="1">IF(IDNMaps[[#This Row],[Type]]="","",COUNTIF($K$1:IDNMaps[[#This Row],[Type]],IDNMaps[[#This Row],[Type]]))</f>
        <v>38</v>
      </c>
      <c r="M75" s="6" t="str">
        <f ca="1">IFERROR(VLOOKUP(IDNMaps[[#This Row],[Type]],RecordCount[],6,0)&amp;"-"&amp;IDNMaps[[#This Row],[Type Count]],"")</f>
        <v>Resource Relations-38</v>
      </c>
      <c r="N75" s="6" t="str">
        <f ca="1">IFERROR(VLOOKUP(IDNMaps[[#This Row],[Primary]],INDIRECT(VLOOKUP(IDNMaps[[#This Row],[Type]],RecordCount[],2,0)),VLOOKUP(IDNMaps[[#This Row],[Type]],RecordCount[],7,0),0),"")</f>
        <v>ResourceForm/Collections</v>
      </c>
      <c r="O75" s="6" t="str">
        <f ca="1">IF(IDNMaps[[#This Row],[Name]]="","","("&amp;IDNMaps[[#This Row],[Type]]&amp;") "&amp;IDNMaps[[#This Row],[Name]])</f>
        <v>(Relation) ResourceForm/Collections</v>
      </c>
      <c r="P75" s="6">
        <f ca="1">IFERROR(VLOOKUP(IDNMaps[[#This Row],[Primary]],INDIRECT(VLOOKUP(IDNMaps[[#This Row],[Type]],RecordCount[],2,0)),VLOOKUP(IDNMaps[[#This Row],[Type]],RecordCount[],8,0),0),"")</f>
        <v>38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6" s="6">
        <f ca="1">IF(IDNMaps[[#This Row],[Type]]="","",COUNTIF($K$1:IDNMaps[[#This Row],[Type]],IDNMaps[[#This Row],[Type]]))</f>
        <v>39</v>
      </c>
      <c r="M76" s="6" t="str">
        <f ca="1">IFERROR(VLOOKUP(IDNMaps[[#This Row],[Type]],RecordCount[],6,0)&amp;"-"&amp;IDNMaps[[#This Row],[Type Count]],"")</f>
        <v>Resource Relations-39</v>
      </c>
      <c r="N76" s="6" t="str">
        <f ca="1">IFERROR(VLOOKUP(IDNMaps[[#This Row],[Primary]],INDIRECT(VLOOKUP(IDNMaps[[#This Row],[Type]],RecordCount[],2,0)),VLOOKUP(IDNMaps[[#This Row],[Type]],RecordCount[],7,0),0),"")</f>
        <v>ResourceFormCollection/Form</v>
      </c>
      <c r="O76" s="6" t="str">
        <f ca="1">IF(IDNMaps[[#This Row],[Name]]="","","("&amp;IDNMaps[[#This Row],[Type]]&amp;") "&amp;IDNMaps[[#This Row],[Name]])</f>
        <v>(Relation) ResourceFormCollection/Form</v>
      </c>
      <c r="P76" s="6">
        <f ca="1">IFERROR(VLOOKUP(IDNMaps[[#This Row],[Primary]],INDIRECT(VLOOKUP(IDNMaps[[#This Row],[Type]],RecordCount[],2,0)),VLOOKUP(IDNMaps[[#This Row],[Type]],RecordCount[],8,0),0),"")</f>
        <v>39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7" s="6">
        <f ca="1">IF(IDNMaps[[#This Row],[Type]]="","",COUNTIF($K$1:IDNMaps[[#This Row],[Type]],IDNMaps[[#This Row],[Type]]))</f>
        <v>40</v>
      </c>
      <c r="M77" s="6" t="str">
        <f ca="1">IFERROR(VLOOKUP(IDNMaps[[#This Row],[Type]],RecordCount[],6,0)&amp;"-"&amp;IDNMaps[[#This Row],[Type Count]],"")</f>
        <v>Resource Relations-40</v>
      </c>
      <c r="N77" s="6" t="str">
        <f ca="1">IFERROR(VLOOKUP(IDNMaps[[#This Row],[Primary]],INDIRECT(VLOOKUP(IDNMaps[[#This Row],[Type]],RecordCount[],2,0)),VLOOKUP(IDNMaps[[#This Row],[Type]],RecordCount[],7,0),0),"")</f>
        <v>ResourceFormCollection/Relation</v>
      </c>
      <c r="O77" s="6" t="str">
        <f ca="1">IF(IDNMaps[[#This Row],[Name]]="","","("&amp;IDNMaps[[#This Row],[Type]]&amp;") "&amp;IDNMaps[[#This Row],[Name]])</f>
        <v>(Relation) ResourceFormCollection/Relation</v>
      </c>
      <c r="P77" s="6">
        <f ca="1">IFERROR(VLOOKUP(IDNMaps[[#This Row],[Primary]],INDIRECT(VLOOKUP(IDNMaps[[#This Row],[Type]],RecordCount[],2,0)),VLOOKUP(IDNMaps[[#This Row],[Type]],RecordCount[],8,0),0),"")</f>
        <v>40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8" s="6">
        <f ca="1">IF(IDNMaps[[#This Row],[Type]]="","",COUNTIF($K$1:IDNMaps[[#This Row],[Type]],IDNMaps[[#This Row],[Type]]))</f>
        <v>41</v>
      </c>
      <c r="M78" s="6" t="str">
        <f ca="1">IFERROR(VLOOKUP(IDNMaps[[#This Row],[Type]],RecordCount[],6,0)&amp;"-"&amp;IDNMaps[[#This Row],[Type Count]],"")</f>
        <v>Resource Relations-41</v>
      </c>
      <c r="N78" s="6" t="str">
        <f ca="1">IFERROR(VLOOKUP(IDNMaps[[#This Row],[Primary]],INDIRECT(VLOOKUP(IDNMaps[[#This Row],[Type]],RecordCount[],2,0)),VLOOKUP(IDNMaps[[#This Row],[Type]],RecordCount[],7,0),0),"")</f>
        <v>ResourceFormFieldOption/Field</v>
      </c>
      <c r="O78" s="6" t="str">
        <f ca="1">IF(IDNMaps[[#This Row],[Name]]="","","("&amp;IDNMaps[[#This Row],[Type]]&amp;") "&amp;IDNMaps[[#This Row],[Name]])</f>
        <v>(Relation) ResourceFormFieldOption/Field</v>
      </c>
      <c r="P78" s="6">
        <f ca="1">IFERROR(VLOOKUP(IDNMaps[[#This Row],[Primary]],INDIRECT(VLOOKUP(IDNMaps[[#This Row],[Type]],RecordCount[],2,0)),VLOOKUP(IDNMaps[[#This Row],[Type]],RecordCount[],8,0),0),"")</f>
        <v>41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9" s="6">
        <f ca="1">IF(IDNMaps[[#This Row],[Type]]="","",COUNTIF($K$1:IDNMaps[[#This Row],[Type]],IDNMaps[[#This Row],[Type]]))</f>
        <v>42</v>
      </c>
      <c r="M79" s="6" t="str">
        <f ca="1">IFERROR(VLOOKUP(IDNMaps[[#This Row],[Type]],RecordCount[],6,0)&amp;"-"&amp;IDNMaps[[#This Row],[Type Count]],"")</f>
        <v>Resource Relations-42</v>
      </c>
      <c r="N79" s="6" t="str">
        <f ca="1">IFERROR(VLOOKUP(IDNMaps[[#This Row],[Primary]],INDIRECT(VLOOKUP(IDNMaps[[#This Row],[Type]],RecordCount[],2,0)),VLOOKUP(IDNMaps[[#This Row],[Type]],RecordCount[],7,0),0),"")</f>
        <v>ResourceFormField/Form</v>
      </c>
      <c r="O79" s="6" t="str">
        <f ca="1">IF(IDNMaps[[#This Row],[Name]]="","","("&amp;IDNMaps[[#This Row],[Type]]&amp;") "&amp;IDNMaps[[#This Row],[Name]])</f>
        <v>(Relation) ResourceFormField/Form</v>
      </c>
      <c r="P79" s="6">
        <f ca="1">IFERROR(VLOOKUP(IDNMaps[[#This Row],[Primary]],INDIRECT(VLOOKUP(IDNMaps[[#This Row],[Type]],RecordCount[],2,0)),VLOOKUP(IDNMaps[[#This Row],[Type]],RecordCount[],8,0),0),"")</f>
        <v>42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0" s="6">
        <f ca="1">IF(IDNMaps[[#This Row],[Type]]="","",COUNTIF($K$1:IDNMaps[[#This Row],[Type]],IDNMaps[[#This Row],[Type]]))</f>
        <v>43</v>
      </c>
      <c r="M80" s="6" t="str">
        <f ca="1">IFERROR(VLOOKUP(IDNMaps[[#This Row],[Type]],RecordCount[],6,0)&amp;"-"&amp;IDNMaps[[#This Row],[Type Count]],"")</f>
        <v>Resource Relations-43</v>
      </c>
      <c r="N80" s="6" t="str">
        <f ca="1">IFERROR(VLOOKUP(IDNMaps[[#This Row],[Primary]],INDIRECT(VLOOKUP(IDNMaps[[#This Row],[Type]],RecordCount[],2,0)),VLOOKUP(IDNMaps[[#This Row],[Type]],RecordCount[],7,0),0),"")</f>
        <v>ResourceList/Search</v>
      </c>
      <c r="O80" s="6" t="str">
        <f ca="1">IF(IDNMaps[[#This Row],[Name]]="","","("&amp;IDNMaps[[#This Row],[Type]]&amp;") "&amp;IDNMaps[[#This Row],[Name]])</f>
        <v>(Relation) ResourceList/Search</v>
      </c>
      <c r="P80" s="6">
        <f ca="1">IFERROR(VLOOKUP(IDNMaps[[#This Row],[Primary]],INDIRECT(VLOOKUP(IDNMaps[[#This Row],[Type]],RecordCount[],2,0)),VLOOKUP(IDNMaps[[#This Row],[Type]],RecordCount[],8,0),0),"")</f>
        <v>43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1" s="6">
        <f ca="1">IF(IDNMaps[[#This Row],[Type]]="","",COUNTIF($K$1:IDNMaps[[#This Row],[Type]],IDNMaps[[#This Row],[Type]]))</f>
        <v>44</v>
      </c>
      <c r="M81" s="6" t="str">
        <f ca="1">IFERROR(VLOOKUP(IDNMaps[[#This Row],[Type]],RecordCount[],6,0)&amp;"-"&amp;IDNMaps[[#This Row],[Type Count]],"")</f>
        <v>Resource Relations-44</v>
      </c>
      <c r="N81" s="6" t="str">
        <f ca="1">IFERROR(VLOOKUP(IDNMaps[[#This Row],[Primary]],INDIRECT(VLOOKUP(IDNMaps[[#This Row],[Type]],RecordCount[],2,0)),VLOOKUP(IDNMaps[[#This Row],[Type]],RecordCount[],7,0),0),"")</f>
        <v>ResourceFormField/Depends</v>
      </c>
      <c r="O81" s="6" t="str">
        <f ca="1">IF(IDNMaps[[#This Row],[Name]]="","","("&amp;IDNMaps[[#This Row],[Type]]&amp;") "&amp;IDNMaps[[#This Row],[Name]])</f>
        <v>(Relation) ResourceFormField/Depends</v>
      </c>
      <c r="P81" s="6">
        <f ca="1">IFERROR(VLOOKUP(IDNMaps[[#This Row],[Primary]],INDIRECT(VLOOKUP(IDNMaps[[#This Row],[Type]],RecordCount[],2,0)),VLOOKUP(IDNMaps[[#This Row],[Type]],RecordCount[],8,0),0),"")</f>
        <v>44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2" s="6">
        <f ca="1">IF(IDNMaps[[#This Row],[Type]]="","",COUNTIF($K$1:IDNMaps[[#This Row],[Type]],IDNMaps[[#This Row],[Type]]))</f>
        <v>45</v>
      </c>
      <c r="M82" s="6" t="str">
        <f ca="1">IFERROR(VLOOKUP(IDNMaps[[#This Row],[Type]],RecordCount[],6,0)&amp;"-"&amp;IDNMaps[[#This Row],[Type Count]],"")</f>
        <v>Resource Relations-45</v>
      </c>
      <c r="N82" s="6" t="str">
        <f ca="1">IFERROR(VLOOKUP(IDNMaps[[#This Row],[Primary]],INDIRECT(VLOOKUP(IDNMaps[[#This Row],[Type]],RecordCount[],2,0)),VLOOKUP(IDNMaps[[#This Row],[Type]],RecordCount[],7,0),0),"")</f>
        <v>Resource/Dashboards</v>
      </c>
      <c r="O82" s="6" t="str">
        <f ca="1">IF(IDNMaps[[#This Row],[Name]]="","","("&amp;IDNMaps[[#This Row],[Type]]&amp;") "&amp;IDNMaps[[#This Row],[Name]])</f>
        <v>(Relation) Resource/Dashboards</v>
      </c>
      <c r="P82" s="6">
        <f ca="1">IFERROR(VLOOKUP(IDNMaps[[#This Row],[Primary]],INDIRECT(VLOOKUP(IDNMaps[[#This Row],[Type]],RecordCount[],2,0)),VLOOKUP(IDNMaps[[#This Row],[Type]],RecordCount[],8,0),0),"")</f>
        <v>45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3" s="6">
        <f ca="1">IF(IDNMaps[[#This Row],[Type]]="","",COUNTIF($K$1:IDNMaps[[#This Row],[Type]],IDNMaps[[#This Row],[Type]]))</f>
        <v>46</v>
      </c>
      <c r="M83" s="6" t="str">
        <f ca="1">IFERROR(VLOOKUP(IDNMaps[[#This Row],[Type]],RecordCount[],6,0)&amp;"-"&amp;IDNMaps[[#This Row],[Type Count]],"")</f>
        <v>Resource Relations-46</v>
      </c>
      <c r="N83" s="6" t="str">
        <f ca="1">IFERROR(VLOOKUP(IDNMaps[[#This Row],[Primary]],INDIRECT(VLOOKUP(IDNMaps[[#This Row],[Type]],RecordCount[],2,0)),VLOOKUP(IDNMaps[[#This Row],[Type]],RecordCount[],7,0),0),"")</f>
        <v>ResourceDashboard/Sections</v>
      </c>
      <c r="O83" s="6" t="str">
        <f ca="1">IF(IDNMaps[[#This Row],[Name]]="","","("&amp;IDNMaps[[#This Row],[Type]]&amp;") "&amp;IDNMaps[[#This Row],[Name]])</f>
        <v>(Relation) ResourceDashboard/Sections</v>
      </c>
      <c r="P83" s="6">
        <f ca="1">IFERROR(VLOOKUP(IDNMaps[[#This Row],[Primary]],INDIRECT(VLOOKUP(IDNMaps[[#This Row],[Type]],RecordCount[],2,0)),VLOOKUP(IDNMaps[[#This Row],[Type]],RecordCount[],8,0),0),"")</f>
        <v>46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4" s="6">
        <f ca="1">IF(IDNMaps[[#This Row],[Type]]="","",COUNTIF($K$1:IDNMaps[[#This Row],[Type]],IDNMaps[[#This Row],[Type]]))</f>
        <v>47</v>
      </c>
      <c r="M84" s="6" t="str">
        <f ca="1">IFERROR(VLOOKUP(IDNMaps[[#This Row],[Type]],RecordCount[],6,0)&amp;"-"&amp;IDNMaps[[#This Row],[Type Count]],"")</f>
        <v>Resource Relations-47</v>
      </c>
      <c r="N84" s="6" t="str">
        <f ca="1">IFERROR(VLOOKUP(IDNMaps[[#This Row],[Primary]],INDIRECT(VLOOKUP(IDNMaps[[#This Row],[Type]],RecordCount[],2,0)),VLOOKUP(IDNMaps[[#This Row],[Type]],RecordCount[],7,0),0),"")</f>
        <v>ResourceDashboardSection/Items</v>
      </c>
      <c r="O84" s="6" t="str">
        <f ca="1">IF(IDNMaps[[#This Row],[Name]]="","","("&amp;IDNMaps[[#This Row],[Type]]&amp;") "&amp;IDNMaps[[#This Row],[Name]])</f>
        <v>(Relation) ResourceDashboardSection/Items</v>
      </c>
      <c r="P84" s="6">
        <f ca="1">IFERROR(VLOOKUP(IDNMaps[[#This Row],[Primary]],INDIRECT(VLOOKUP(IDNMaps[[#This Row],[Type]],RecordCount[],2,0)),VLOOKUP(IDNMaps[[#This Row],[Type]],RecordCount[],8,0),0),"")</f>
        <v>47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5" s="6">
        <f ca="1">IF(IDNMaps[[#This Row],[Type]]="","",COUNTIF($K$1:IDNMaps[[#This Row],[Type]],IDNMaps[[#This Row],[Type]]))</f>
        <v>48</v>
      </c>
      <c r="M85" s="6" t="str">
        <f ca="1">IFERROR(VLOOKUP(IDNMaps[[#This Row],[Type]],RecordCount[],6,0)&amp;"-"&amp;IDNMaps[[#This Row],[Type Count]],"")</f>
        <v>Resource Relations-48</v>
      </c>
      <c r="N85" s="6" t="str">
        <f ca="1">IFERROR(VLOOKUP(IDNMaps[[#This Row],[Primary]],INDIRECT(VLOOKUP(IDNMaps[[#This Row],[Type]],RecordCount[],2,0)),VLOOKUP(IDNMaps[[#This Row],[Type]],RecordCount[],7,0),0),"")</f>
        <v>ResourceDashboard/Resource</v>
      </c>
      <c r="O85" s="6" t="str">
        <f ca="1">IF(IDNMaps[[#This Row],[Name]]="","","("&amp;IDNMaps[[#This Row],[Type]]&amp;") "&amp;IDNMaps[[#This Row],[Name]])</f>
        <v>(Relation) ResourceDashboard/Resource</v>
      </c>
      <c r="P85" s="6">
        <f ca="1">IFERROR(VLOOKUP(IDNMaps[[#This Row],[Primary]],INDIRECT(VLOOKUP(IDNMaps[[#This Row],[Type]],RecordCount[],2,0)),VLOOKUP(IDNMaps[[#This Row],[Type]],RecordCount[],8,0),0),"")</f>
        <v>48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6" s="6">
        <f ca="1">IF(IDNMaps[[#This Row],[Type]]="","",COUNTIF($K$1:IDNMaps[[#This Row],[Type]],IDNMaps[[#This Row],[Type]]))</f>
        <v>49</v>
      </c>
      <c r="M86" s="6" t="str">
        <f ca="1">IFERROR(VLOOKUP(IDNMaps[[#This Row],[Type]],RecordCount[],6,0)&amp;"-"&amp;IDNMaps[[#This Row],[Type Count]],"")</f>
        <v>Resource Relations-49</v>
      </c>
      <c r="N86" s="6" t="str">
        <f ca="1">IFERROR(VLOOKUP(IDNMaps[[#This Row],[Primary]],INDIRECT(VLOOKUP(IDNMaps[[#This Row],[Type]],RecordCount[],2,0)),VLOOKUP(IDNMaps[[#This Row],[Type]],RecordCount[],7,0),0),"")</f>
        <v>ResourceFormField/Dynamics</v>
      </c>
      <c r="O86" s="6" t="str">
        <f ca="1">IF(IDNMaps[[#This Row],[Name]]="","","("&amp;IDNMaps[[#This Row],[Type]]&amp;") "&amp;IDNMaps[[#This Row],[Name]])</f>
        <v>(Relation) ResourceFormField/Dynamics</v>
      </c>
      <c r="P86" s="6">
        <f ca="1">IFERROR(VLOOKUP(IDNMaps[[#This Row],[Primary]],INDIRECT(VLOOKUP(IDNMaps[[#This Row],[Type]],RecordCount[],2,0)),VLOOKUP(IDNMaps[[#This Row],[Type]],RecordCount[],8,0),0),"")</f>
        <v>49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7" s="6">
        <f ca="1">IF(IDNMaps[[#This Row],[Type]]="","",COUNTIF($K$1:IDNMaps[[#This Row],[Type]],IDNMaps[[#This Row],[Type]]))</f>
        <v>50</v>
      </c>
      <c r="M87" s="6" t="str">
        <f ca="1">IFERROR(VLOOKUP(IDNMaps[[#This Row],[Type]],RecordCount[],6,0)&amp;"-"&amp;IDNMaps[[#This Row],[Type Count]],"")</f>
        <v>Resource Relations-50</v>
      </c>
      <c r="N87" s="6" t="str">
        <f ca="1">IFERROR(VLOOKUP(IDNMaps[[#This Row],[Primary]],INDIRECT(VLOOKUP(IDNMaps[[#This Row],[Type]],RecordCount[],2,0)),VLOOKUP(IDNMaps[[#This Row],[Type]],RecordCount[],7,0),0),"")</f>
        <v>ResourceData/Scopes</v>
      </c>
      <c r="O87" s="6" t="str">
        <f ca="1">IF(IDNMaps[[#This Row],[Name]]="","","("&amp;IDNMaps[[#This Row],[Type]]&amp;") "&amp;IDNMaps[[#This Row],[Name]])</f>
        <v>(Relation) ResourceData/Scopes</v>
      </c>
      <c r="P87" s="6">
        <f ca="1">IFERROR(VLOOKUP(IDNMaps[[#This Row],[Primary]],INDIRECT(VLOOKUP(IDNMaps[[#This Row],[Type]],RecordCount[],2,0)),VLOOKUP(IDNMaps[[#This Row],[Type]],RecordCount[],8,0),0),"")</f>
        <v>50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8" s="6">
        <f ca="1">IF(IDNMaps[[#This Row],[Type]]="","",COUNTIF($K$1:IDNMaps[[#This Row],[Type]],IDNMaps[[#This Row],[Type]]))</f>
        <v>51</v>
      </c>
      <c r="M88" s="6" t="str">
        <f ca="1">IFERROR(VLOOKUP(IDNMaps[[#This Row],[Type]],RecordCount[],6,0)&amp;"-"&amp;IDNMaps[[#This Row],[Type Count]],"")</f>
        <v>Resource Relations-51</v>
      </c>
      <c r="N88" s="6" t="str">
        <f ca="1">IFERROR(VLOOKUP(IDNMaps[[#This Row],[Primary]],INDIRECT(VLOOKUP(IDNMaps[[#This Row],[Type]],RecordCount[],2,0)),VLOOKUP(IDNMaps[[#This Row],[Type]],RecordCount[],7,0),0),"")</f>
        <v>ResourceList/Actions</v>
      </c>
      <c r="O88" s="6" t="str">
        <f ca="1">IF(IDNMaps[[#This Row],[Name]]="","","("&amp;IDNMaps[[#This Row],[Type]]&amp;") "&amp;IDNMaps[[#This Row],[Name]])</f>
        <v>(Relation) ResourceList/Actions</v>
      </c>
      <c r="P88" s="6">
        <f ca="1">IFERROR(VLOOKUP(IDNMaps[[#This Row],[Primary]],INDIRECT(VLOOKUP(IDNMaps[[#This Row],[Type]],RecordCount[],2,0)),VLOOKUP(IDNMaps[[#This Row],[Type]],RecordCount[],8,0),0),"")</f>
        <v>51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9" s="6">
        <f ca="1">IF(IDNMaps[[#This Row],[Type]]="","",COUNTIF($K$1:IDNMaps[[#This Row],[Type]],IDNMaps[[#This Row],[Type]]))</f>
        <v>52</v>
      </c>
      <c r="M89" s="6" t="str">
        <f ca="1">IFERROR(VLOOKUP(IDNMaps[[#This Row],[Type]],RecordCount[],6,0)&amp;"-"&amp;IDNMaps[[#This Row],[Type Count]],"")</f>
        <v>Resource Relations-52</v>
      </c>
      <c r="N89" s="6" t="str">
        <f ca="1">IFERROR(VLOOKUP(IDNMaps[[#This Row],[Primary]],INDIRECT(VLOOKUP(IDNMaps[[#This Row],[Type]],RecordCount[],2,0)),VLOOKUP(IDNMaps[[#This Row],[Type]],RecordCount[],7,0),0),"")</f>
        <v>ResourceData/Actions</v>
      </c>
      <c r="O89" s="6" t="str">
        <f ca="1">IF(IDNMaps[[#This Row],[Name]]="","","("&amp;IDNMaps[[#This Row],[Type]]&amp;") "&amp;IDNMaps[[#This Row],[Name]])</f>
        <v>(Relation) ResourceData/Actions</v>
      </c>
      <c r="P89" s="6">
        <f ca="1">IFERROR(VLOOKUP(IDNMaps[[#This Row],[Primary]],INDIRECT(VLOOKUP(IDNMaps[[#This Row],[Type]],RecordCount[],2,0)),VLOOKUP(IDNMaps[[#This Row],[Type]],RecordCount[],8,0),0),"")</f>
        <v>52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0" s="6">
        <f ca="1">IF(IDNMaps[[#This Row],[Type]]="","",COUNTIF($K$1:IDNMaps[[#This Row],[Type]],IDNMaps[[#This Row],[Type]]))</f>
        <v>53</v>
      </c>
      <c r="M90" s="6" t="str">
        <f ca="1">IFERROR(VLOOKUP(IDNMaps[[#This Row],[Type]],RecordCount[],6,0)&amp;"-"&amp;IDNMaps[[#This Row],[Type Count]],"")</f>
        <v>Resource Relations-53</v>
      </c>
      <c r="N90" s="6" t="str">
        <f ca="1">IFERROR(VLOOKUP(IDNMaps[[#This Row],[Primary]],INDIRECT(VLOOKUP(IDNMaps[[#This Row],[Type]],RecordCount[],2,0)),VLOOKUP(IDNMaps[[#This Row],[Type]],RecordCount[],7,0),0),"")</f>
        <v>ResourceFormFieldDepend/Field</v>
      </c>
      <c r="O90" s="6" t="str">
        <f ca="1">IF(IDNMaps[[#This Row],[Name]]="","","("&amp;IDNMaps[[#This Row],[Type]]&amp;") "&amp;IDNMaps[[#This Row],[Name]])</f>
        <v>(Relation) ResourceFormFieldDepend/Field</v>
      </c>
      <c r="P90" s="6">
        <f ca="1">IFERROR(VLOOKUP(IDNMaps[[#This Row],[Primary]],INDIRECT(VLOOKUP(IDNMaps[[#This Row],[Type]],RecordCount[],2,0)),VLOOKUP(IDNMaps[[#This Row],[Type]],RecordCount[],8,0),0),"")</f>
        <v>53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1" s="6">
        <f ca="1">IF(IDNMaps[[#This Row],[Type]]="","",COUNTIF($K$1:IDNMaps[[#This Row],[Type]],IDNMaps[[#This Row],[Type]]))</f>
        <v>54</v>
      </c>
      <c r="M91" s="6" t="str">
        <f ca="1">IFERROR(VLOOKUP(IDNMaps[[#This Row],[Type]],RecordCount[],6,0)&amp;"-"&amp;IDNMaps[[#This Row],[Type Count]],"")</f>
        <v>Resource Relations-54</v>
      </c>
      <c r="N91" s="6" t="str">
        <f ca="1">IFERROR(VLOOKUP(IDNMaps[[#This Row],[Primary]],INDIRECT(VLOOKUP(IDNMaps[[#This Row],[Type]],RecordCount[],2,0)),VLOOKUP(IDNMaps[[#This Row],[Type]],RecordCount[],7,0),0),"")</f>
        <v>Resource/Lists</v>
      </c>
      <c r="O91" s="6" t="str">
        <f ca="1">IF(IDNMaps[[#This Row],[Name]]="","","("&amp;IDNMaps[[#This Row],[Type]]&amp;") "&amp;IDNMaps[[#This Row],[Name]])</f>
        <v>(Relation) Resource/Lists</v>
      </c>
      <c r="P91" s="6">
        <f ca="1">IFERROR(VLOOKUP(IDNMaps[[#This Row],[Primary]],INDIRECT(VLOOKUP(IDNMaps[[#This Row],[Type]],RecordCount[],2,0)),VLOOKUP(IDNMaps[[#This Row],[Type]],RecordCount[],8,0),0),"")</f>
        <v>54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2" s="6">
        <f ca="1">IF(IDNMaps[[#This Row],[Type]]="","",COUNTIF($K$1:IDNMaps[[#This Row],[Type]],IDNMaps[[#This Row],[Type]]))</f>
        <v>55</v>
      </c>
      <c r="M92" s="6" t="str">
        <f ca="1">IFERROR(VLOOKUP(IDNMaps[[#This Row],[Type]],RecordCount[],6,0)&amp;"-"&amp;IDNMaps[[#This Row],[Type Count]],"")</f>
        <v>Resource Relations-55</v>
      </c>
      <c r="N92" s="6" t="str">
        <f ca="1">IFERROR(VLOOKUP(IDNMaps[[#This Row],[Primary]],INDIRECT(VLOOKUP(IDNMaps[[#This Row],[Type]],RecordCount[],2,0)),VLOOKUP(IDNMaps[[#This Row],[Type]],RecordCount[],7,0),0),"")</f>
        <v>Resource/Data</v>
      </c>
      <c r="O92" s="6" t="str">
        <f ca="1">IF(IDNMaps[[#This Row],[Name]]="","","("&amp;IDNMaps[[#This Row],[Type]]&amp;") "&amp;IDNMaps[[#This Row],[Name]])</f>
        <v>(Relation) Resource/Data</v>
      </c>
      <c r="P92" s="6">
        <f ca="1">IFERROR(VLOOKUP(IDNMaps[[#This Row],[Primary]],INDIRECT(VLOOKUP(IDNMaps[[#This Row],[Type]],RecordCount[],2,0)),VLOOKUP(IDNMaps[[#This Row],[Type]],RecordCount[],8,0),0),"")</f>
        <v>55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3" s="6">
        <f ca="1">IF(IDNMaps[[#This Row],[Type]]="","",COUNTIF($K$1:IDNMaps[[#This Row],[Type]],IDNMaps[[#This Row],[Type]]))</f>
        <v>56</v>
      </c>
      <c r="M93" s="6" t="str">
        <f ca="1">IFERROR(VLOOKUP(IDNMaps[[#This Row],[Type]],RecordCount[],6,0)&amp;"-"&amp;IDNMaps[[#This Row],[Type Count]],"")</f>
        <v>Resource Relations-56</v>
      </c>
      <c r="N93" s="6" t="str">
        <f ca="1">IFERROR(VLOOKUP(IDNMaps[[#This Row],[Primary]],INDIRECT(VLOOKUP(IDNMaps[[#This Row],[Type]],RecordCount[],2,0)),VLOOKUP(IDNMaps[[#This Row],[Type]],RecordCount[],7,0),0),"")</f>
        <v>ResourceForm/Layout</v>
      </c>
      <c r="O93" s="6" t="str">
        <f ca="1">IF(IDNMaps[[#This Row],[Name]]="","","("&amp;IDNMaps[[#This Row],[Type]]&amp;") "&amp;IDNMaps[[#This Row],[Name]])</f>
        <v>(Relation) ResourceForm/Layout</v>
      </c>
      <c r="P93" s="6">
        <f ca="1">IFERROR(VLOOKUP(IDNMaps[[#This Row],[Primary]],INDIRECT(VLOOKUP(IDNMaps[[#This Row],[Type]],RecordCount[],2,0)),VLOOKUP(IDNMaps[[#This Row],[Type]],RecordCount[],8,0),0),"")</f>
        <v>56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4" s="6">
        <f ca="1">IF(IDNMaps[[#This Row],[Type]]="","",COUNTIF($K$1:IDNMaps[[#This Row],[Type]],IDNMaps[[#This Row],[Type]]))</f>
        <v>57</v>
      </c>
      <c r="M94" s="6" t="str">
        <f ca="1">IFERROR(VLOOKUP(IDNMaps[[#This Row],[Type]],RecordCount[],6,0)&amp;"-"&amp;IDNMaps[[#This Row],[Type Count]],"")</f>
        <v>Resource Relations-57</v>
      </c>
      <c r="N94" s="6" t="str">
        <f ca="1">IFERROR(VLOOKUP(IDNMaps[[#This Row],[Primary]],INDIRECT(VLOOKUP(IDNMaps[[#This Row],[Type]],RecordCount[],2,0)),VLOOKUP(IDNMaps[[#This Row],[Type]],RecordCount[],7,0),0),"")</f>
        <v>ResourceDataViewSection/Items</v>
      </c>
      <c r="O94" s="6" t="str">
        <f ca="1">IF(IDNMaps[[#This Row],[Name]]="","","("&amp;IDNMaps[[#This Row],[Type]]&amp;") "&amp;IDNMaps[[#This Row],[Name]])</f>
        <v>(Relation) ResourceDataViewSection/Items</v>
      </c>
      <c r="P94" s="6">
        <f ca="1">IFERROR(VLOOKUP(IDNMaps[[#This Row],[Primary]],INDIRECT(VLOOKUP(IDNMaps[[#This Row],[Type]],RecordCount[],2,0)),VLOOKUP(IDNMaps[[#This Row],[Type]],RecordCount[],8,0),0),"")</f>
        <v>57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5" s="6">
        <f ca="1">IF(IDNMaps[[#This Row],[Type]]="","",COUNTIF($K$1:IDNMaps[[#This Row],[Type]],IDNMaps[[#This Row],[Type]]))</f>
        <v>58</v>
      </c>
      <c r="M95" s="6" t="str">
        <f ca="1">IFERROR(VLOOKUP(IDNMaps[[#This Row],[Type]],RecordCount[],6,0)&amp;"-"&amp;IDNMaps[[#This Row],[Type Count]],"")</f>
        <v>Resource Relations-58</v>
      </c>
      <c r="N95" s="6" t="str">
        <f ca="1">IFERROR(VLOOKUP(IDNMaps[[#This Row],[Primary]],INDIRECT(VLOOKUP(IDNMaps[[#This Row],[Type]],RecordCount[],2,0)),VLOOKUP(IDNMaps[[#This Row],[Type]],RecordCount[],7,0),0),"")</f>
        <v>ResourceFormLayout/Form</v>
      </c>
      <c r="O95" s="6" t="str">
        <f ca="1">IF(IDNMaps[[#This Row],[Name]]="","","("&amp;IDNMaps[[#This Row],[Type]]&amp;") "&amp;IDNMaps[[#This Row],[Name]])</f>
        <v>(Relation) ResourceFormLayout/Form</v>
      </c>
      <c r="P95" s="6">
        <f ca="1">IFERROR(VLOOKUP(IDNMaps[[#This Row],[Primary]],INDIRECT(VLOOKUP(IDNMaps[[#This Row],[Type]],RecordCount[],2,0)),VLOOKUP(IDNMaps[[#This Row],[Type]],RecordCount[],8,0),0),"")</f>
        <v>58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6" s="6">
        <f ca="1">IF(IDNMaps[[#This Row],[Type]]="","",COUNTIF($K$1:IDNMaps[[#This Row],[Type]],IDNMaps[[#This Row],[Type]]))</f>
        <v>59</v>
      </c>
      <c r="M96" s="6" t="str">
        <f ca="1">IFERROR(VLOOKUP(IDNMaps[[#This Row],[Type]],RecordCount[],6,0)&amp;"-"&amp;IDNMaps[[#This Row],[Type Count]],"")</f>
        <v>Resource Relations-59</v>
      </c>
      <c r="N96" s="6" t="str">
        <f ca="1">IFERROR(VLOOKUP(IDNMaps[[#This Row],[Primary]],INDIRECT(VLOOKUP(IDNMaps[[#This Row],[Type]],RecordCount[],2,0)),VLOOKUP(IDNMaps[[#This Row],[Type]],RecordCount[],7,0),0),"")</f>
        <v>ResourceFormLayout/Field</v>
      </c>
      <c r="O96" s="6" t="str">
        <f ca="1">IF(IDNMaps[[#This Row],[Name]]="","","("&amp;IDNMaps[[#This Row],[Type]]&amp;") "&amp;IDNMaps[[#This Row],[Name]])</f>
        <v>(Relation) ResourceFormLayout/Field</v>
      </c>
      <c r="P96" s="6">
        <f ca="1">IFERROR(VLOOKUP(IDNMaps[[#This Row],[Primary]],INDIRECT(VLOOKUP(IDNMaps[[#This Row],[Type]],RecordCount[],2,0)),VLOOKUP(IDNMaps[[#This Row],[Type]],RecordCount[],8,0),0),"")</f>
        <v>59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7" s="6">
        <f ca="1">IF(IDNMaps[[#This Row],[Type]]="","",COUNTIF($K$1:IDNMaps[[#This Row],[Type]],IDNMaps[[#This Row],[Type]]))</f>
        <v>60</v>
      </c>
      <c r="M97" s="6" t="str">
        <f ca="1">IFERROR(VLOOKUP(IDNMaps[[#This Row],[Type]],RecordCount[],6,0)&amp;"-"&amp;IDNMaps[[#This Row],[Type Count]],"")</f>
        <v>Resource Relations-60</v>
      </c>
      <c r="N97" s="6" t="str">
        <f ca="1">IFERROR(VLOOKUP(IDNMaps[[#This Row],[Primary]],INDIRECT(VLOOKUP(IDNMaps[[#This Row],[Type]],RecordCount[],2,0)),VLOOKUP(IDNMaps[[#This Row],[Type]],RecordCount[],7,0),0),"")</f>
        <v>ResourceFormCollection/Field</v>
      </c>
      <c r="O97" s="6" t="str">
        <f ca="1">IF(IDNMaps[[#This Row],[Name]]="","","("&amp;IDNMaps[[#This Row],[Type]]&amp;") "&amp;IDNMaps[[#This Row],[Name]])</f>
        <v>(Relation) ResourceFormCollection/Field</v>
      </c>
      <c r="P97" s="6">
        <f ca="1">IFERROR(VLOOKUP(IDNMaps[[#This Row],[Primary]],INDIRECT(VLOOKUP(IDNMaps[[#This Row],[Type]],RecordCount[],2,0)),VLOOKUP(IDNMaps[[#This Row],[Type]],RecordCount[],8,0),0),"")</f>
        <v>60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8" s="6">
        <f ca="1">IF(IDNMaps[[#This Row],[Type]]="","",COUNTIF($K$1:IDNMaps[[#This Row],[Type]],IDNMaps[[#This Row],[Type]]))</f>
        <v>61</v>
      </c>
      <c r="M98" s="6" t="str">
        <f ca="1">IFERROR(VLOOKUP(IDNMaps[[#This Row],[Type]],RecordCount[],6,0)&amp;"-"&amp;IDNMaps[[#This Row],[Type Count]],"")</f>
        <v>Resource Relations-61</v>
      </c>
      <c r="N98" s="6" t="str">
        <f ca="1">IFERROR(VLOOKUP(IDNMaps[[#This Row],[Primary]],INDIRECT(VLOOKUP(IDNMaps[[#This Row],[Type]],RecordCount[],2,0)),VLOOKUP(IDNMaps[[#This Row],[Type]],RecordCount[],7,0),0),"")</f>
        <v>ResourceListRelation/List</v>
      </c>
      <c r="O98" s="6" t="str">
        <f ca="1">IF(IDNMaps[[#This Row],[Name]]="","","("&amp;IDNMaps[[#This Row],[Type]]&amp;") "&amp;IDNMaps[[#This Row],[Name]])</f>
        <v>(Relation) ResourceListRelation/List</v>
      </c>
      <c r="P98" s="6">
        <f ca="1">IFERROR(VLOOKUP(IDNMaps[[#This Row],[Primary]],INDIRECT(VLOOKUP(IDNMaps[[#This Row],[Type]],RecordCount[],2,0)),VLOOKUP(IDNMaps[[#This Row],[Type]],RecordCount[],8,0),0),"")</f>
        <v>61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9" s="6">
        <f ca="1">IF(IDNMaps[[#This Row],[Type]]="","",COUNTIF($K$1:IDNMaps[[#This Row],[Type]],IDNMaps[[#This Row],[Type]]))</f>
        <v>62</v>
      </c>
      <c r="M99" s="6" t="str">
        <f ca="1">IFERROR(VLOOKUP(IDNMaps[[#This Row],[Type]],RecordCount[],6,0)&amp;"-"&amp;IDNMaps[[#This Row],[Type Count]],"")</f>
        <v>Resource Relations-62</v>
      </c>
      <c r="N99" s="6" t="str">
        <f ca="1">IFERROR(VLOOKUP(IDNMaps[[#This Row],[Primary]],INDIRECT(VLOOKUP(IDNMaps[[#This Row],[Type]],RecordCount[],2,0)),VLOOKUP(IDNMaps[[#This Row],[Type]],RecordCount[],7,0),0),"")</f>
        <v>ResourceListRelation/Relation</v>
      </c>
      <c r="O99" s="6" t="str">
        <f ca="1">IF(IDNMaps[[#This Row],[Name]]="","","("&amp;IDNMaps[[#This Row],[Type]]&amp;") "&amp;IDNMaps[[#This Row],[Name]])</f>
        <v>(Relation) ResourceListRelation/Relation</v>
      </c>
      <c r="P99" s="6">
        <f ca="1">IFERROR(VLOOKUP(IDNMaps[[#This Row],[Primary]],INDIRECT(VLOOKUP(IDNMaps[[#This Row],[Type]],RecordCount[],2,0)),VLOOKUP(IDNMaps[[#This Row],[Type]],RecordCount[],8,0),0),"")</f>
        <v>62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0" s="6">
        <f ca="1">IF(IDNMaps[[#This Row],[Type]]="","",COUNTIF($K$1:IDNMaps[[#This Row],[Type]],IDNMaps[[#This Row],[Type]]))</f>
        <v>63</v>
      </c>
      <c r="M100" s="6" t="str">
        <f ca="1">IFERROR(VLOOKUP(IDNMaps[[#This Row],[Type]],RecordCount[],6,0)&amp;"-"&amp;IDNMaps[[#This Row],[Type Count]],"")</f>
        <v>Resource Relations-63</v>
      </c>
      <c r="N100" s="6" t="str">
        <f ca="1">IFERROR(VLOOKUP(IDNMaps[[#This Row],[Primary]],INDIRECT(VLOOKUP(IDNMaps[[#This Row],[Type]],RecordCount[],2,0)),VLOOKUP(IDNMaps[[#This Row],[Type]],RecordCount[],7,0),0),"")</f>
        <v>ResourceListRelation/NRelation</v>
      </c>
      <c r="O100" s="6" t="str">
        <f ca="1">IF(IDNMaps[[#This Row],[Name]]="","","("&amp;IDNMaps[[#This Row],[Type]]&amp;") "&amp;IDNMaps[[#This Row],[Name]])</f>
        <v>(Relation) ResourceListRelation/NRelation</v>
      </c>
      <c r="P100" s="6">
        <f ca="1">IFERROR(VLOOKUP(IDNMaps[[#This Row],[Primary]],INDIRECT(VLOOKUP(IDNMaps[[#This Row],[Type]],RecordCount[],2,0)),VLOOKUP(IDNMaps[[#This Row],[Type]],RecordCount[],8,0),0),"")</f>
        <v>63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1" s="6">
        <f ca="1">IF(IDNMaps[[#This Row],[Type]]="","",COUNTIF($K$1:IDNMaps[[#This Row],[Type]],IDNMaps[[#This Row],[Type]]))</f>
        <v>64</v>
      </c>
      <c r="M101" s="6" t="str">
        <f ca="1">IFERROR(VLOOKUP(IDNMaps[[#This Row],[Type]],RecordCount[],6,0)&amp;"-"&amp;IDNMaps[[#This Row],[Type Count]],"")</f>
        <v>Resource Relations-64</v>
      </c>
      <c r="N101" s="6" t="str">
        <f ca="1">IFERROR(VLOOKUP(IDNMaps[[#This Row],[Primary]],INDIRECT(VLOOKUP(IDNMaps[[#This Row],[Type]],RecordCount[],2,0)),VLOOKUP(IDNMaps[[#This Row],[Type]],RecordCount[],7,0),0),"")</f>
        <v>ResourceListScope/List</v>
      </c>
      <c r="O101" s="6" t="str">
        <f ca="1">IF(IDNMaps[[#This Row],[Name]]="","","("&amp;IDNMaps[[#This Row],[Type]]&amp;") "&amp;IDNMaps[[#This Row],[Name]])</f>
        <v>(Relation) ResourceListScope/List</v>
      </c>
      <c r="P101" s="6">
        <f ca="1">IFERROR(VLOOKUP(IDNMaps[[#This Row],[Primary]],INDIRECT(VLOOKUP(IDNMaps[[#This Row],[Type]],RecordCount[],2,0)),VLOOKUP(IDNMaps[[#This Row],[Type]],RecordCount[],8,0),0),"")</f>
        <v>64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2" s="6">
        <f ca="1">IF(IDNMaps[[#This Row],[Type]]="","",COUNTIF($K$1:IDNMaps[[#This Row],[Type]],IDNMaps[[#This Row],[Type]]))</f>
        <v>65</v>
      </c>
      <c r="M102" s="6" t="str">
        <f ca="1">IFERROR(VLOOKUP(IDNMaps[[#This Row],[Type]],RecordCount[],6,0)&amp;"-"&amp;IDNMaps[[#This Row],[Type Count]],"")</f>
        <v>Resource Relations-65</v>
      </c>
      <c r="N102" s="6" t="str">
        <f ca="1">IFERROR(VLOOKUP(IDNMaps[[#This Row],[Primary]],INDIRECT(VLOOKUP(IDNMaps[[#This Row],[Type]],RecordCount[],2,0)),VLOOKUP(IDNMaps[[#This Row],[Type]],RecordCount[],7,0),0),"")</f>
        <v>ResourceListScope/Scope</v>
      </c>
      <c r="O102" s="6" t="str">
        <f ca="1">IF(IDNMaps[[#This Row],[Name]]="","","("&amp;IDNMaps[[#This Row],[Type]]&amp;") "&amp;IDNMaps[[#This Row],[Name]])</f>
        <v>(Relation) ResourceListScope/Scope</v>
      </c>
      <c r="P102" s="6">
        <f ca="1">IFERROR(VLOOKUP(IDNMaps[[#This Row],[Primary]],INDIRECT(VLOOKUP(IDNMaps[[#This Row],[Type]],RecordCount[],2,0)),VLOOKUP(IDNMaps[[#This Row],[Type]],RecordCount[],8,0),0),"")</f>
        <v>65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3" s="6">
        <f ca="1">IF(IDNMaps[[#This Row],[Type]]="","",COUNTIF($K$1:IDNMaps[[#This Row],[Type]],IDNMaps[[#This Row],[Type]]))</f>
        <v>66</v>
      </c>
      <c r="M103" s="6" t="str">
        <f ca="1">IFERROR(VLOOKUP(IDNMaps[[#This Row],[Type]],RecordCount[],6,0)&amp;"-"&amp;IDNMaps[[#This Row],[Type Count]],"")</f>
        <v>Resource Relations-66</v>
      </c>
      <c r="N103" s="6" t="str">
        <f ca="1">IFERROR(VLOOKUP(IDNMaps[[#This Row],[Primary]],INDIRECT(VLOOKUP(IDNMaps[[#This Row],[Type]],RecordCount[],2,0)),VLOOKUP(IDNMaps[[#This Row],[Type]],RecordCount[],7,0),0),"")</f>
        <v>ResourceListLayout/List</v>
      </c>
      <c r="O103" s="6" t="str">
        <f ca="1">IF(IDNMaps[[#This Row],[Name]]="","","("&amp;IDNMaps[[#This Row],[Type]]&amp;") "&amp;IDNMaps[[#This Row],[Name]])</f>
        <v>(Relation) ResourceListLayout/List</v>
      </c>
      <c r="P103" s="6">
        <f ca="1">IFERROR(VLOOKUP(IDNMaps[[#This Row],[Primary]],INDIRECT(VLOOKUP(IDNMaps[[#This Row],[Type]],RecordCount[],2,0)),VLOOKUP(IDNMaps[[#This Row],[Type]],RecordCount[],8,0),0),"")</f>
        <v>66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4" s="6">
        <f ca="1">IF(IDNMaps[[#This Row],[Type]]="","",COUNTIF($K$1:IDNMaps[[#This Row],[Type]],IDNMaps[[#This Row],[Type]]))</f>
        <v>67</v>
      </c>
      <c r="M104" s="6" t="str">
        <f ca="1">IFERROR(VLOOKUP(IDNMaps[[#This Row],[Type]],RecordCount[],6,0)&amp;"-"&amp;IDNMaps[[#This Row],[Type Count]],"")</f>
        <v>Resource Relations-67</v>
      </c>
      <c r="N104" s="6" t="str">
        <f ca="1">IFERROR(VLOOKUP(IDNMaps[[#This Row],[Primary]],INDIRECT(VLOOKUP(IDNMaps[[#This Row],[Type]],RecordCount[],2,0)),VLOOKUP(IDNMaps[[#This Row],[Type]],RecordCount[],7,0),0),"")</f>
        <v>ResourceListLayout/Relation</v>
      </c>
      <c r="O104" s="6" t="str">
        <f ca="1">IF(IDNMaps[[#This Row],[Name]]="","","("&amp;IDNMaps[[#This Row],[Type]]&amp;") "&amp;IDNMaps[[#This Row],[Name]])</f>
        <v>(Relation) ResourceListLayout/Relation</v>
      </c>
      <c r="P104" s="6">
        <f ca="1">IFERROR(VLOOKUP(IDNMaps[[#This Row],[Primary]],INDIRECT(VLOOKUP(IDNMaps[[#This Row],[Type]],RecordCount[],2,0)),VLOOKUP(IDNMaps[[#This Row],[Type]],RecordCount[],8,0),0),"")</f>
        <v>67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5" s="6">
        <f ca="1">IF(IDNMaps[[#This Row],[Type]]="","",COUNTIF($K$1:IDNMaps[[#This Row],[Type]],IDNMaps[[#This Row],[Type]]))</f>
        <v>68</v>
      </c>
      <c r="M105" s="6" t="str">
        <f ca="1">IFERROR(VLOOKUP(IDNMaps[[#This Row],[Type]],RecordCount[],6,0)&amp;"-"&amp;IDNMaps[[#This Row],[Type Count]],"")</f>
        <v>Resource Relations-68</v>
      </c>
      <c r="N105" s="6" t="str">
        <f ca="1">IFERROR(VLOOKUP(IDNMaps[[#This Row],[Primary]],INDIRECT(VLOOKUP(IDNMaps[[#This Row],[Type]],RecordCount[],2,0)),VLOOKUP(IDNMaps[[#This Row],[Type]],RecordCount[],7,0),0),"")</f>
        <v>ResourceListSearch/List</v>
      </c>
      <c r="O105" s="6" t="str">
        <f ca="1">IF(IDNMaps[[#This Row],[Name]]="","","("&amp;IDNMaps[[#This Row],[Type]]&amp;") "&amp;IDNMaps[[#This Row],[Name]])</f>
        <v>(Relation) ResourceListSearch/List</v>
      </c>
      <c r="P105" s="6">
        <f ca="1">IFERROR(VLOOKUP(IDNMaps[[#This Row],[Primary]],INDIRECT(VLOOKUP(IDNMaps[[#This Row],[Type]],RecordCount[],2,0)),VLOOKUP(IDNMaps[[#This Row],[Type]],RecordCount[],8,0),0),"")</f>
        <v>68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6" s="6">
        <f ca="1">IF(IDNMaps[[#This Row],[Type]]="","",COUNTIF($K$1:IDNMaps[[#This Row],[Type]],IDNMaps[[#This Row],[Type]]))</f>
        <v>69</v>
      </c>
      <c r="M106" s="6" t="str">
        <f ca="1">IFERROR(VLOOKUP(IDNMaps[[#This Row],[Type]],RecordCount[],6,0)&amp;"-"&amp;IDNMaps[[#This Row],[Type Count]],"")</f>
        <v>Resource Relations-69</v>
      </c>
      <c r="N106" s="6" t="str">
        <f ca="1">IFERROR(VLOOKUP(IDNMaps[[#This Row],[Primary]],INDIRECT(VLOOKUP(IDNMaps[[#This Row],[Type]],RecordCount[],2,0)),VLOOKUP(IDNMaps[[#This Row],[Type]],RecordCount[],7,0),0),"")</f>
        <v>ResourceListSearch/Relation</v>
      </c>
      <c r="O106" s="6" t="str">
        <f ca="1">IF(IDNMaps[[#This Row],[Name]]="","","("&amp;IDNMaps[[#This Row],[Type]]&amp;") "&amp;IDNMaps[[#This Row],[Name]])</f>
        <v>(Relation) ResourceListSearch/Relation</v>
      </c>
      <c r="P106" s="6">
        <f ca="1">IFERROR(VLOOKUP(IDNMaps[[#This Row],[Primary]],INDIRECT(VLOOKUP(IDNMaps[[#This Row],[Type]],RecordCount[],2,0)),VLOOKUP(IDNMaps[[#This Row],[Type]],RecordCount[],8,0),0),"")</f>
        <v>69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7" s="6">
        <f ca="1">IF(IDNMaps[[#This Row],[Type]]="","",COUNTIF($K$1:IDNMaps[[#This Row],[Type]],IDNMaps[[#This Row],[Type]]))</f>
        <v>70</v>
      </c>
      <c r="M107" s="6" t="str">
        <f ca="1">IFERROR(VLOOKUP(IDNMaps[[#This Row],[Type]],RecordCount[],6,0)&amp;"-"&amp;IDNMaps[[#This Row],[Type Count]],"")</f>
        <v>Resource Relations-70</v>
      </c>
      <c r="N107" s="6" t="str">
        <f ca="1">IFERROR(VLOOKUP(IDNMaps[[#This Row],[Primary]],INDIRECT(VLOOKUP(IDNMaps[[#This Row],[Type]],RecordCount[],2,0)),VLOOKUP(IDNMaps[[#This Row],[Type]],RecordCount[],7,0),0),"")</f>
        <v>ResourceDataRelation/Data</v>
      </c>
      <c r="O107" s="6" t="str">
        <f ca="1">IF(IDNMaps[[#This Row],[Name]]="","","("&amp;IDNMaps[[#This Row],[Type]]&amp;") "&amp;IDNMaps[[#This Row],[Name]])</f>
        <v>(Relation) ResourceDataRelation/Data</v>
      </c>
      <c r="P107" s="6">
        <f ca="1">IFERROR(VLOOKUP(IDNMaps[[#This Row],[Primary]],INDIRECT(VLOOKUP(IDNMaps[[#This Row],[Type]],RecordCount[],2,0)),VLOOKUP(IDNMaps[[#This Row],[Type]],RecordCount[],8,0),0),"")</f>
        <v>70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8" s="6">
        <f ca="1">IF(IDNMaps[[#This Row],[Type]]="","",COUNTIF($K$1:IDNMaps[[#This Row],[Type]],IDNMaps[[#This Row],[Type]]))</f>
        <v>71</v>
      </c>
      <c r="M108" s="6" t="str">
        <f ca="1">IFERROR(VLOOKUP(IDNMaps[[#This Row],[Type]],RecordCount[],6,0)&amp;"-"&amp;IDNMaps[[#This Row],[Type Count]],"")</f>
        <v>Resource Relations-71</v>
      </c>
      <c r="N108" s="6" t="str">
        <f ca="1">IFERROR(VLOOKUP(IDNMaps[[#This Row],[Primary]],INDIRECT(VLOOKUP(IDNMaps[[#This Row],[Type]],RecordCount[],2,0)),VLOOKUP(IDNMaps[[#This Row],[Type]],RecordCount[],7,0),0),"")</f>
        <v>ResourceDataRelation/Relation</v>
      </c>
      <c r="O108" s="6" t="str">
        <f ca="1">IF(IDNMaps[[#This Row],[Name]]="","","("&amp;IDNMaps[[#This Row],[Type]]&amp;") "&amp;IDNMaps[[#This Row],[Name]])</f>
        <v>(Relation) ResourceDataRelation/Relation</v>
      </c>
      <c r="P108" s="6">
        <f ca="1">IFERROR(VLOOKUP(IDNMaps[[#This Row],[Primary]],INDIRECT(VLOOKUP(IDNMaps[[#This Row],[Type]],RecordCount[],2,0)),VLOOKUP(IDNMaps[[#This Row],[Type]],RecordCount[],8,0),0),"")</f>
        <v>71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9" s="6">
        <f ca="1">IF(IDNMaps[[#This Row],[Type]]="","",COUNTIF($K$1:IDNMaps[[#This Row],[Type]],IDNMaps[[#This Row],[Type]]))</f>
        <v>72</v>
      </c>
      <c r="M109" s="6" t="str">
        <f ca="1">IFERROR(VLOOKUP(IDNMaps[[#This Row],[Type]],RecordCount[],6,0)&amp;"-"&amp;IDNMaps[[#This Row],[Type Count]],"")</f>
        <v>Resource Relations-72</v>
      </c>
      <c r="N109" s="6" t="str">
        <f ca="1">IFERROR(VLOOKUP(IDNMaps[[#This Row],[Primary]],INDIRECT(VLOOKUP(IDNMaps[[#This Row],[Type]],RecordCount[],2,0)),VLOOKUP(IDNMaps[[#This Row],[Type]],RecordCount[],7,0),0),"")</f>
        <v>ResourceDataRelation/NRelation</v>
      </c>
      <c r="O109" s="6" t="str">
        <f ca="1">IF(IDNMaps[[#This Row],[Name]]="","","("&amp;IDNMaps[[#This Row],[Type]]&amp;") "&amp;IDNMaps[[#This Row],[Name]])</f>
        <v>(Relation) ResourceDataRelation/NRelation</v>
      </c>
      <c r="P109" s="6">
        <f ca="1">IFERROR(VLOOKUP(IDNMaps[[#This Row],[Primary]],INDIRECT(VLOOKUP(IDNMaps[[#This Row],[Type]],RecordCount[],2,0)),VLOOKUP(IDNMaps[[#This Row],[Type]],RecordCount[],8,0),0),"")</f>
        <v>72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0" s="6">
        <f ca="1">IF(IDNMaps[[#This Row],[Type]]="","",COUNTIF($K$1:IDNMaps[[#This Row],[Type]],IDNMaps[[#This Row],[Type]]))</f>
        <v>73</v>
      </c>
      <c r="M110" s="6" t="str">
        <f ca="1">IFERROR(VLOOKUP(IDNMaps[[#This Row],[Type]],RecordCount[],6,0)&amp;"-"&amp;IDNMaps[[#This Row],[Type Count]],"")</f>
        <v>Resource Relations-73</v>
      </c>
      <c r="N110" s="6" t="str">
        <f ca="1">IFERROR(VLOOKUP(IDNMaps[[#This Row],[Primary]],INDIRECT(VLOOKUP(IDNMaps[[#This Row],[Type]],RecordCount[],2,0)),VLOOKUP(IDNMaps[[#This Row],[Type]],RecordCount[],7,0),0),"")</f>
        <v>ResourceDataScope/Data</v>
      </c>
      <c r="O110" s="6" t="str">
        <f ca="1">IF(IDNMaps[[#This Row],[Name]]="","","("&amp;IDNMaps[[#This Row],[Type]]&amp;") "&amp;IDNMaps[[#This Row],[Name]])</f>
        <v>(Relation) ResourceDataScope/Data</v>
      </c>
      <c r="P110" s="6">
        <f ca="1">IFERROR(VLOOKUP(IDNMaps[[#This Row],[Primary]],INDIRECT(VLOOKUP(IDNMaps[[#This Row],[Type]],RecordCount[],2,0)),VLOOKUP(IDNMaps[[#This Row],[Type]],RecordCount[],8,0),0),"")</f>
        <v>73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1" s="6">
        <f ca="1">IF(IDNMaps[[#This Row],[Type]]="","",COUNTIF($K$1:IDNMaps[[#This Row],[Type]],IDNMaps[[#This Row],[Type]]))</f>
        <v>74</v>
      </c>
      <c r="M111" s="6" t="str">
        <f ca="1">IFERROR(VLOOKUP(IDNMaps[[#This Row],[Type]],RecordCount[],6,0)&amp;"-"&amp;IDNMaps[[#This Row],[Type Count]],"")</f>
        <v>Resource Relations-74</v>
      </c>
      <c r="N111" s="6" t="str">
        <f ca="1">IFERROR(VLOOKUP(IDNMaps[[#This Row],[Primary]],INDIRECT(VLOOKUP(IDNMaps[[#This Row],[Type]],RecordCount[],2,0)),VLOOKUP(IDNMaps[[#This Row],[Type]],RecordCount[],7,0),0),"")</f>
        <v>ResourceDataScope/Scope</v>
      </c>
      <c r="O111" s="6" t="str">
        <f ca="1">IF(IDNMaps[[#This Row],[Name]]="","","("&amp;IDNMaps[[#This Row],[Type]]&amp;") "&amp;IDNMaps[[#This Row],[Name]])</f>
        <v>(Relation) ResourceDataScope/Scope</v>
      </c>
      <c r="P111" s="6">
        <f ca="1">IFERROR(VLOOKUP(IDNMaps[[#This Row],[Primary]],INDIRECT(VLOOKUP(IDNMaps[[#This Row],[Type]],RecordCount[],2,0)),VLOOKUP(IDNMaps[[#This Row],[Type]],RecordCount[],8,0),0),"")</f>
        <v>74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2" s="6">
        <f ca="1">IF(IDNMaps[[#This Row],[Type]]="","",COUNTIF($K$1:IDNMaps[[#This Row],[Type]],IDNMaps[[#This Row],[Type]]))</f>
        <v>75</v>
      </c>
      <c r="M112" s="6" t="str">
        <f ca="1">IFERROR(VLOOKUP(IDNMaps[[#This Row],[Type]],RecordCount[],6,0)&amp;"-"&amp;IDNMaps[[#This Row],[Type Count]],"")</f>
        <v>Resource Relations-75</v>
      </c>
      <c r="N112" s="6" t="str">
        <f ca="1">IFERROR(VLOOKUP(IDNMaps[[#This Row],[Primary]],INDIRECT(VLOOKUP(IDNMaps[[#This Row],[Type]],RecordCount[],2,0)),VLOOKUP(IDNMaps[[#This Row],[Type]],RecordCount[],7,0),0),"")</f>
        <v>ResourceDataViewSection/Data</v>
      </c>
      <c r="O112" s="6" t="str">
        <f ca="1">IF(IDNMaps[[#This Row],[Name]]="","","("&amp;IDNMaps[[#This Row],[Type]]&amp;") "&amp;IDNMaps[[#This Row],[Name]])</f>
        <v>(Relation) ResourceDataViewSection/Data</v>
      </c>
      <c r="P112" s="6">
        <f ca="1">IFERROR(VLOOKUP(IDNMaps[[#This Row],[Primary]],INDIRECT(VLOOKUP(IDNMaps[[#This Row],[Type]],RecordCount[],2,0)),VLOOKUP(IDNMaps[[#This Row],[Type]],RecordCount[],8,0),0),"")</f>
        <v>75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3" s="6">
        <f ca="1">IF(IDNMaps[[#This Row],[Type]]="","",COUNTIF($K$1:IDNMaps[[#This Row],[Type]],IDNMaps[[#This Row],[Type]]))</f>
        <v>76</v>
      </c>
      <c r="M113" s="6" t="str">
        <f ca="1">IFERROR(VLOOKUP(IDNMaps[[#This Row],[Type]],RecordCount[],6,0)&amp;"-"&amp;IDNMaps[[#This Row],[Type Count]],"")</f>
        <v>Resource Relations-76</v>
      </c>
      <c r="N113" s="6" t="str">
        <f ca="1">IFERROR(VLOOKUP(IDNMaps[[#This Row],[Primary]],INDIRECT(VLOOKUP(IDNMaps[[#This Row],[Type]],RecordCount[],2,0)),VLOOKUP(IDNMaps[[#This Row],[Type]],RecordCount[],7,0),0),"")</f>
        <v>ResourceAction/Attrs</v>
      </c>
      <c r="O113" s="6" t="str">
        <f ca="1">IF(IDNMaps[[#This Row],[Name]]="","","("&amp;IDNMaps[[#This Row],[Type]]&amp;") "&amp;IDNMaps[[#This Row],[Name]])</f>
        <v>(Relation) ResourceAction/Attrs</v>
      </c>
      <c r="P113" s="6">
        <f ca="1">IFERROR(VLOOKUP(IDNMaps[[#This Row],[Primary]],INDIRECT(VLOOKUP(IDNMaps[[#This Row],[Type]],RecordCount[],2,0)),VLOOKUP(IDNMaps[[#This Row],[Type]],RecordCount[],8,0),0),"")</f>
        <v>76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104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76"/>
  <sheetViews>
    <sheetView workbookViewId="0">
      <selection activeCell="B73" sqref="B73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89</v>
      </c>
      <c r="B1" t="s">
        <v>14</v>
      </c>
      <c r="C1" t="s">
        <v>1</v>
      </c>
      <c r="D1" s="21" t="s">
        <v>530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39</v>
      </c>
      <c r="B3" s="1" t="s">
        <v>39</v>
      </c>
      <c r="C3" s="1"/>
      <c r="D3" s="1"/>
      <c r="E3" s="1"/>
      <c r="F3" s="1"/>
      <c r="G3" s="1"/>
      <c r="H3" s="1"/>
      <c r="I3" s="1"/>
    </row>
    <row r="4" spans="1:9">
      <c r="A4" s="5" t="s">
        <v>747</v>
      </c>
      <c r="B4" s="5" t="s">
        <v>747</v>
      </c>
      <c r="C4" s="5"/>
      <c r="D4" s="5"/>
      <c r="E4" s="5"/>
      <c r="F4" s="5"/>
      <c r="G4" s="5"/>
      <c r="H4" s="5"/>
      <c r="I4" s="5"/>
    </row>
    <row r="5" spans="1:9">
      <c r="A5" s="1" t="s">
        <v>23</v>
      </c>
      <c r="B5" s="1" t="s">
        <v>24</v>
      </c>
      <c r="C5" s="1" t="s">
        <v>23</v>
      </c>
      <c r="D5" s="1"/>
      <c r="E5" s="1" t="s">
        <v>25</v>
      </c>
      <c r="F5" s="1"/>
      <c r="G5" s="1"/>
      <c r="H5" s="1"/>
      <c r="I5" s="1"/>
    </row>
    <row r="6" spans="1:9">
      <c r="A6" s="1" t="s">
        <v>40</v>
      </c>
      <c r="B6" s="1" t="s">
        <v>41</v>
      </c>
      <c r="C6" s="1" t="s">
        <v>23</v>
      </c>
      <c r="D6" s="1"/>
      <c r="E6" s="1" t="s">
        <v>42</v>
      </c>
      <c r="F6" s="1" t="s">
        <v>43</v>
      </c>
      <c r="G6" s="1" t="s">
        <v>44</v>
      </c>
      <c r="H6" s="1" t="s">
        <v>45</v>
      </c>
      <c r="I6" s="1"/>
    </row>
    <row r="7" spans="1:9">
      <c r="A7" s="1" t="s">
        <v>26</v>
      </c>
      <c r="B7" s="1" t="s">
        <v>27</v>
      </c>
      <c r="C7" s="1" t="s">
        <v>26</v>
      </c>
      <c r="D7" s="1">
        <v>64</v>
      </c>
      <c r="E7" s="1" t="s">
        <v>25</v>
      </c>
      <c r="F7" s="1"/>
      <c r="G7" s="1"/>
      <c r="H7" s="1"/>
      <c r="I7" s="1"/>
    </row>
    <row r="8" spans="1:9">
      <c r="A8" s="2" t="s">
        <v>28</v>
      </c>
      <c r="B8" s="2" t="s">
        <v>27</v>
      </c>
      <c r="C8" s="2" t="s">
        <v>28</v>
      </c>
      <c r="D8" s="2">
        <v>1024</v>
      </c>
      <c r="E8" s="2" t="s">
        <v>29</v>
      </c>
      <c r="F8" s="2"/>
      <c r="G8" s="2"/>
      <c r="H8" s="2"/>
      <c r="I8" s="2"/>
    </row>
    <row r="9" spans="1:9">
      <c r="A9" s="2" t="s">
        <v>30</v>
      </c>
      <c r="B9" s="2" t="s">
        <v>27</v>
      </c>
      <c r="C9" s="2" t="s">
        <v>30</v>
      </c>
      <c r="D9" s="2">
        <v>128</v>
      </c>
      <c r="E9" s="2" t="s">
        <v>29</v>
      </c>
      <c r="F9" s="2"/>
      <c r="G9" s="2"/>
      <c r="H9" s="2"/>
      <c r="I9" s="2"/>
    </row>
    <row r="10" spans="1:9">
      <c r="A10" s="2" t="s">
        <v>31</v>
      </c>
      <c r="B10" s="2" t="s">
        <v>27</v>
      </c>
      <c r="C10" s="2" t="s">
        <v>31</v>
      </c>
      <c r="D10" s="2">
        <v>512</v>
      </c>
      <c r="E10" s="2" t="s">
        <v>29</v>
      </c>
      <c r="F10" s="2" t="s">
        <v>260</v>
      </c>
      <c r="G10" s="2"/>
      <c r="H10" s="2"/>
      <c r="I10" s="2"/>
    </row>
    <row r="11" spans="1:9">
      <c r="A11" s="2" t="s">
        <v>32</v>
      </c>
      <c r="B11" s="2" t="s">
        <v>27</v>
      </c>
      <c r="C11" s="2" t="s">
        <v>32</v>
      </c>
      <c r="D11" s="2">
        <v>64</v>
      </c>
      <c r="E11" s="2" t="s">
        <v>29</v>
      </c>
      <c r="F11" s="2"/>
      <c r="G11" s="2"/>
      <c r="H11" s="2"/>
      <c r="I11" s="2"/>
    </row>
    <row r="12" spans="1:9">
      <c r="A12" s="2" t="s">
        <v>33</v>
      </c>
      <c r="B12" s="2" t="s">
        <v>27</v>
      </c>
      <c r="C12" s="2" t="s">
        <v>33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34</v>
      </c>
      <c r="B13" s="2" t="s">
        <v>27</v>
      </c>
      <c r="C13" s="2" t="s">
        <v>34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4" t="s">
        <v>749</v>
      </c>
      <c r="B14" s="4" t="s">
        <v>47</v>
      </c>
      <c r="C14" s="4" t="s">
        <v>748</v>
      </c>
      <c r="D14" s="4" t="s">
        <v>570</v>
      </c>
      <c r="E14" s="4" t="s">
        <v>505</v>
      </c>
      <c r="F14" s="4"/>
      <c r="G14" s="4"/>
      <c r="H14" s="4"/>
      <c r="I14" s="4"/>
    </row>
    <row r="15" spans="1:9">
      <c r="A15" s="2" t="s">
        <v>35</v>
      </c>
      <c r="B15" s="2" t="s">
        <v>27</v>
      </c>
      <c r="C15" s="2" t="s">
        <v>35</v>
      </c>
      <c r="D15" s="2">
        <v>128</v>
      </c>
      <c r="E15" s="2" t="s">
        <v>29</v>
      </c>
      <c r="F15" s="2"/>
      <c r="G15" s="2"/>
      <c r="H15" s="2"/>
      <c r="I15" s="2"/>
    </row>
    <row r="16" spans="1:9">
      <c r="A16" s="2" t="s">
        <v>36</v>
      </c>
      <c r="B16" s="2" t="s">
        <v>27</v>
      </c>
      <c r="C16" s="2" t="s">
        <v>36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37</v>
      </c>
      <c r="B17" s="2" t="s">
        <v>27</v>
      </c>
      <c r="C17" s="2" t="s">
        <v>37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38</v>
      </c>
      <c r="B18" s="2" t="s">
        <v>27</v>
      </c>
      <c r="C18" s="2" t="s">
        <v>38</v>
      </c>
      <c r="D18" s="2">
        <v>64</v>
      </c>
      <c r="E18" s="2" t="s">
        <v>29</v>
      </c>
      <c r="F18" s="2"/>
      <c r="G18" s="2"/>
      <c r="H18" s="2"/>
      <c r="I18" s="2"/>
    </row>
    <row r="19" spans="1:9">
      <c r="A19" s="2" t="s">
        <v>46</v>
      </c>
      <c r="B19" s="2" t="s">
        <v>47</v>
      </c>
      <c r="C19" s="2" t="s">
        <v>48</v>
      </c>
      <c r="D19" s="2" t="s">
        <v>49</v>
      </c>
      <c r="E19" s="2" t="s">
        <v>50</v>
      </c>
      <c r="F19" s="2"/>
      <c r="G19" s="2"/>
      <c r="H19" s="2"/>
      <c r="I19" s="2"/>
    </row>
    <row r="20" spans="1:9">
      <c r="A20" s="2" t="s">
        <v>51</v>
      </c>
      <c r="B20" s="2" t="s">
        <v>24</v>
      </c>
      <c r="C20" s="2" t="s">
        <v>51</v>
      </c>
      <c r="D20" s="2"/>
      <c r="E20" s="2" t="s">
        <v>25</v>
      </c>
      <c r="F20" s="2" t="s">
        <v>29</v>
      </c>
      <c r="G20" s="2"/>
      <c r="H20" s="2"/>
      <c r="I20" s="2"/>
    </row>
    <row r="21" spans="1:9">
      <c r="A21" s="2" t="s">
        <v>52</v>
      </c>
      <c r="B21" s="2" t="s">
        <v>41</v>
      </c>
      <c r="C21" s="2" t="s">
        <v>51</v>
      </c>
      <c r="D21" s="2"/>
      <c r="E21" s="2" t="s">
        <v>42</v>
      </c>
      <c r="F21" s="2" t="s">
        <v>43</v>
      </c>
      <c r="G21" s="2" t="s">
        <v>44</v>
      </c>
      <c r="H21" s="2" t="s">
        <v>53</v>
      </c>
      <c r="I21" s="2"/>
    </row>
    <row r="22" spans="1:9">
      <c r="A22" s="2" t="s">
        <v>54</v>
      </c>
      <c r="B22" s="2" t="s">
        <v>27</v>
      </c>
      <c r="C22" s="2" t="s">
        <v>54</v>
      </c>
      <c r="D22" s="2">
        <v>128</v>
      </c>
      <c r="E22" s="2" t="s">
        <v>29</v>
      </c>
      <c r="F22" s="2"/>
      <c r="G22" s="2"/>
      <c r="H22" s="2"/>
      <c r="I22" s="2"/>
    </row>
    <row r="23" spans="1:9">
      <c r="A23" s="2" t="s">
        <v>55</v>
      </c>
      <c r="B23" s="2" t="s">
        <v>24</v>
      </c>
      <c r="C23" s="2" t="s">
        <v>55</v>
      </c>
      <c r="D23" s="2"/>
      <c r="E23" s="2" t="s">
        <v>25</v>
      </c>
      <c r="F23" s="2"/>
      <c r="G23" s="2"/>
      <c r="H23" s="2"/>
      <c r="I23" s="2"/>
    </row>
    <row r="24" spans="1:9">
      <c r="A24" s="2" t="s">
        <v>393</v>
      </c>
      <c r="B24" s="2" t="s">
        <v>24</v>
      </c>
      <c r="C24" s="2" t="s">
        <v>55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455</v>
      </c>
      <c r="B25" s="2" t="s">
        <v>24</v>
      </c>
      <c r="C25" s="2" t="s">
        <v>455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456</v>
      </c>
      <c r="B26" s="2" t="s">
        <v>24</v>
      </c>
      <c r="C26" s="2" t="s">
        <v>456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457</v>
      </c>
      <c r="B27" s="2" t="s">
        <v>24</v>
      </c>
      <c r="C27" s="2" t="s">
        <v>457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458</v>
      </c>
      <c r="B28" s="2" t="s">
        <v>24</v>
      </c>
      <c r="C28" s="2" t="s">
        <v>458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459</v>
      </c>
      <c r="B29" s="2" t="s">
        <v>24</v>
      </c>
      <c r="C29" s="2" t="s">
        <v>459</v>
      </c>
      <c r="D29" s="2"/>
      <c r="E29" s="2" t="s">
        <v>25</v>
      </c>
      <c r="F29" s="2" t="s">
        <v>29</v>
      </c>
      <c r="G29" s="2"/>
      <c r="H29" s="2"/>
      <c r="I29" s="2"/>
    </row>
    <row r="30" spans="1:9">
      <c r="A30" s="2" t="s">
        <v>57</v>
      </c>
      <c r="B30" s="2" t="s">
        <v>41</v>
      </c>
      <c r="C30" s="2" t="s">
        <v>55</v>
      </c>
      <c r="D30" s="2"/>
      <c r="E30" s="2" t="s">
        <v>42</v>
      </c>
      <c r="F30" s="2" t="s">
        <v>58</v>
      </c>
      <c r="G30" s="2" t="s">
        <v>44</v>
      </c>
      <c r="H30" s="2" t="s">
        <v>45</v>
      </c>
      <c r="I30" s="2"/>
    </row>
    <row r="31" spans="1:9">
      <c r="A31" s="2" t="s">
        <v>460</v>
      </c>
      <c r="B31" s="2" t="s">
        <v>41</v>
      </c>
      <c r="C31" s="2" t="s">
        <v>455</v>
      </c>
      <c r="D31" s="2"/>
      <c r="E31" s="2" t="s">
        <v>42</v>
      </c>
      <c r="F31" s="2" t="s">
        <v>58</v>
      </c>
      <c r="G31" s="2" t="s">
        <v>44</v>
      </c>
      <c r="H31" s="2" t="s">
        <v>53</v>
      </c>
      <c r="I31" s="2"/>
    </row>
    <row r="32" spans="1:9">
      <c r="A32" s="2" t="s">
        <v>461</v>
      </c>
      <c r="B32" s="2" t="s">
        <v>41</v>
      </c>
      <c r="C32" s="2" t="s">
        <v>456</v>
      </c>
      <c r="D32" s="2"/>
      <c r="E32" s="2" t="s">
        <v>42</v>
      </c>
      <c r="F32" s="2" t="s">
        <v>58</v>
      </c>
      <c r="G32" s="2" t="s">
        <v>44</v>
      </c>
      <c r="H32" s="2" t="s">
        <v>53</v>
      </c>
      <c r="I32" s="2"/>
    </row>
    <row r="33" spans="1:9">
      <c r="A33" s="2" t="s">
        <v>462</v>
      </c>
      <c r="B33" s="2" t="s">
        <v>41</v>
      </c>
      <c r="C33" s="2" t="s">
        <v>457</v>
      </c>
      <c r="D33" s="2"/>
      <c r="E33" s="2" t="s">
        <v>42</v>
      </c>
      <c r="F33" s="2" t="s">
        <v>58</v>
      </c>
      <c r="G33" s="2" t="s">
        <v>44</v>
      </c>
      <c r="H33" s="2" t="s">
        <v>53</v>
      </c>
      <c r="I33" s="2"/>
    </row>
    <row r="34" spans="1:9">
      <c r="A34" s="2" t="s">
        <v>463</v>
      </c>
      <c r="B34" s="2" t="s">
        <v>41</v>
      </c>
      <c r="C34" s="2" t="s">
        <v>458</v>
      </c>
      <c r="D34" s="2"/>
      <c r="E34" s="2" t="s">
        <v>42</v>
      </c>
      <c r="F34" s="2" t="s">
        <v>58</v>
      </c>
      <c r="G34" s="2" t="s">
        <v>44</v>
      </c>
      <c r="H34" s="2" t="s">
        <v>53</v>
      </c>
      <c r="I34" s="2"/>
    </row>
    <row r="35" spans="1:9">
      <c r="A35" s="2" t="s">
        <v>464</v>
      </c>
      <c r="B35" s="2" t="s">
        <v>41</v>
      </c>
      <c r="C35" s="2" t="s">
        <v>459</v>
      </c>
      <c r="D35" s="2"/>
      <c r="E35" s="2" t="s">
        <v>42</v>
      </c>
      <c r="F35" s="2" t="s">
        <v>58</v>
      </c>
      <c r="G35" s="2" t="s">
        <v>44</v>
      </c>
      <c r="H35" s="2" t="s">
        <v>53</v>
      </c>
      <c r="I35" s="2"/>
    </row>
    <row r="36" spans="1:9">
      <c r="A36" s="2" t="s">
        <v>56</v>
      </c>
      <c r="B36" s="2" t="s">
        <v>24</v>
      </c>
      <c r="C36" s="2" t="s">
        <v>56</v>
      </c>
      <c r="D36" s="2"/>
      <c r="E36" s="2" t="s">
        <v>25</v>
      </c>
      <c r="F36" s="2"/>
      <c r="G36" s="2"/>
      <c r="H36" s="2"/>
      <c r="I36" s="2"/>
    </row>
    <row r="37" spans="1:9">
      <c r="A37" s="2" t="s">
        <v>59</v>
      </c>
      <c r="B37" s="2" t="s">
        <v>41</v>
      </c>
      <c r="C37" s="2" t="s">
        <v>56</v>
      </c>
      <c r="D37" s="2"/>
      <c r="E37" s="2" t="s">
        <v>42</v>
      </c>
      <c r="F37" s="2" t="s">
        <v>60</v>
      </c>
      <c r="G37" s="2" t="s">
        <v>44</v>
      </c>
      <c r="H37" s="2" t="s">
        <v>45</v>
      </c>
      <c r="I37" s="2"/>
    </row>
    <row r="38" spans="1:9">
      <c r="A38" s="2" t="s">
        <v>61</v>
      </c>
      <c r="B38" s="2" t="s">
        <v>62</v>
      </c>
      <c r="C38" s="2" t="s">
        <v>61</v>
      </c>
      <c r="D38" s="2"/>
      <c r="E38" s="2" t="s">
        <v>224</v>
      </c>
      <c r="F38" s="2"/>
      <c r="G38" s="2"/>
      <c r="H38" s="2"/>
      <c r="I38" s="2"/>
    </row>
    <row r="39" spans="1:9">
      <c r="A39" s="2" t="s">
        <v>63</v>
      </c>
      <c r="B39" s="2" t="s">
        <v>27</v>
      </c>
      <c r="C39" s="2" t="s">
        <v>63</v>
      </c>
      <c r="D39" s="2">
        <v>64</v>
      </c>
      <c r="E39" s="2" t="s">
        <v>64</v>
      </c>
      <c r="F39" s="2"/>
      <c r="G39" s="2"/>
      <c r="H39" s="2"/>
      <c r="I39" s="2"/>
    </row>
    <row r="40" spans="1:9">
      <c r="A40" s="2" t="s">
        <v>65</v>
      </c>
      <c r="B40" s="2" t="s">
        <v>24</v>
      </c>
      <c r="C40" s="2" t="s">
        <v>65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66</v>
      </c>
      <c r="B41" s="2" t="s">
        <v>24</v>
      </c>
      <c r="C41" s="2" t="s">
        <v>66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67</v>
      </c>
      <c r="B42" s="2" t="s">
        <v>24</v>
      </c>
      <c r="C42" s="2" t="s">
        <v>67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68</v>
      </c>
      <c r="B43" s="2" t="s">
        <v>24</v>
      </c>
      <c r="C43" s="2" t="s">
        <v>68</v>
      </c>
      <c r="D43" s="2"/>
      <c r="E43" s="2" t="s">
        <v>25</v>
      </c>
      <c r="F43" s="2" t="s">
        <v>29</v>
      </c>
      <c r="G43" s="2"/>
      <c r="H43" s="2"/>
      <c r="I43" s="2"/>
    </row>
    <row r="44" spans="1:9">
      <c r="A44" s="2" t="s">
        <v>69</v>
      </c>
      <c r="B44" s="1" t="s">
        <v>41</v>
      </c>
      <c r="C44" s="2" t="s">
        <v>65</v>
      </c>
      <c r="D44" s="1"/>
      <c r="E44" s="1" t="s">
        <v>42</v>
      </c>
      <c r="F44" s="1" t="s">
        <v>73</v>
      </c>
      <c r="G44" s="1" t="s">
        <v>44</v>
      </c>
      <c r="H44" s="2" t="s">
        <v>53</v>
      </c>
      <c r="I44" s="1"/>
    </row>
    <row r="45" spans="1:9">
      <c r="A45" s="2" t="s">
        <v>70</v>
      </c>
      <c r="B45" s="1" t="s">
        <v>41</v>
      </c>
      <c r="C45" s="2" t="s">
        <v>66</v>
      </c>
      <c r="D45" s="1"/>
      <c r="E45" s="1" t="s">
        <v>42</v>
      </c>
      <c r="F45" s="1" t="s">
        <v>74</v>
      </c>
      <c r="G45" s="1" t="s">
        <v>44</v>
      </c>
      <c r="H45" s="2" t="s">
        <v>53</v>
      </c>
      <c r="I45" s="1"/>
    </row>
    <row r="46" spans="1:9">
      <c r="A46" s="2" t="s">
        <v>71</v>
      </c>
      <c r="B46" s="1" t="s">
        <v>41</v>
      </c>
      <c r="C46" s="2" t="s">
        <v>67</v>
      </c>
      <c r="D46" s="1"/>
      <c r="E46" s="1" t="s">
        <v>42</v>
      </c>
      <c r="F46" s="1" t="s">
        <v>75</v>
      </c>
      <c r="G46" s="1" t="s">
        <v>44</v>
      </c>
      <c r="H46" s="2" t="s">
        <v>53</v>
      </c>
      <c r="I46" s="1"/>
    </row>
    <row r="47" spans="1:9">
      <c r="A47" s="2" t="s">
        <v>72</v>
      </c>
      <c r="B47" s="1" t="s">
        <v>41</v>
      </c>
      <c r="C47" s="2" t="s">
        <v>68</v>
      </c>
      <c r="D47" s="2"/>
      <c r="E47" s="1" t="s">
        <v>42</v>
      </c>
      <c r="F47" s="2" t="s">
        <v>74</v>
      </c>
      <c r="G47" s="1" t="s">
        <v>44</v>
      </c>
      <c r="H47" s="2" t="s">
        <v>53</v>
      </c>
      <c r="I47" s="2"/>
    </row>
    <row r="48" spans="1:9">
      <c r="A48" s="2" t="s">
        <v>76</v>
      </c>
      <c r="B48" s="2" t="s">
        <v>27</v>
      </c>
      <c r="C48" s="2" t="s">
        <v>76</v>
      </c>
      <c r="D48" s="2">
        <v>128</v>
      </c>
      <c r="E48" s="2" t="s">
        <v>29</v>
      </c>
      <c r="F48" s="2"/>
      <c r="G48" s="2"/>
      <c r="H48" s="2"/>
      <c r="I48" s="2"/>
    </row>
    <row r="49" spans="1:9">
      <c r="A49" s="2" t="s">
        <v>261</v>
      </c>
      <c r="B49" s="2" t="s">
        <v>47</v>
      </c>
      <c r="C49" s="2" t="s">
        <v>48</v>
      </c>
      <c r="D49" s="2" t="s">
        <v>77</v>
      </c>
      <c r="E49" s="2" t="s">
        <v>78</v>
      </c>
      <c r="F49" s="2"/>
      <c r="G49" s="2"/>
      <c r="H49" s="2"/>
      <c r="I49" s="2"/>
    </row>
    <row r="50" spans="1:9">
      <c r="A50" s="2" t="s">
        <v>79</v>
      </c>
      <c r="B50" s="2" t="s">
        <v>47</v>
      </c>
      <c r="C50" s="2" t="s">
        <v>80</v>
      </c>
      <c r="D50" s="2" t="s">
        <v>81</v>
      </c>
      <c r="E50" s="2" t="s">
        <v>82</v>
      </c>
      <c r="F50" s="2"/>
      <c r="G50" s="2"/>
      <c r="H50" s="2"/>
      <c r="I50" s="2"/>
    </row>
    <row r="51" spans="1:9">
      <c r="A51" s="4" t="s">
        <v>91</v>
      </c>
      <c r="B51" s="4" t="s">
        <v>27</v>
      </c>
      <c r="C51" s="4" t="s">
        <v>91</v>
      </c>
      <c r="D51" s="4">
        <v>128</v>
      </c>
      <c r="E51" s="4" t="s">
        <v>29</v>
      </c>
      <c r="F51" s="4"/>
      <c r="G51" s="4"/>
      <c r="H51" s="4"/>
      <c r="I51" s="4"/>
    </row>
    <row r="52" spans="1:9">
      <c r="A52" s="2" t="s">
        <v>90</v>
      </c>
      <c r="B52" s="2" t="s">
        <v>27</v>
      </c>
      <c r="C52" s="2" t="s">
        <v>83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84</v>
      </c>
      <c r="B53" s="2" t="s">
        <v>27</v>
      </c>
      <c r="C53" s="2" t="s">
        <v>85</v>
      </c>
      <c r="D53" s="2">
        <v>256</v>
      </c>
      <c r="E53" s="2" t="s">
        <v>29</v>
      </c>
      <c r="F53" s="2"/>
      <c r="G53" s="2"/>
      <c r="H53" s="2"/>
      <c r="I53" s="2"/>
    </row>
    <row r="54" spans="1:9">
      <c r="A54" s="2" t="s">
        <v>86</v>
      </c>
      <c r="B54" s="2" t="s">
        <v>27</v>
      </c>
      <c r="C54" s="2" t="s">
        <v>87</v>
      </c>
      <c r="D54" s="2">
        <v>128</v>
      </c>
      <c r="E54" s="2" t="s">
        <v>29</v>
      </c>
      <c r="F54" s="2"/>
      <c r="G54" s="2"/>
      <c r="H54" s="2"/>
      <c r="I54" s="2"/>
    </row>
    <row r="55" spans="1:9">
      <c r="A55" s="4" t="s">
        <v>4</v>
      </c>
      <c r="B55" s="4" t="s">
        <v>24</v>
      </c>
      <c r="C55" s="4" t="s">
        <v>4</v>
      </c>
      <c r="D55" s="4"/>
      <c r="E55" s="4" t="s">
        <v>25</v>
      </c>
      <c r="F55" s="4"/>
      <c r="G55" s="4"/>
      <c r="H55" s="4"/>
      <c r="I55" s="4"/>
    </row>
    <row r="56" spans="1:9">
      <c r="A56" s="4" t="s">
        <v>92</v>
      </c>
      <c r="B56" s="4" t="s">
        <v>41</v>
      </c>
      <c r="C56" s="4" t="s">
        <v>4</v>
      </c>
      <c r="D56" s="4"/>
      <c r="E56" s="4" t="s">
        <v>42</v>
      </c>
      <c r="F56" s="4" t="s">
        <v>75</v>
      </c>
      <c r="G56" s="4" t="s">
        <v>44</v>
      </c>
      <c r="H56" s="4" t="s">
        <v>45</v>
      </c>
      <c r="I56" s="4"/>
    </row>
    <row r="57" spans="1:9">
      <c r="A57" s="4" t="s">
        <v>93</v>
      </c>
      <c r="B57" s="4" t="s">
        <v>24</v>
      </c>
      <c r="C57" s="4" t="s">
        <v>93</v>
      </c>
      <c r="D57" s="4"/>
      <c r="E57" s="4" t="s">
        <v>25</v>
      </c>
      <c r="F57" s="4"/>
      <c r="G57" s="4"/>
      <c r="H57" s="4"/>
      <c r="I57" s="4"/>
    </row>
    <row r="58" spans="1:9">
      <c r="A58" s="4" t="s">
        <v>94</v>
      </c>
      <c r="B58" s="4" t="s">
        <v>41</v>
      </c>
      <c r="C58" s="4" t="s">
        <v>93</v>
      </c>
      <c r="D58" s="4"/>
      <c r="E58" s="4" t="s">
        <v>42</v>
      </c>
      <c r="F58" s="4" t="s">
        <v>73</v>
      </c>
      <c r="G58" s="4" t="s">
        <v>44</v>
      </c>
      <c r="H58" s="4" t="s">
        <v>45</v>
      </c>
      <c r="I58" s="4"/>
    </row>
    <row r="59" spans="1:9">
      <c r="A59" s="4" t="s">
        <v>96</v>
      </c>
      <c r="B59" s="4" t="s">
        <v>24</v>
      </c>
      <c r="C59" s="4" t="s">
        <v>96</v>
      </c>
      <c r="D59" s="4"/>
      <c r="E59" s="4" t="s">
        <v>25</v>
      </c>
      <c r="F59" s="4"/>
      <c r="G59" s="4"/>
      <c r="H59" s="4"/>
      <c r="I59" s="4"/>
    </row>
    <row r="60" spans="1:9">
      <c r="A60" s="4" t="s">
        <v>97</v>
      </c>
      <c r="B60" s="4" t="s">
        <v>41</v>
      </c>
      <c r="C60" s="4" t="s">
        <v>96</v>
      </c>
      <c r="D60" s="4"/>
      <c r="E60" s="4" t="s">
        <v>42</v>
      </c>
      <c r="F60" s="4" t="s">
        <v>98</v>
      </c>
      <c r="G60" s="4" t="s">
        <v>44</v>
      </c>
      <c r="H60" s="4" t="s">
        <v>45</v>
      </c>
      <c r="I60" s="4"/>
    </row>
    <row r="61" spans="1:9">
      <c r="A61" s="4" t="s">
        <v>122</v>
      </c>
      <c r="B61" s="4" t="s">
        <v>27</v>
      </c>
      <c r="C61" s="4" t="s">
        <v>26</v>
      </c>
      <c r="D61" s="4">
        <v>64</v>
      </c>
      <c r="E61" s="4" t="s">
        <v>29</v>
      </c>
      <c r="F61" s="4"/>
      <c r="G61" s="4"/>
      <c r="H61" s="4"/>
      <c r="I61" s="4"/>
    </row>
    <row r="62" spans="1:9">
      <c r="A62" s="4" t="s">
        <v>123</v>
      </c>
      <c r="B62" s="4" t="s">
        <v>27</v>
      </c>
      <c r="C62" s="4" t="s">
        <v>95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105</v>
      </c>
      <c r="B63" s="4" t="s">
        <v>27</v>
      </c>
      <c r="C63" s="4" t="s">
        <v>35</v>
      </c>
      <c r="D63" s="4">
        <v>128</v>
      </c>
      <c r="E63" s="4" t="s">
        <v>29</v>
      </c>
      <c r="F63" s="4"/>
      <c r="G63" s="4"/>
      <c r="H63" s="4"/>
      <c r="I63" s="4"/>
    </row>
    <row r="64" spans="1:9">
      <c r="A64" s="4" t="s">
        <v>106</v>
      </c>
      <c r="B64" s="4" t="s">
        <v>27</v>
      </c>
      <c r="C64" s="4" t="s">
        <v>111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112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113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114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107</v>
      </c>
      <c r="B68" s="4" t="s">
        <v>27</v>
      </c>
      <c r="C68" s="4" t="s">
        <v>115</v>
      </c>
      <c r="D68" s="4">
        <v>64</v>
      </c>
      <c r="E68" s="4" t="s">
        <v>29</v>
      </c>
      <c r="F68" s="4"/>
      <c r="G68" s="4"/>
      <c r="H68" s="4"/>
      <c r="I68" s="4"/>
    </row>
    <row r="69" spans="1:9">
      <c r="A69" s="4" t="s">
        <v>116</v>
      </c>
      <c r="B69" s="4" t="s">
        <v>24</v>
      </c>
      <c r="C69" s="4" t="s">
        <v>116</v>
      </c>
      <c r="D69" s="4"/>
      <c r="E69" s="4" t="s">
        <v>25</v>
      </c>
      <c r="F69" s="4"/>
      <c r="G69" s="4"/>
      <c r="H69" s="4"/>
      <c r="I69" s="4"/>
    </row>
    <row r="70" spans="1:9">
      <c r="A70" s="4" t="s">
        <v>117</v>
      </c>
      <c r="B70" s="4" t="s">
        <v>41</v>
      </c>
      <c r="C70" s="4" t="s">
        <v>116</v>
      </c>
      <c r="D70" s="4"/>
      <c r="E70" s="4" t="s">
        <v>42</v>
      </c>
      <c r="F70" s="4" t="s">
        <v>74</v>
      </c>
      <c r="G70" s="4" t="s">
        <v>44</v>
      </c>
      <c r="H70" s="4" t="s">
        <v>45</v>
      </c>
      <c r="I70" s="4"/>
    </row>
    <row r="71" spans="1:9">
      <c r="A71" s="4" t="s">
        <v>118</v>
      </c>
      <c r="B71" s="4" t="s">
        <v>27</v>
      </c>
      <c r="C71" s="4" t="s">
        <v>48</v>
      </c>
      <c r="D71" s="4">
        <v>128</v>
      </c>
      <c r="E71" s="4" t="s">
        <v>29</v>
      </c>
      <c r="F71" s="4"/>
      <c r="G71" s="4"/>
      <c r="H71" s="4"/>
      <c r="I71" s="4"/>
    </row>
    <row r="72" spans="1:9">
      <c r="A72" s="4" t="s">
        <v>229</v>
      </c>
      <c r="B72" s="4" t="s">
        <v>27</v>
      </c>
      <c r="C72" s="4" t="s">
        <v>230</v>
      </c>
      <c r="D72" s="4">
        <v>256</v>
      </c>
      <c r="E72" s="4" t="s">
        <v>29</v>
      </c>
      <c r="F72" s="4"/>
      <c r="G72" s="4"/>
      <c r="H72" s="4"/>
      <c r="I72" s="4"/>
    </row>
    <row r="73" spans="1:9">
      <c r="A73" s="4" t="s">
        <v>119</v>
      </c>
      <c r="B73" s="4" t="s">
        <v>24</v>
      </c>
      <c r="C73" s="4" t="s">
        <v>119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120</v>
      </c>
      <c r="B74" s="4" t="s">
        <v>41</v>
      </c>
      <c r="C74" s="4" t="s">
        <v>119</v>
      </c>
      <c r="D74" s="4"/>
      <c r="E74" s="4" t="s">
        <v>42</v>
      </c>
      <c r="F74" s="4" t="s">
        <v>121</v>
      </c>
      <c r="G74" s="4" t="s">
        <v>44</v>
      </c>
      <c r="H74" s="4" t="s">
        <v>45</v>
      </c>
      <c r="I74" s="4"/>
    </row>
    <row r="75" spans="1:9">
      <c r="A75" s="4" t="s">
        <v>125</v>
      </c>
      <c r="B75" s="4" t="s">
        <v>27</v>
      </c>
      <c r="C75" s="4" t="s">
        <v>124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126</v>
      </c>
      <c r="B76" s="4" t="s">
        <v>27</v>
      </c>
      <c r="C76" s="4" t="s">
        <v>128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127</v>
      </c>
      <c r="B77" s="4" t="s">
        <v>27</v>
      </c>
      <c r="C77" s="4" t="s">
        <v>129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130</v>
      </c>
      <c r="B78" s="4" t="s">
        <v>27</v>
      </c>
      <c r="C78" s="4" t="s">
        <v>130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131</v>
      </c>
      <c r="B79" s="4" t="s">
        <v>27</v>
      </c>
      <c r="C79" s="4" t="s">
        <v>131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138</v>
      </c>
      <c r="B80" s="4" t="s">
        <v>24</v>
      </c>
      <c r="C80" s="4" t="s">
        <v>138</v>
      </c>
      <c r="D80" s="4"/>
      <c r="E80" s="4"/>
      <c r="F80" s="4"/>
      <c r="G80" s="4"/>
      <c r="H80" s="4"/>
      <c r="I80" s="4"/>
    </row>
    <row r="81" spans="1:9">
      <c r="A81" s="4" t="s">
        <v>139</v>
      </c>
      <c r="B81" s="4" t="s">
        <v>41</v>
      </c>
      <c r="C81" s="4" t="s">
        <v>138</v>
      </c>
      <c r="D81" s="4"/>
      <c r="E81" s="4" t="s">
        <v>42</v>
      </c>
      <c r="F81" s="4" t="s">
        <v>140</v>
      </c>
      <c r="G81" s="4" t="s">
        <v>44</v>
      </c>
      <c r="H81" s="4" t="s">
        <v>45</v>
      </c>
      <c r="I81" s="4"/>
    </row>
    <row r="82" spans="1:9">
      <c r="A82" s="4" t="s">
        <v>141</v>
      </c>
      <c r="B82" s="4" t="s">
        <v>24</v>
      </c>
      <c r="C82" s="4" t="s">
        <v>141</v>
      </c>
      <c r="D82" s="4"/>
      <c r="E82" s="4"/>
      <c r="F82" s="4"/>
      <c r="G82" s="4"/>
      <c r="H82" s="4"/>
      <c r="I82" s="4"/>
    </row>
    <row r="83" spans="1:9">
      <c r="A83" s="4" t="s">
        <v>142</v>
      </c>
      <c r="B83" s="4" t="s">
        <v>41</v>
      </c>
      <c r="C83" s="4" t="s">
        <v>141</v>
      </c>
      <c r="D83" s="4"/>
      <c r="E83" s="4" t="s">
        <v>42</v>
      </c>
      <c r="F83" s="4" t="s">
        <v>143</v>
      </c>
      <c r="G83" s="4" t="s">
        <v>44</v>
      </c>
      <c r="H83" s="4" t="s">
        <v>45</v>
      </c>
      <c r="I83" s="4"/>
    </row>
    <row r="84" spans="1:9">
      <c r="A84" s="4" t="s">
        <v>144</v>
      </c>
      <c r="B84" s="4" t="s">
        <v>24</v>
      </c>
      <c r="C84" s="4" t="s">
        <v>144</v>
      </c>
      <c r="D84" s="4"/>
      <c r="E84" s="4"/>
      <c r="F84" s="4"/>
      <c r="G84" s="4"/>
      <c r="H84" s="4"/>
      <c r="I84" s="4"/>
    </row>
    <row r="85" spans="1:9">
      <c r="A85" s="4" t="s">
        <v>145</v>
      </c>
      <c r="B85" s="4" t="s">
        <v>41</v>
      </c>
      <c r="C85" s="4" t="s">
        <v>144</v>
      </c>
      <c r="D85" s="4"/>
      <c r="E85" s="4" t="s">
        <v>42</v>
      </c>
      <c r="F85" s="4" t="s">
        <v>146</v>
      </c>
      <c r="G85" s="4" t="s">
        <v>44</v>
      </c>
      <c r="H85" s="4" t="s">
        <v>45</v>
      </c>
      <c r="I85" s="4"/>
    </row>
    <row r="86" spans="1:9">
      <c r="A86" s="4" t="s">
        <v>148</v>
      </c>
      <c r="B86" s="4" t="s">
        <v>27</v>
      </c>
      <c r="C86" s="4" t="s">
        <v>95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149</v>
      </c>
      <c r="B87" s="4" t="s">
        <v>27</v>
      </c>
      <c r="C87" s="4" t="s">
        <v>124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190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185</v>
      </c>
      <c r="B89" s="2" t="s">
        <v>27</v>
      </c>
      <c r="C89" s="2" t="s">
        <v>185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186</v>
      </c>
      <c r="B90" s="2" t="s">
        <v>27</v>
      </c>
      <c r="C90" s="2" t="s">
        <v>186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187</v>
      </c>
      <c r="B91" s="2" t="s">
        <v>27</v>
      </c>
      <c r="C91" s="2" t="s">
        <v>187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188</v>
      </c>
      <c r="B92" s="2" t="s">
        <v>27</v>
      </c>
      <c r="C92" s="2" t="s">
        <v>188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192</v>
      </c>
      <c r="B93" s="2" t="s">
        <v>27</v>
      </c>
      <c r="C93" s="2" t="s">
        <v>192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191</v>
      </c>
      <c r="B94" s="2" t="s">
        <v>27</v>
      </c>
      <c r="C94" s="2" t="s">
        <v>191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184</v>
      </c>
      <c r="B95" s="2" t="s">
        <v>24</v>
      </c>
      <c r="C95" s="2" t="s">
        <v>184</v>
      </c>
      <c r="D95" s="2"/>
      <c r="E95" s="2"/>
      <c r="F95" s="2"/>
      <c r="G95" s="2"/>
      <c r="H95" s="2"/>
      <c r="I95" s="2"/>
    </row>
    <row r="96" spans="1:9">
      <c r="A96" s="2" t="s">
        <v>193</v>
      </c>
      <c r="B96" s="2" t="s">
        <v>41</v>
      </c>
      <c r="C96" s="2" t="s">
        <v>184</v>
      </c>
      <c r="D96" s="2"/>
      <c r="E96" s="2" t="s">
        <v>42</v>
      </c>
      <c r="F96" s="2" t="s">
        <v>194</v>
      </c>
      <c r="G96" s="2" t="s">
        <v>44</v>
      </c>
      <c r="H96" s="2" t="s">
        <v>45</v>
      </c>
      <c r="I96" s="2"/>
    </row>
    <row r="97" spans="1:9">
      <c r="A97" s="2" t="s">
        <v>195</v>
      </c>
      <c r="B97" s="2" t="s">
        <v>47</v>
      </c>
      <c r="C97" s="2" t="s">
        <v>48</v>
      </c>
      <c r="D97" s="2" t="s">
        <v>226</v>
      </c>
      <c r="E97" s="2" t="s">
        <v>196</v>
      </c>
      <c r="F97" s="2"/>
      <c r="G97" s="2"/>
      <c r="H97" s="2"/>
      <c r="I97" s="2"/>
    </row>
    <row r="98" spans="1:9">
      <c r="A98" s="2" t="s">
        <v>197</v>
      </c>
      <c r="B98" s="2" t="s">
        <v>27</v>
      </c>
      <c r="C98" s="2" t="s">
        <v>198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199</v>
      </c>
      <c r="B99" s="2" t="s">
        <v>27</v>
      </c>
      <c r="C99" s="2" t="s">
        <v>200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227</v>
      </c>
      <c r="B100" s="4" t="s">
        <v>47</v>
      </c>
      <c r="C100" s="4" t="s">
        <v>48</v>
      </c>
      <c r="D100" s="2" t="s">
        <v>627</v>
      </c>
      <c r="E100" s="4" t="s">
        <v>228</v>
      </c>
      <c r="F100" s="4"/>
      <c r="G100" s="4"/>
      <c r="H100" s="4"/>
      <c r="I100" s="4"/>
    </row>
    <row r="101" spans="1:9">
      <c r="A101" s="4" t="s">
        <v>262</v>
      </c>
      <c r="B101" s="4" t="s">
        <v>47</v>
      </c>
      <c r="C101" s="4" t="s">
        <v>263</v>
      </c>
      <c r="D101" s="4" t="s">
        <v>265</v>
      </c>
      <c r="E101" s="4" t="s">
        <v>264</v>
      </c>
      <c r="F101" s="4"/>
      <c r="G101" s="4"/>
      <c r="H101" s="4"/>
      <c r="I101" s="4"/>
    </row>
    <row r="102" spans="1:9">
      <c r="A102" s="4" t="s">
        <v>267</v>
      </c>
      <c r="B102" s="4" t="s">
        <v>27</v>
      </c>
      <c r="C102" s="4" t="s">
        <v>266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285</v>
      </c>
      <c r="B103" s="4" t="s">
        <v>47</v>
      </c>
      <c r="C103" s="4" t="s">
        <v>290</v>
      </c>
      <c r="D103" s="4" t="s">
        <v>289</v>
      </c>
      <c r="E103" s="4" t="s">
        <v>286</v>
      </c>
      <c r="F103" s="4"/>
      <c r="G103" s="4"/>
      <c r="H103" s="4"/>
      <c r="I103" s="4"/>
    </row>
    <row r="104" spans="1:9">
      <c r="A104" s="4" t="s">
        <v>287</v>
      </c>
      <c r="B104" s="4" t="s">
        <v>27</v>
      </c>
      <c r="C104" s="4" t="s">
        <v>288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356</v>
      </c>
      <c r="B105" s="4" t="s">
        <v>27</v>
      </c>
      <c r="C105" s="4" t="s">
        <v>357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358</v>
      </c>
      <c r="B106" s="4" t="s">
        <v>27</v>
      </c>
      <c r="C106" s="4" t="s">
        <v>359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360</v>
      </c>
      <c r="B107" s="4" t="s">
        <v>47</v>
      </c>
      <c r="C107" s="4" t="s">
        <v>361</v>
      </c>
      <c r="D107" s="4" t="s">
        <v>362</v>
      </c>
      <c r="E107" s="4" t="s">
        <v>363</v>
      </c>
      <c r="F107" s="4"/>
      <c r="G107" s="4"/>
      <c r="H107" s="4"/>
      <c r="I107" s="4"/>
    </row>
    <row r="108" spans="1:9">
      <c r="A108" s="4" t="s">
        <v>504</v>
      </c>
      <c r="B108" s="4" t="s">
        <v>47</v>
      </c>
      <c r="C108" s="4" t="s">
        <v>47</v>
      </c>
      <c r="D108" s="4" t="s">
        <v>362</v>
      </c>
      <c r="E108" s="4" t="s">
        <v>505</v>
      </c>
      <c r="F108" s="4"/>
      <c r="G108" s="4"/>
      <c r="H108" s="4"/>
      <c r="I108" s="4"/>
    </row>
    <row r="109" spans="1:9">
      <c r="A109" s="4" t="s">
        <v>394</v>
      </c>
      <c r="B109" s="4" t="s">
        <v>24</v>
      </c>
      <c r="C109" s="4" t="s">
        <v>392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395</v>
      </c>
      <c r="B110" s="4" t="s">
        <v>24</v>
      </c>
      <c r="C110" s="4" t="s">
        <v>400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396</v>
      </c>
      <c r="B111" s="4" t="s">
        <v>24</v>
      </c>
      <c r="C111" s="4" t="s">
        <v>401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397</v>
      </c>
      <c r="B112" s="4" t="s">
        <v>41</v>
      </c>
      <c r="C112" s="4" t="s">
        <v>392</v>
      </c>
      <c r="D112" s="4"/>
      <c r="E112" s="1" t="s">
        <v>42</v>
      </c>
      <c r="F112" s="1" t="s">
        <v>43</v>
      </c>
      <c r="G112" s="1" t="s">
        <v>44</v>
      </c>
      <c r="H112" s="4" t="s">
        <v>53</v>
      </c>
      <c r="I112" s="4"/>
    </row>
    <row r="113" spans="1:9">
      <c r="A113" s="4" t="s">
        <v>398</v>
      </c>
      <c r="B113" s="4" t="s">
        <v>41</v>
      </c>
      <c r="C113" s="4" t="s">
        <v>400</v>
      </c>
      <c r="D113" s="5"/>
      <c r="E113" s="5" t="s">
        <v>42</v>
      </c>
      <c r="F113" s="5" t="s">
        <v>43</v>
      </c>
      <c r="G113" s="5" t="s">
        <v>44</v>
      </c>
      <c r="H113" s="4" t="s">
        <v>53</v>
      </c>
      <c r="I113" s="5"/>
    </row>
    <row r="114" spans="1:9">
      <c r="A114" s="4" t="s">
        <v>399</v>
      </c>
      <c r="B114" s="4" t="s">
        <v>41</v>
      </c>
      <c r="C114" s="4" t="s">
        <v>401</v>
      </c>
      <c r="D114" s="4"/>
      <c r="E114" s="4" t="s">
        <v>42</v>
      </c>
      <c r="F114" s="4" t="s">
        <v>43</v>
      </c>
      <c r="G114" s="4" t="s">
        <v>44</v>
      </c>
      <c r="H114" s="4" t="s">
        <v>53</v>
      </c>
      <c r="I114" s="4"/>
    </row>
    <row r="115" spans="1:9">
      <c r="A115" s="4" t="s">
        <v>402</v>
      </c>
      <c r="B115" s="4" t="s">
        <v>41</v>
      </c>
      <c r="C115" s="4" t="s">
        <v>55</v>
      </c>
      <c r="D115" s="4"/>
      <c r="E115" s="4" t="s">
        <v>42</v>
      </c>
      <c r="F115" s="4" t="s">
        <v>43</v>
      </c>
      <c r="G115" s="4" t="s">
        <v>44</v>
      </c>
      <c r="H115" s="4" t="s">
        <v>53</v>
      </c>
      <c r="I115" s="4"/>
    </row>
    <row r="116" spans="1:9">
      <c r="A116" s="5" t="s">
        <v>424</v>
      </c>
      <c r="B116" s="5" t="s">
        <v>41</v>
      </c>
      <c r="C116" s="5" t="s">
        <v>426</v>
      </c>
      <c r="D116" s="5"/>
      <c r="E116" s="5" t="s">
        <v>42</v>
      </c>
      <c r="F116" s="5" t="s">
        <v>43</v>
      </c>
      <c r="G116" s="5" t="s">
        <v>44</v>
      </c>
      <c r="H116" s="5" t="s">
        <v>53</v>
      </c>
      <c r="I116" s="5"/>
    </row>
    <row r="117" spans="1:9">
      <c r="A117" s="4" t="s">
        <v>425</v>
      </c>
      <c r="B117" s="4" t="s">
        <v>41</v>
      </c>
      <c r="C117" s="4" t="s">
        <v>427</v>
      </c>
      <c r="D117" s="4"/>
      <c r="E117" s="4" t="s">
        <v>42</v>
      </c>
      <c r="F117" s="4" t="s">
        <v>43</v>
      </c>
      <c r="G117" s="4" t="s">
        <v>44</v>
      </c>
      <c r="H117" s="4" t="s">
        <v>53</v>
      </c>
      <c r="I117" s="4"/>
    </row>
    <row r="118" spans="1:9">
      <c r="A118" s="4" t="s">
        <v>429</v>
      </c>
      <c r="B118" s="4" t="s">
        <v>24</v>
      </c>
      <c r="C118" s="4" t="s">
        <v>426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428</v>
      </c>
      <c r="B119" s="5" t="s">
        <v>24</v>
      </c>
      <c r="C119" s="5" t="s">
        <v>427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230</v>
      </c>
      <c r="B120" s="4" t="s">
        <v>27</v>
      </c>
      <c r="C120" s="4" t="s">
        <v>230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442</v>
      </c>
      <c r="B121" s="4" t="s">
        <v>27</v>
      </c>
      <c r="C121" s="4" t="s">
        <v>442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453</v>
      </c>
      <c r="B122" s="4" t="s">
        <v>24</v>
      </c>
      <c r="C122" s="4" t="s">
        <v>55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454</v>
      </c>
      <c r="B123" s="4" t="s">
        <v>41</v>
      </c>
      <c r="C123" s="4" t="s">
        <v>55</v>
      </c>
      <c r="D123" s="4"/>
      <c r="E123" s="4" t="s">
        <v>42</v>
      </c>
      <c r="F123" s="4" t="s">
        <v>58</v>
      </c>
      <c r="G123" s="4" t="s">
        <v>44</v>
      </c>
      <c r="H123" s="4" t="s">
        <v>53</v>
      </c>
      <c r="I123" s="4"/>
    </row>
    <row r="124" spans="1:9">
      <c r="A124" s="4" t="s">
        <v>478</v>
      </c>
      <c r="B124" s="4" t="s">
        <v>471</v>
      </c>
      <c r="C124" s="4" t="s">
        <v>472</v>
      </c>
      <c r="D124" s="4"/>
      <c r="E124" s="4" t="s">
        <v>473</v>
      </c>
      <c r="F124" s="4"/>
      <c r="G124" s="4"/>
      <c r="H124" s="4"/>
      <c r="I124" s="4"/>
    </row>
    <row r="125" spans="1:9">
      <c r="A125" s="4" t="s">
        <v>481</v>
      </c>
      <c r="B125" s="4" t="s">
        <v>24</v>
      </c>
      <c r="C125" s="4" t="s">
        <v>482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483</v>
      </c>
      <c r="B126" s="4" t="s">
        <v>27</v>
      </c>
      <c r="C126" s="4" t="s">
        <v>124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484</v>
      </c>
      <c r="B127" s="4" t="s">
        <v>41</v>
      </c>
      <c r="C127" s="4" t="s">
        <v>482</v>
      </c>
      <c r="D127" s="4"/>
      <c r="E127" s="4" t="s">
        <v>42</v>
      </c>
      <c r="F127" s="4" t="s">
        <v>491</v>
      </c>
      <c r="G127" s="4" t="s">
        <v>44</v>
      </c>
      <c r="H127" s="4" t="s">
        <v>45</v>
      </c>
      <c r="I127" s="4"/>
    </row>
    <row r="128" spans="1:9">
      <c r="A128" s="4" t="s">
        <v>506</v>
      </c>
      <c r="B128" s="4" t="s">
        <v>24</v>
      </c>
      <c r="C128" s="4" t="s">
        <v>93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507</v>
      </c>
      <c r="B129" s="4" t="s">
        <v>41</v>
      </c>
      <c r="C129" s="4" t="s">
        <v>93</v>
      </c>
      <c r="D129" s="4"/>
      <c r="E129" s="4" t="s">
        <v>42</v>
      </c>
      <c r="F129" s="4" t="s">
        <v>73</v>
      </c>
      <c r="G129" s="4" t="s">
        <v>44</v>
      </c>
      <c r="H129" s="4" t="s">
        <v>53</v>
      </c>
      <c r="I129" s="4"/>
    </row>
    <row r="130" spans="1:9">
      <c r="A130" s="4" t="s">
        <v>508</v>
      </c>
      <c r="B130" s="5" t="s">
        <v>24</v>
      </c>
      <c r="C130" s="5" t="s">
        <v>510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509</v>
      </c>
      <c r="B131" s="4" t="s">
        <v>41</v>
      </c>
      <c r="C131" s="4" t="s">
        <v>510</v>
      </c>
      <c r="D131" s="4"/>
      <c r="E131" s="4" t="s">
        <v>42</v>
      </c>
      <c r="F131" s="4" t="s">
        <v>74</v>
      </c>
      <c r="G131" s="4" t="s">
        <v>44</v>
      </c>
      <c r="H131" s="4" t="s">
        <v>45</v>
      </c>
      <c r="I131" s="4"/>
    </row>
    <row r="132" spans="1:9">
      <c r="A132" s="4" t="s">
        <v>523</v>
      </c>
      <c r="B132" s="4" t="s">
        <v>47</v>
      </c>
      <c r="C132" s="4" t="s">
        <v>48</v>
      </c>
      <c r="D132" s="4" t="s">
        <v>524</v>
      </c>
      <c r="E132" s="4" t="s">
        <v>525</v>
      </c>
      <c r="F132" s="4"/>
      <c r="G132" s="4"/>
      <c r="H132" s="4"/>
      <c r="I132" s="4"/>
    </row>
    <row r="133" spans="1:9">
      <c r="A133" s="4" t="s">
        <v>526</v>
      </c>
      <c r="B133" s="4" t="s">
        <v>231</v>
      </c>
      <c r="C133" s="4" t="s">
        <v>200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527</v>
      </c>
      <c r="B134" s="4" t="s">
        <v>24</v>
      </c>
      <c r="C134" s="4" t="s">
        <v>528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529</v>
      </c>
      <c r="B135" s="4" t="s">
        <v>41</v>
      </c>
      <c r="C135" s="4" t="s">
        <v>528</v>
      </c>
      <c r="D135" s="4"/>
      <c r="E135" s="4" t="s">
        <v>42</v>
      </c>
      <c r="F135" s="4" t="s">
        <v>121</v>
      </c>
      <c r="G135" s="4" t="s">
        <v>44</v>
      </c>
      <c r="H135" s="4" t="s">
        <v>45</v>
      </c>
      <c r="I135" s="4"/>
    </row>
    <row r="136" spans="1:9">
      <c r="A136" s="4" t="s">
        <v>540</v>
      </c>
      <c r="B136" s="4" t="s">
        <v>27</v>
      </c>
      <c r="C136" s="4" t="s">
        <v>541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542</v>
      </c>
      <c r="B137" s="4" t="s">
        <v>27</v>
      </c>
      <c r="C137" s="4" t="s">
        <v>543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544</v>
      </c>
      <c r="B138" s="4" t="s">
        <v>47</v>
      </c>
      <c r="C138" s="4" t="s">
        <v>545</v>
      </c>
      <c r="D138" s="4" t="s">
        <v>546</v>
      </c>
      <c r="E138" s="4" t="s">
        <v>547</v>
      </c>
      <c r="F138" s="4"/>
      <c r="G138" s="4"/>
      <c r="H138" s="4"/>
      <c r="I138" s="4"/>
    </row>
    <row r="139" spans="1:9">
      <c r="A139" s="4" t="s">
        <v>548</v>
      </c>
      <c r="B139" s="4" t="s">
        <v>27</v>
      </c>
      <c r="C139" s="4" t="s">
        <v>549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558</v>
      </c>
      <c r="B140" s="4" t="s">
        <v>47</v>
      </c>
      <c r="C140" s="4" t="s">
        <v>559</v>
      </c>
      <c r="D140" s="4" t="s">
        <v>362</v>
      </c>
      <c r="E140" s="4" t="s">
        <v>363</v>
      </c>
      <c r="F140" s="4"/>
      <c r="G140" s="4"/>
      <c r="H140" s="4"/>
      <c r="I140" s="4"/>
    </row>
    <row r="141" spans="1:9">
      <c r="A141" s="4" t="s">
        <v>560</v>
      </c>
      <c r="B141" s="4" t="s">
        <v>27</v>
      </c>
      <c r="C141" s="4" t="s">
        <v>561</v>
      </c>
      <c r="D141" s="4">
        <v>64</v>
      </c>
      <c r="E141" s="4" t="s">
        <v>29</v>
      </c>
      <c r="F141" s="4"/>
      <c r="G141" s="4"/>
      <c r="H141" s="4"/>
      <c r="I141" s="4"/>
    </row>
    <row r="142" spans="1:9">
      <c r="A142" s="4" t="s">
        <v>563</v>
      </c>
      <c r="B142" s="4" t="s">
        <v>47</v>
      </c>
      <c r="C142" s="4" t="s">
        <v>637</v>
      </c>
      <c r="D142" s="4" t="s">
        <v>565</v>
      </c>
      <c r="E142" s="4" t="s">
        <v>564</v>
      </c>
      <c r="F142" s="4"/>
      <c r="G142" s="4"/>
      <c r="H142" s="4"/>
      <c r="I142" s="4"/>
    </row>
    <row r="143" spans="1:9">
      <c r="A143" s="4" t="s">
        <v>567</v>
      </c>
      <c r="B143" s="4" t="s">
        <v>27</v>
      </c>
      <c r="C143" s="4" t="s">
        <v>566</v>
      </c>
      <c r="D143" s="4">
        <v>64</v>
      </c>
      <c r="E143" s="4" t="s">
        <v>29</v>
      </c>
      <c r="F143" s="4"/>
      <c r="G143" s="4"/>
      <c r="H143" s="4"/>
      <c r="I143" s="4"/>
    </row>
    <row r="144" spans="1:9">
      <c r="A144" s="4" t="s">
        <v>568</v>
      </c>
      <c r="B144" s="4" t="s">
        <v>47</v>
      </c>
      <c r="C144" s="4" t="s">
        <v>569</v>
      </c>
      <c r="D144" s="4" t="s">
        <v>570</v>
      </c>
      <c r="E144" s="4" t="s">
        <v>505</v>
      </c>
      <c r="F144" s="4"/>
      <c r="G144" s="4"/>
      <c r="H144" s="4"/>
      <c r="I144" s="4"/>
    </row>
    <row r="145" spans="1:9">
      <c r="A145" s="4" t="s">
        <v>571</v>
      </c>
      <c r="B145" s="4" t="s">
        <v>47</v>
      </c>
      <c r="C145" s="4" t="s">
        <v>572</v>
      </c>
      <c r="D145" s="4" t="s">
        <v>573</v>
      </c>
      <c r="E145" s="4" t="s">
        <v>574</v>
      </c>
      <c r="F145" s="4"/>
      <c r="G145" s="4"/>
      <c r="H145" s="4"/>
      <c r="I145" s="4"/>
    </row>
    <row r="146" spans="1:9">
      <c r="A146" s="4" t="s">
        <v>575</v>
      </c>
      <c r="B146" s="4" t="s">
        <v>47</v>
      </c>
      <c r="C146" s="4" t="s">
        <v>576</v>
      </c>
      <c r="D146" s="4" t="s">
        <v>577</v>
      </c>
      <c r="E146" s="4" t="s">
        <v>578</v>
      </c>
      <c r="F146" s="4"/>
      <c r="G146" s="4"/>
      <c r="H146" s="4"/>
      <c r="I146" s="4"/>
    </row>
    <row r="147" spans="1:9">
      <c r="A147" s="4" t="s">
        <v>579</v>
      </c>
      <c r="B147" s="4" t="s">
        <v>471</v>
      </c>
      <c r="C147" s="4" t="s">
        <v>580</v>
      </c>
      <c r="D147" s="4"/>
      <c r="E147" s="4" t="s">
        <v>581</v>
      </c>
      <c r="F147" s="4"/>
      <c r="G147" s="4"/>
      <c r="H147" s="4"/>
      <c r="I147" s="4"/>
    </row>
    <row r="148" spans="1:9">
      <c r="A148" s="4" t="s">
        <v>582</v>
      </c>
      <c r="B148" s="4" t="s">
        <v>27</v>
      </c>
      <c r="C148" s="4" t="s">
        <v>583</v>
      </c>
      <c r="D148" s="4">
        <v>64</v>
      </c>
      <c r="E148" s="4" t="s">
        <v>29</v>
      </c>
      <c r="F148" s="4"/>
      <c r="G148" s="4"/>
      <c r="H148" s="4"/>
      <c r="I148" s="4"/>
    </row>
    <row r="149" spans="1:9">
      <c r="A149" s="4" t="s">
        <v>587</v>
      </c>
      <c r="B149" s="4" t="s">
        <v>62</v>
      </c>
      <c r="C149" s="4" t="s">
        <v>587</v>
      </c>
      <c r="D149" s="4"/>
      <c r="E149" s="4" t="s">
        <v>588</v>
      </c>
      <c r="F149" s="4"/>
      <c r="G149" s="4"/>
      <c r="H149" s="4"/>
      <c r="I149" s="4"/>
    </row>
    <row r="150" spans="1:9">
      <c r="A150" s="4" t="s">
        <v>584</v>
      </c>
      <c r="B150" s="4" t="s">
        <v>24</v>
      </c>
      <c r="C150" s="4" t="s">
        <v>584</v>
      </c>
      <c r="D150" s="4"/>
      <c r="E150" s="4" t="s">
        <v>25</v>
      </c>
      <c r="F150" s="4"/>
      <c r="G150" s="4"/>
      <c r="H150" s="4"/>
      <c r="I150" s="4"/>
    </row>
    <row r="151" spans="1:9">
      <c r="A151" s="4" t="s">
        <v>589</v>
      </c>
      <c r="B151" s="4" t="s">
        <v>41</v>
      </c>
      <c r="C151" s="4" t="s">
        <v>584</v>
      </c>
      <c r="D151" s="4"/>
      <c r="E151" s="4" t="s">
        <v>42</v>
      </c>
      <c r="F151" s="4" t="s">
        <v>590</v>
      </c>
      <c r="G151" s="4" t="s">
        <v>44</v>
      </c>
      <c r="H151" s="4" t="s">
        <v>45</v>
      </c>
      <c r="I151" s="4"/>
    </row>
    <row r="152" spans="1:9">
      <c r="A152" s="4" t="s">
        <v>586</v>
      </c>
      <c r="B152" s="5" t="s">
        <v>24</v>
      </c>
      <c r="C152" s="5" t="s">
        <v>482</v>
      </c>
      <c r="D152" s="5"/>
      <c r="E152" s="5" t="s">
        <v>25</v>
      </c>
      <c r="F152" s="5"/>
      <c r="G152" s="5"/>
      <c r="H152" s="5"/>
      <c r="I152" s="5"/>
    </row>
    <row r="153" spans="1:9">
      <c r="A153" s="4" t="s">
        <v>592</v>
      </c>
      <c r="B153" s="4" t="s">
        <v>41</v>
      </c>
      <c r="C153" s="5" t="s">
        <v>482</v>
      </c>
      <c r="D153" s="4"/>
      <c r="E153" s="4" t="s">
        <v>42</v>
      </c>
      <c r="F153" s="4" t="s">
        <v>593</v>
      </c>
      <c r="G153" s="4" t="s">
        <v>44</v>
      </c>
      <c r="H153" s="4" t="s">
        <v>45</v>
      </c>
      <c r="I153" s="4"/>
    </row>
    <row r="154" spans="1:9">
      <c r="A154" s="4" t="s">
        <v>594</v>
      </c>
      <c r="B154" s="4" t="s">
        <v>471</v>
      </c>
      <c r="C154" s="4" t="s">
        <v>80</v>
      </c>
      <c r="D154" s="4"/>
      <c r="E154" s="4" t="s">
        <v>473</v>
      </c>
      <c r="F154" s="4"/>
      <c r="G154" s="4"/>
      <c r="H154" s="4"/>
      <c r="I154" s="4"/>
    </row>
    <row r="155" spans="1:9">
      <c r="A155" s="4" t="s">
        <v>596</v>
      </c>
      <c r="B155" s="4" t="s">
        <v>47</v>
      </c>
      <c r="C155" s="4" t="s">
        <v>595</v>
      </c>
      <c r="D155" s="4" t="s">
        <v>602</v>
      </c>
      <c r="E155" s="4" t="s">
        <v>601</v>
      </c>
      <c r="F155" s="4"/>
      <c r="G155" s="4"/>
      <c r="H155" s="4"/>
      <c r="I155" s="4"/>
    </row>
    <row r="156" spans="1:9">
      <c r="A156" s="4" t="s">
        <v>597</v>
      </c>
      <c r="B156" s="4" t="s">
        <v>27</v>
      </c>
      <c r="C156" s="4" t="s">
        <v>599</v>
      </c>
      <c r="D156" s="4">
        <v>64</v>
      </c>
      <c r="E156" s="4" t="s">
        <v>29</v>
      </c>
      <c r="F156" s="4"/>
      <c r="G156" s="4"/>
      <c r="H156" s="4"/>
      <c r="I156" s="4"/>
    </row>
    <row r="157" spans="1:9">
      <c r="A157" s="4" t="s">
        <v>598</v>
      </c>
      <c r="B157" s="4" t="s">
        <v>27</v>
      </c>
      <c r="C157" s="4" t="s">
        <v>600</v>
      </c>
      <c r="D157" s="4">
        <v>64</v>
      </c>
      <c r="E157" s="4" t="s">
        <v>29</v>
      </c>
      <c r="F157" s="4"/>
      <c r="G157" s="4"/>
      <c r="H157" s="4"/>
      <c r="I157" s="4"/>
    </row>
    <row r="158" spans="1:9">
      <c r="A158" s="4" t="s">
        <v>628</v>
      </c>
      <c r="B158" s="4" t="s">
        <v>27</v>
      </c>
      <c r="C158" s="4" t="s">
        <v>442</v>
      </c>
      <c r="D158" s="4">
        <v>64</v>
      </c>
      <c r="E158" s="4" t="s">
        <v>29</v>
      </c>
      <c r="F158" s="4"/>
      <c r="G158" s="4"/>
      <c r="H158" s="4"/>
      <c r="I158" s="4"/>
    </row>
    <row r="159" spans="1:9">
      <c r="A159" s="4" t="s">
        <v>629</v>
      </c>
      <c r="B159" s="4" t="s">
        <v>27</v>
      </c>
      <c r="C159" s="4" t="s">
        <v>630</v>
      </c>
      <c r="D159" s="4">
        <v>64</v>
      </c>
      <c r="E159" s="4" t="s">
        <v>29</v>
      </c>
      <c r="F159" s="4"/>
      <c r="G159" s="4"/>
      <c r="H159" s="4"/>
      <c r="I159" s="4"/>
    </row>
    <row r="160" spans="1:9">
      <c r="A160" s="4" t="s">
        <v>631</v>
      </c>
      <c r="B160" s="4" t="s">
        <v>471</v>
      </c>
      <c r="C160" s="4" t="s">
        <v>632</v>
      </c>
      <c r="D160" s="4"/>
      <c r="E160" s="4" t="s">
        <v>633</v>
      </c>
      <c r="F160" s="4"/>
      <c r="G160" s="4"/>
      <c r="H160" s="4"/>
      <c r="I160" s="4"/>
    </row>
    <row r="161" spans="1:9">
      <c r="A161" s="4" t="s">
        <v>634</v>
      </c>
      <c r="B161" s="4" t="s">
        <v>47</v>
      </c>
      <c r="C161" s="4" t="s">
        <v>48</v>
      </c>
      <c r="D161" s="4" t="s">
        <v>635</v>
      </c>
      <c r="E161" s="4" t="s">
        <v>636</v>
      </c>
      <c r="F161" s="4"/>
      <c r="G161" s="4"/>
      <c r="H161" s="4"/>
      <c r="I161" s="4"/>
    </row>
    <row r="162" spans="1:9">
      <c r="A162" s="4" t="s">
        <v>639</v>
      </c>
      <c r="B162" s="4" t="s">
        <v>47</v>
      </c>
      <c r="C162" s="4" t="s">
        <v>48</v>
      </c>
      <c r="D162" s="4" t="s">
        <v>641</v>
      </c>
      <c r="E162" s="4" t="s">
        <v>640</v>
      </c>
      <c r="F162" s="4"/>
      <c r="G162" s="4"/>
      <c r="H162" s="4"/>
      <c r="I162" s="4"/>
    </row>
    <row r="163" spans="1:9">
      <c r="A163" s="4" t="s">
        <v>642</v>
      </c>
      <c r="B163" s="4" t="s">
        <v>47</v>
      </c>
      <c r="C163" s="4" t="s">
        <v>643</v>
      </c>
      <c r="D163" s="4" t="s">
        <v>644</v>
      </c>
      <c r="E163" s="4" t="s">
        <v>645</v>
      </c>
      <c r="F163" s="4"/>
      <c r="G163" s="4"/>
      <c r="H163" s="4"/>
      <c r="I163" s="4"/>
    </row>
    <row r="164" spans="1:9">
      <c r="A164" s="4" t="s">
        <v>646</v>
      </c>
      <c r="B164" s="4" t="s">
        <v>27</v>
      </c>
      <c r="C164" s="4" t="s">
        <v>95</v>
      </c>
      <c r="D164" s="4">
        <v>128</v>
      </c>
      <c r="E164" s="4" t="s">
        <v>29</v>
      </c>
      <c r="F164" s="4"/>
      <c r="G164" s="4"/>
      <c r="H164" s="4"/>
      <c r="I164" s="4"/>
    </row>
    <row r="165" spans="1:9">
      <c r="A165" s="4" t="s">
        <v>647</v>
      </c>
      <c r="B165" s="4" t="s">
        <v>27</v>
      </c>
      <c r="C165" s="4" t="s">
        <v>659</v>
      </c>
      <c r="D165" s="4">
        <v>1024</v>
      </c>
      <c r="E165" s="4" t="s">
        <v>29</v>
      </c>
      <c r="F165" s="4"/>
      <c r="G165" s="4"/>
      <c r="H165" s="4"/>
      <c r="I165" s="4"/>
    </row>
    <row r="166" spans="1:9">
      <c r="A166" s="4" t="s">
        <v>648</v>
      </c>
      <c r="B166" s="4" t="s">
        <v>47</v>
      </c>
      <c r="C166" s="4" t="s">
        <v>649</v>
      </c>
      <c r="D166" s="4" t="s">
        <v>650</v>
      </c>
      <c r="E166" s="4" t="s">
        <v>651</v>
      </c>
      <c r="F166" s="4"/>
      <c r="G166" s="4"/>
      <c r="H166" s="4"/>
      <c r="I166" s="4"/>
    </row>
    <row r="167" spans="1:9">
      <c r="A167" s="5" t="s">
        <v>728</v>
      </c>
      <c r="B167" s="5" t="s">
        <v>729</v>
      </c>
      <c r="C167" s="5" t="s">
        <v>728</v>
      </c>
      <c r="D167" s="5">
        <v>15</v>
      </c>
      <c r="E167" s="5" t="s">
        <v>29</v>
      </c>
      <c r="F167" s="5"/>
      <c r="G167" s="5"/>
      <c r="H167" s="5"/>
      <c r="I167" s="5"/>
    </row>
    <row r="168" spans="1:9">
      <c r="A168" s="5" t="s">
        <v>730</v>
      </c>
      <c r="B168" s="5" t="s">
        <v>27</v>
      </c>
      <c r="C168" s="5" t="s">
        <v>26</v>
      </c>
      <c r="D168" s="5">
        <v>256</v>
      </c>
      <c r="E168" s="5" t="s">
        <v>29</v>
      </c>
      <c r="F168" s="5"/>
      <c r="G168" s="5"/>
      <c r="H168" s="5"/>
      <c r="I168" s="5"/>
    </row>
    <row r="169" spans="1:9">
      <c r="A169" s="5" t="s">
        <v>731</v>
      </c>
      <c r="B169" s="5" t="s">
        <v>27</v>
      </c>
      <c r="C169" s="5" t="s">
        <v>732</v>
      </c>
      <c r="D169" s="5">
        <v>1024</v>
      </c>
      <c r="E169" s="5" t="s">
        <v>29</v>
      </c>
      <c r="F169" s="5"/>
      <c r="G169" s="5"/>
      <c r="H169" s="5"/>
      <c r="I169" s="5"/>
    </row>
    <row r="170" spans="1:9">
      <c r="A170" s="5" t="s">
        <v>733</v>
      </c>
      <c r="B170" s="5" t="s">
        <v>27</v>
      </c>
      <c r="C170" s="5" t="s">
        <v>733</v>
      </c>
      <c r="D170" s="5">
        <v>64</v>
      </c>
      <c r="E170" s="5" t="s">
        <v>29</v>
      </c>
      <c r="F170" s="5"/>
      <c r="G170" s="5"/>
      <c r="H170" s="5"/>
      <c r="I170" s="5"/>
    </row>
    <row r="171" spans="1:9">
      <c r="A171" s="5" t="s">
        <v>734</v>
      </c>
      <c r="B171" s="5" t="s">
        <v>27</v>
      </c>
      <c r="C171" s="5" t="s">
        <v>735</v>
      </c>
      <c r="D171" s="5">
        <v>256</v>
      </c>
      <c r="E171" s="5" t="s">
        <v>29</v>
      </c>
      <c r="F171" s="5"/>
      <c r="G171" s="5"/>
      <c r="H171" s="5"/>
      <c r="I171" s="5"/>
    </row>
    <row r="172" spans="1:9">
      <c r="A172" s="5" t="s">
        <v>736</v>
      </c>
      <c r="B172" s="5" t="s">
        <v>24</v>
      </c>
      <c r="C172" s="5" t="s">
        <v>80</v>
      </c>
      <c r="D172" s="5"/>
      <c r="E172" s="5" t="s">
        <v>742</v>
      </c>
      <c r="F172" s="5"/>
      <c r="G172" s="5"/>
      <c r="H172" s="5"/>
      <c r="I172" s="5"/>
    </row>
    <row r="173" spans="1:9">
      <c r="A173" s="5" t="s">
        <v>737</v>
      </c>
      <c r="B173" s="5" t="s">
        <v>27</v>
      </c>
      <c r="C173" s="5" t="s">
        <v>741</v>
      </c>
      <c r="D173" s="5">
        <v>64</v>
      </c>
      <c r="E173" s="5" t="s">
        <v>29</v>
      </c>
      <c r="F173" s="5"/>
      <c r="G173" s="5"/>
      <c r="H173" s="5"/>
      <c r="I173" s="5"/>
    </row>
    <row r="174" spans="1:9">
      <c r="A174" s="5" t="s">
        <v>738</v>
      </c>
      <c r="B174" s="5" t="s">
        <v>27</v>
      </c>
      <c r="C174" s="5" t="s">
        <v>738</v>
      </c>
      <c r="D174" s="5">
        <v>512</v>
      </c>
      <c r="E174" s="5" t="s">
        <v>29</v>
      </c>
      <c r="F174" s="5"/>
      <c r="G174" s="5"/>
      <c r="H174" s="5"/>
      <c r="I174" s="5"/>
    </row>
    <row r="175" spans="1:9">
      <c r="A175" s="5" t="s">
        <v>740</v>
      </c>
      <c r="B175" s="5" t="s">
        <v>27</v>
      </c>
      <c r="C175" s="5" t="s">
        <v>739</v>
      </c>
      <c r="D175" s="5">
        <v>2048</v>
      </c>
      <c r="E175" s="5" t="s">
        <v>29</v>
      </c>
      <c r="F175" s="5"/>
      <c r="G175" s="5"/>
      <c r="H175" s="5"/>
      <c r="I175" s="5"/>
    </row>
    <row r="176" spans="1:9">
      <c r="A176" s="5" t="s">
        <v>743</v>
      </c>
      <c r="B176" s="5" t="s">
        <v>27</v>
      </c>
      <c r="C176" s="5" t="s">
        <v>744</v>
      </c>
      <c r="D176" s="5">
        <v>32</v>
      </c>
      <c r="E176" s="5" t="s">
        <v>29</v>
      </c>
      <c r="F176" s="5"/>
      <c r="G176" s="5"/>
      <c r="H176" s="5"/>
      <c r="I176" s="5"/>
    </row>
  </sheetData>
  <conditionalFormatting sqref="A44:A47">
    <cfRule type="duplicateValues" dxfId="417" priority="6"/>
  </conditionalFormatting>
  <conditionalFormatting sqref="A57:A60">
    <cfRule type="duplicateValues" dxfId="416" priority="5"/>
  </conditionalFormatting>
  <conditionalFormatting sqref="A128:A129">
    <cfRule type="duplicateValues" dxfId="415" priority="4"/>
  </conditionalFormatting>
  <conditionalFormatting sqref="A128:A129">
    <cfRule type="duplicateValues" dxfId="414" priority="3"/>
  </conditionalFormatting>
  <conditionalFormatting sqref="A130:A131">
    <cfRule type="duplicateValues" dxfId="413" priority="2"/>
  </conditionalFormatting>
  <conditionalFormatting sqref="A152:A153">
    <cfRule type="duplicateValues" dxfId="412" priority="1"/>
  </conditionalFormatting>
  <conditionalFormatting sqref="A2:A176">
    <cfRule type="duplicateValues" dxfId="411" priority="3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94"/>
  <sheetViews>
    <sheetView topLeftCell="A169" workbookViewId="0">
      <selection activeCell="A12" sqref="A12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88</v>
      </c>
    </row>
    <row r="2" spans="1:1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'controller'</v>
      </c>
      <c r="E8" s="7" t="str">
        <f>IF(VLOOKUP([Field],Columns[],4,0)&lt;&gt;0,", "&amp;VLOOKUP([Field],Columns[],4,0)&amp;")",")")</f>
        <v>, 128)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/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$table-&gt;string('controller', 128)-&gt;nullable();</v>
      </c>
    </row>
    <row r="9" spans="1:1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'controller_namespace'</v>
      </c>
      <c r="E9" s="7" t="str">
        <f>IF(VLOOKUP([Field],Columns[],4,0)&lt;&gt;0,", "&amp;VLOOKUP([Field],Columns[],4,0)&amp;")",")")</f>
        <v>, 512)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$table-&gt;string('controller_namespace', 512)-&gt;nullable();</v>
      </c>
    </row>
    <row r="10" spans="1:11">
      <c r="A10" s="2" t="s">
        <v>2</v>
      </c>
      <c r="B10" s="4" t="s">
        <v>749</v>
      </c>
      <c r="C10" s="4" t="str">
        <f>VLOOKUP([Field],Columns[],2,0)&amp;"("</f>
        <v>enum(</v>
      </c>
      <c r="D10" s="4" t="str">
        <f>IF(VLOOKUP([Field],Columns[],3,0)&lt;&gt;"","'"&amp;VLOOKUP([Field],Columns[],3,0)&amp;"'","")</f>
        <v>'development'</v>
      </c>
      <c r="E10" s="7" t="str">
        <f>IF(VLOOKUP([Field],Columns[],4,0)&lt;&gt;0,", "&amp;VLOOKUP([Field],Columns[],4,0)&amp;")",")")</f>
        <v>, ['No','Yes'])</v>
      </c>
      <c r="F10" s="4" t="str">
        <f>IF(VLOOKUP([Field],Columns[],5,0)=0,"","-&gt;"&amp;VLOOKUP([Field],Columns[],5,0))</f>
        <v>-&gt;default('No')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$table-&gt;enum('development', ['No','Yes'])-&gt;default('No');</v>
      </c>
    </row>
    <row r="11" spans="1:11">
      <c r="A11" s="2" t="s">
        <v>2</v>
      </c>
      <c r="B11" s="4" t="s">
        <v>747</v>
      </c>
      <c r="C11" s="4" t="str">
        <f>VLOOKUP([Field],Columns[],2,0)&amp;"("</f>
        <v>audit(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$table-&gt;audit();</v>
      </c>
    </row>
    <row r="12" spans="1:1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>
      <c r="A16" s="4" t="s">
        <v>0</v>
      </c>
      <c r="B16" s="4" t="s">
        <v>35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>
      <c r="A17" s="4" t="s">
        <v>0</v>
      </c>
      <c r="B17" s="4" t="s">
        <v>36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>
      <c r="A18" s="4" t="s">
        <v>0</v>
      </c>
      <c r="B18" s="4" t="s">
        <v>37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>
      <c r="A19" s="4" t="s">
        <v>0</v>
      </c>
      <c r="B19" s="4" t="s">
        <v>38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>
      <c r="A20" s="4" t="s">
        <v>0</v>
      </c>
      <c r="B20" s="4" t="s">
        <v>747</v>
      </c>
      <c r="C20" s="4" t="str">
        <f>VLOOKUP([Field],Columns[],2,0)&amp;"("</f>
        <v>audit(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$table-&gt;audit();</v>
      </c>
    </row>
    <row r="21" spans="1:11">
      <c r="A21" s="4" t="s">
        <v>0</v>
      </c>
      <c r="B21" s="4" t="s">
        <v>40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>
      <c r="A26" s="4" t="s">
        <v>3</v>
      </c>
      <c r="B26" s="4" t="s">
        <v>35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>
      <c r="A27" s="4" t="s">
        <v>3</v>
      </c>
      <c r="B27" s="4" t="s">
        <v>46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>
      <c r="A28" s="4" t="s">
        <v>3</v>
      </c>
      <c r="B28" s="4" t="s">
        <v>51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>
      <c r="A29" s="4" t="s">
        <v>3</v>
      </c>
      <c r="B29" s="4" t="s">
        <v>747</v>
      </c>
      <c r="C29" s="4" t="str">
        <f>VLOOKUP([Field],Columns[],2,0)&amp;"("</f>
        <v>audit(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$table-&gt;audit();</v>
      </c>
    </row>
    <row r="30" spans="1:11">
      <c r="A30" s="4" t="s">
        <v>3</v>
      </c>
      <c r="B30" s="4" t="s">
        <v>40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>
      <c r="A31" s="4" t="s">
        <v>3</v>
      </c>
      <c r="B31" s="4" t="s">
        <v>52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>
      <c r="A36" s="4" t="s">
        <v>4</v>
      </c>
      <c r="B36" s="4" t="s">
        <v>54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>
      <c r="A37" s="4" t="s">
        <v>4</v>
      </c>
      <c r="B37" s="2" t="s">
        <v>35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>
      <c r="A38" s="4" t="s">
        <v>4</v>
      </c>
      <c r="B38" s="4" t="s">
        <v>747</v>
      </c>
      <c r="C38" s="4" t="str">
        <f>VLOOKUP([Field],Columns[],2,0)&amp;"("</f>
        <v>audit(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$table-&gt;audit();</v>
      </c>
    </row>
    <row r="39" spans="1:11">
      <c r="A39" s="4" t="s">
        <v>4</v>
      </c>
      <c r="B39" s="4" t="s">
        <v>40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>
      <c r="A42" s="4" t="s">
        <v>9</v>
      </c>
      <c r="B42" s="4" t="s">
        <v>453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>
      <c r="A43" s="4" t="s">
        <v>9</v>
      </c>
      <c r="B43" s="4" t="s">
        <v>455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>
      <c r="A44" s="4" t="s">
        <v>9</v>
      </c>
      <c r="B44" s="4" t="s">
        <v>456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>
      <c r="A45" s="4" t="s">
        <v>9</v>
      </c>
      <c r="B45" s="4" t="s">
        <v>457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>
      <c r="A46" s="4" t="s">
        <v>9</v>
      </c>
      <c r="B46" s="4" t="s">
        <v>458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>
      <c r="A47" s="4" t="s">
        <v>9</v>
      </c>
      <c r="B47" s="4" t="s">
        <v>459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>
      <c r="A48" s="4" t="s">
        <v>9</v>
      </c>
      <c r="B48" s="4" t="s">
        <v>747</v>
      </c>
      <c r="C48" s="4" t="str">
        <f>VLOOKUP([Field],Columns[],2,0)&amp;"("</f>
        <v>audit(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$table-&gt;audit();</v>
      </c>
    </row>
    <row r="49" spans="1:11">
      <c r="A49" s="4" t="s">
        <v>9</v>
      </c>
      <c r="B49" s="4" t="s">
        <v>92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>
      <c r="A50" s="4" t="s">
        <v>9</v>
      </c>
      <c r="B50" s="4" t="s">
        <v>454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>
      <c r="A51" s="4" t="s">
        <v>9</v>
      </c>
      <c r="B51" s="4" t="s">
        <v>460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>
      <c r="A52" s="4" t="s">
        <v>9</v>
      </c>
      <c r="B52" s="4" t="s">
        <v>461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>
      <c r="A53" s="4" t="s">
        <v>9</v>
      </c>
      <c r="B53" s="4" t="s">
        <v>462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>
      <c r="A54" s="4" t="s">
        <v>9</v>
      </c>
      <c r="B54" s="4" t="s">
        <v>463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>
      <c r="A55" s="4" t="s">
        <v>9</v>
      </c>
      <c r="B55" s="4" t="s">
        <v>464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>
      <c r="A61" s="4" t="s">
        <v>5</v>
      </c>
      <c r="B61" s="4" t="s">
        <v>61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>
      <c r="A62" s="4" t="s">
        <v>5</v>
      </c>
      <c r="B62" s="2" t="s">
        <v>35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>
      <c r="A63" s="4" t="s">
        <v>5</v>
      </c>
      <c r="B63" s="4" t="s">
        <v>747</v>
      </c>
      <c r="C63" s="4" t="str">
        <f>VLOOKUP([Field],Columns[],2,0)&amp;"("</f>
        <v>audit(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$table-&gt;audit();</v>
      </c>
    </row>
    <row r="64" spans="1:11">
      <c r="A64" s="4" t="s">
        <v>5</v>
      </c>
      <c r="B64" s="4" t="s">
        <v>40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>
      <c r="A66" s="4" t="s">
        <v>10</v>
      </c>
      <c r="B66" s="4" t="s">
        <v>93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>
      <c r="A67" s="4" t="s">
        <v>10</v>
      </c>
      <c r="B67" s="4" t="s">
        <v>453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>
      <c r="A68" s="4" t="s">
        <v>10</v>
      </c>
      <c r="B68" s="4" t="s">
        <v>455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>
      <c r="A69" s="4" t="s">
        <v>10</v>
      </c>
      <c r="B69" s="4" t="s">
        <v>456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>
      <c r="A70" s="4" t="s">
        <v>10</v>
      </c>
      <c r="B70" s="4" t="s">
        <v>457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>
      <c r="A71" s="4" t="s">
        <v>10</v>
      </c>
      <c r="B71" s="4" t="s">
        <v>458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>
      <c r="A72" s="4" t="s">
        <v>10</v>
      </c>
      <c r="B72" s="4" t="s">
        <v>459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>
      <c r="A73" s="4" t="s">
        <v>10</v>
      </c>
      <c r="B73" s="4" t="s">
        <v>747</v>
      </c>
      <c r="C73" s="4" t="str">
        <f>VLOOKUP([Field],Columns[],2,0)&amp;"("</f>
        <v>audit(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$table-&gt;audit();</v>
      </c>
    </row>
    <row r="74" spans="1:11">
      <c r="A74" s="4" t="s">
        <v>10</v>
      </c>
      <c r="B74" s="4" t="s">
        <v>94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>
      <c r="A75" s="4" t="s">
        <v>10</v>
      </c>
      <c r="B75" s="4" t="s">
        <v>454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>
      <c r="A76" s="4" t="s">
        <v>10</v>
      </c>
      <c r="B76" s="4" t="s">
        <v>460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>
      <c r="A77" s="4" t="s">
        <v>10</v>
      </c>
      <c r="B77" s="4" t="s">
        <v>461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>
      <c r="A78" s="4" t="s">
        <v>10</v>
      </c>
      <c r="B78" s="4" t="s">
        <v>462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>
      <c r="A79" s="4" t="s">
        <v>10</v>
      </c>
      <c r="B79" s="4" t="s">
        <v>463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>
      <c r="A80" s="4" t="s">
        <v>10</v>
      </c>
      <c r="B80" s="4" t="s">
        <v>464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>
      <c r="A82" s="4" t="s">
        <v>11</v>
      </c>
      <c r="B82" s="4" t="s">
        <v>93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>
      <c r="A83" s="4" t="s">
        <v>11</v>
      </c>
      <c r="B83" s="4" t="s">
        <v>56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>
      <c r="A84" s="4" t="s">
        <v>11</v>
      </c>
      <c r="B84" s="4" t="s">
        <v>747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4" t="s">
        <v>11</v>
      </c>
      <c r="B85" s="4" t="s">
        <v>94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>
      <c r="A86" s="4" t="s">
        <v>11</v>
      </c>
      <c r="B86" s="4" t="s">
        <v>59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>
      <c r="A92" s="4" t="s">
        <v>6</v>
      </c>
      <c r="B92" s="4" t="s">
        <v>63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>
      <c r="A93" s="4" t="s">
        <v>6</v>
      </c>
      <c r="B93" s="4" t="s">
        <v>747</v>
      </c>
      <c r="C93" s="4" t="str">
        <f>VLOOKUP([Field],Columns[],2,0)&amp;"("</f>
        <v>audit(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$table-&gt;audit();</v>
      </c>
    </row>
    <row r="94" spans="1:11">
      <c r="A94" s="4" t="s">
        <v>6</v>
      </c>
      <c r="B94" s="4" t="s">
        <v>40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>
      <c r="A97" s="4" t="s">
        <v>7</v>
      </c>
      <c r="B97" s="4" t="s">
        <v>65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>
      <c r="A98" s="4" t="s">
        <v>7</v>
      </c>
      <c r="B98" s="4" t="s">
        <v>66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>
      <c r="A99" s="4" t="s">
        <v>7</v>
      </c>
      <c r="B99" s="4" t="s">
        <v>67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>
      <c r="A100" s="4" t="s">
        <v>7</v>
      </c>
      <c r="B100" s="4" t="s">
        <v>68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>
      <c r="A101" s="4" t="s">
        <v>7</v>
      </c>
      <c r="B101" s="4" t="s">
        <v>747</v>
      </c>
      <c r="C101" s="4" t="str">
        <f>VLOOKUP([Field],Columns[],2,0)&amp;"("</f>
        <v>audit(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$table-&gt;audit();</v>
      </c>
    </row>
    <row r="102" spans="1:11">
      <c r="A102" s="4" t="s">
        <v>7</v>
      </c>
      <c r="B102" s="4" t="s">
        <v>40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>
      <c r="A103" s="4" t="s">
        <v>7</v>
      </c>
      <c r="B103" s="4" t="s">
        <v>69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>
      <c r="A104" s="4" t="s">
        <v>7</v>
      </c>
      <c r="B104" s="4" t="s">
        <v>70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>
      <c r="A105" s="4" t="s">
        <v>7</v>
      </c>
      <c r="B105" s="4" t="s">
        <v>71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>
      <c r="A106" s="4" t="s">
        <v>7</v>
      </c>
      <c r="B106" s="4" t="s">
        <v>72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>
      <c r="A112" s="4" t="s">
        <v>8</v>
      </c>
      <c r="B112" s="4" t="s">
        <v>261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>
      <c r="A113" s="4" t="s">
        <v>8</v>
      </c>
      <c r="B113" s="4" t="s">
        <v>267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>
      <c r="A114" s="4" t="s">
        <v>8</v>
      </c>
      <c r="B114" s="4" t="s">
        <v>76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>
      <c r="A115" s="4" t="s">
        <v>8</v>
      </c>
      <c r="B115" s="4" t="s">
        <v>262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>
      <c r="A116" s="4" t="s">
        <v>8</v>
      </c>
      <c r="B116" s="4" t="s">
        <v>90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>
      <c r="A117" s="4" t="s">
        <v>8</v>
      </c>
      <c r="B117" s="4" t="s">
        <v>84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>
      <c r="A118" s="4" t="s">
        <v>8</v>
      </c>
      <c r="B118" s="4" t="s">
        <v>86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>
      <c r="A119" s="4" t="s">
        <v>8</v>
      </c>
      <c r="B119" s="4" t="s">
        <v>747</v>
      </c>
      <c r="C119" s="4" t="str">
        <f>VLOOKUP([Field],Columns[],2,0)&amp;"("</f>
        <v>audit(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$table-&gt;audit();</v>
      </c>
    </row>
    <row r="120" spans="1:11">
      <c r="A120" s="4" t="s">
        <v>8</v>
      </c>
      <c r="B120" s="4" t="s">
        <v>40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>
      <c r="A121" s="4" t="s">
        <v>99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>
      <c r="A122" s="4" t="s">
        <v>99</v>
      </c>
      <c r="B122" s="4" t="s">
        <v>96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>
      <c r="A123" s="4" t="s">
        <v>99</v>
      </c>
      <c r="B123" s="4" t="s">
        <v>122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>
      <c r="A124" s="4" t="s">
        <v>99</v>
      </c>
      <c r="B124" s="4" t="s">
        <v>123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>
      <c r="A125" s="4" t="s">
        <v>99</v>
      </c>
      <c r="B125" s="4" t="s">
        <v>747</v>
      </c>
      <c r="C125" s="4" t="str">
        <f>VLOOKUP([Field],Columns[],2,0)&amp;"("</f>
        <v>audit(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$table-&gt;audit();</v>
      </c>
    </row>
    <row r="126" spans="1:11">
      <c r="A126" s="4" t="s">
        <v>99</v>
      </c>
      <c r="B126" s="4" t="s">
        <v>97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>
      <c r="A127" s="4" t="s">
        <v>100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>
      <c r="A128" s="4" t="s">
        <v>100</v>
      </c>
      <c r="B128" s="4" t="s">
        <v>96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>
      <c r="A129" s="4" t="s">
        <v>100</v>
      </c>
      <c r="B129" s="4" t="s">
        <v>227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['Method','Dashboard','Form','List','Data','FormWithData','ListRelation','AddRelation','ManageRelation'])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['Method','Dashboard','Form','List','Data','FormWithData','ListRelation','AddRelation','ManageRelation'])-&gt;default('Method');</v>
      </c>
    </row>
    <row r="130" spans="1:11">
      <c r="A130" s="4" t="s">
        <v>100</v>
      </c>
      <c r="B130" s="4" t="s">
        <v>105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>
      <c r="A131" s="4" t="s">
        <v>100</v>
      </c>
      <c r="B131" s="4" t="s">
        <v>106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>
      <c r="A132" s="4" t="s">
        <v>100</v>
      </c>
      <c r="B132" s="4" t="s">
        <v>110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>
      <c r="A133" s="4" t="s">
        <v>100</v>
      </c>
      <c r="B133" s="4" t="s">
        <v>109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>
      <c r="A134" s="4" t="s">
        <v>100</v>
      </c>
      <c r="B134" s="4" t="s">
        <v>108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>
      <c r="A135" s="4" t="s">
        <v>100</v>
      </c>
      <c r="B135" s="4" t="s">
        <v>107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>
      <c r="A136" s="4" t="s">
        <v>100</v>
      </c>
      <c r="B136" s="4" t="s">
        <v>747</v>
      </c>
      <c r="C136" s="4" t="str">
        <f>VLOOKUP([Field],Columns[],2,0)&amp;"("</f>
        <v>audit(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$table-&gt;audit();</v>
      </c>
    </row>
    <row r="137" spans="1:11">
      <c r="A137" s="4" t="s">
        <v>100</v>
      </c>
      <c r="B137" s="4" t="s">
        <v>97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101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101</v>
      </c>
      <c r="B139" s="4" t="s">
        <v>116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101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101</v>
      </c>
      <c r="B141" s="4" t="s">
        <v>118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101</v>
      </c>
      <c r="B142" s="4" t="s">
        <v>229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101</v>
      </c>
      <c r="B143" s="4" t="s">
        <v>747</v>
      </c>
      <c r="C143" s="4" t="str">
        <f>VLOOKUP([Field],Columns[],2,0)&amp;"("</f>
        <v>audit(</v>
      </c>
      <c r="D143" s="4" t="str">
        <f>IF(VLOOKUP([Field],Columns[],3,0)&lt;&gt;"","'"&amp;VLOOKUP([Field],Columns[],3,0)&amp;"'","")</f>
        <v/>
      </c>
      <c r="E143" s="7" t="str">
        <f>IF(VLOOKUP([Field],Columns[],4,0)&lt;&gt;0,", "&amp;VLOOKUP([Field],Columns[],4,0)&amp;")",")")</f>
        <v>)</v>
      </c>
      <c r="F143" s="4" t="str">
        <f>IF(VLOOKUP([Field],Columns[],5,0)=0,"","-&gt;"&amp;VLOOKUP([Field],Columns[],5,0))</f>
        <v/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$table-&gt;audit();</v>
      </c>
    </row>
    <row r="144" spans="1:11">
      <c r="A144" s="4" t="s">
        <v>101</v>
      </c>
      <c r="B144" s="4" t="s">
        <v>117</v>
      </c>
      <c r="C144" s="4" t="str">
        <f>VLOOKUP([Field],Columns[],2,0)&amp;"("</f>
        <v>foreign(</v>
      </c>
      <c r="D144" s="4" t="str">
        <f>IF(VLOOKUP([Field],Columns[],3,0)&lt;&gt;"","'"&amp;VLOOKUP([Field],Columns[],3,0)&amp;"'","")</f>
        <v>'resource_form'</v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>-&gt;references('id')</v>
      </c>
      <c r="G144" s="4" t="str">
        <f>IF(VLOOKUP([Field],Columns[],6,0)=0,"","-&gt;"&amp;VLOOKUP([Field],Columns[],6,0))</f>
        <v>-&gt;on('__resource_forms')</v>
      </c>
      <c r="H144" s="4" t="str">
        <f>IF(VLOOKUP([Field],Columns[],7,0)=0,"","-&gt;"&amp;VLOOKUP([Field],Columns[],7,0))</f>
        <v>-&gt;onUpdate('cascade')</v>
      </c>
      <c r="I144" s="4" t="str">
        <f>IF(VLOOKUP([Field],Columns[],8,0)=0,"","-&gt;"&amp;VLOOKUP([Field],Columns[],8,0))</f>
        <v>-&gt;onDelete('cascade')</v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5" spans="1:11">
      <c r="A145" s="4" t="s">
        <v>102</v>
      </c>
      <c r="B145" s="4" t="s">
        <v>21</v>
      </c>
      <c r="C145" s="4" t="str">
        <f>VLOOKUP([Field],Columns[],2,0)&amp;"("</f>
        <v>increments(</v>
      </c>
      <c r="D145" s="4" t="str">
        <f>IF(VLOOKUP([Field],Columns[],3,0)&lt;&gt;"","'"&amp;VLOOKUP([Field],Columns[],3,0)&amp;"'","")</f>
        <v>'id'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$table-&gt;increments('id');</v>
      </c>
    </row>
    <row r="146" spans="1:11">
      <c r="A146" s="4" t="s">
        <v>102</v>
      </c>
      <c r="B146" s="4" t="s">
        <v>119</v>
      </c>
      <c r="C146" s="4" t="str">
        <f>VLOOKUP([Field],Columns[],2,0)&amp;"("</f>
        <v>unsignedInteger(</v>
      </c>
      <c r="D146" s="4" t="str">
        <f>IF(VLOOKUP([Field],Columns[],3,0)&lt;&gt;"","'"&amp;VLOOKUP([Field],Columns[],3,0)&amp;"'","")</f>
        <v>'form_field'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>-&gt;index()</v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$table-&gt;unsignedInteger('form_field')-&gt;index();</v>
      </c>
    </row>
    <row r="147" spans="1:11">
      <c r="A147" s="4" t="s">
        <v>102</v>
      </c>
      <c r="B147" s="4" t="s">
        <v>122</v>
      </c>
      <c r="C147" s="4" t="str">
        <f>VLOOKUP([Field],Columns[],2,0)&amp;"("</f>
        <v>string(</v>
      </c>
      <c r="D147" s="4" t="str">
        <f>IF(VLOOKUP([Field],Columns[],3,0)&lt;&gt;"","'"&amp;VLOOKUP([Field],Columns[],3,0)&amp;"'","")</f>
        <v>'name'</v>
      </c>
      <c r="E147" s="7" t="str">
        <f>IF(VLOOKUP([Field],Columns[],4,0)&lt;&gt;0,", "&amp;VLOOKUP([Field],Columns[],4,0)&amp;")",")")</f>
        <v>, 64)</v>
      </c>
      <c r="F147" s="4" t="str">
        <f>IF(VLOOKUP([Field],Columns[],5,0)=0,"","-&gt;"&amp;VLOOKUP([Field],Columns[],5,0))</f>
        <v>-&gt;nullable()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$table-&gt;string('name', 64)-&gt;nullable();</v>
      </c>
    </row>
    <row r="148" spans="1:11">
      <c r="A148" s="4" t="s">
        <v>102</v>
      </c>
      <c r="B148" s="4" t="s">
        <v>123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'value'</v>
      </c>
      <c r="E148" s="7" t="str">
        <f>IF(VLOOKUP([Field],Columns[],4,0)&lt;&gt;0,", "&amp;VLOOKUP([Field],Columns[],4,0)&amp;")",")")</f>
        <v>, 128)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$table-&gt;string('value', 128)-&gt;nullable();</v>
      </c>
    </row>
    <row r="149" spans="1:11">
      <c r="A149" s="4" t="s">
        <v>102</v>
      </c>
      <c r="B149" s="4" t="s">
        <v>747</v>
      </c>
      <c r="C149" s="4" t="str">
        <f>VLOOKUP([Field],Columns[],2,0)&amp;"("</f>
        <v>audit(</v>
      </c>
      <c r="D149" s="4" t="str">
        <f>IF(VLOOKUP([Field],Columns[],3,0)&lt;&gt;"","'"&amp;VLOOKUP([Field],Columns[],3,0)&amp;"'","")</f>
        <v/>
      </c>
      <c r="E149" s="7" t="str">
        <f>IF(VLOOKUP([Field],Columns[],4,0)&lt;&gt;0,", "&amp;VLOOKUP([Field],Columns[],4,0)&amp;")",")")</f>
        <v>)</v>
      </c>
      <c r="F149" s="4" t="str">
        <f>IF(VLOOKUP([Field],Columns[],5,0)=0,"","-&gt;"&amp;VLOOKUP([Field],Columns[],5,0))</f>
        <v/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$table-&gt;audit();</v>
      </c>
    </row>
    <row r="150" spans="1:11">
      <c r="A150" s="4" t="s">
        <v>102</v>
      </c>
      <c r="B150" s="4" t="s">
        <v>120</v>
      </c>
      <c r="C150" s="4" t="str">
        <f>VLOOKUP([Field],Columns[],2,0)&amp;"("</f>
        <v>foreign(</v>
      </c>
      <c r="D150" s="4" t="str">
        <f>IF(VLOOKUP([Field],Columns[],3,0)&lt;&gt;"","'"&amp;VLOOKUP([Field],Columns[],3,0)&amp;"'","")</f>
        <v>'form_field'</v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>-&gt;references('id')</v>
      </c>
      <c r="G150" s="4" t="str">
        <f>IF(VLOOKUP([Field],Columns[],6,0)=0,"","-&gt;"&amp;VLOOKUP([Field],Columns[],6,0))</f>
        <v>-&gt;on('__resource_form_fields')</v>
      </c>
      <c r="H150" s="4" t="str">
        <f>IF(VLOOKUP([Field],Columns[],7,0)=0,"","-&gt;"&amp;VLOOKUP([Field],Columns[],7,0))</f>
        <v>-&gt;onUpdate('cascade')</v>
      </c>
      <c r="I150" s="4" t="str">
        <f>IF(VLOOKUP([Field],Columns[],8,0)=0,"","-&gt;"&amp;VLOOKUP([Field],Columns[],8,0))</f>
        <v>-&gt;onDelete('cascade')</v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1" spans="1:11">
      <c r="A151" s="4" t="s">
        <v>103</v>
      </c>
      <c r="B151" s="4" t="s">
        <v>21</v>
      </c>
      <c r="C151" s="4" t="str">
        <f>VLOOKUP([Field],Columns[],2,0)&amp;"("</f>
        <v>increments(</v>
      </c>
      <c r="D151" s="4" t="str">
        <f>IF(VLOOKUP([Field],Columns[],3,0)&lt;&gt;"","'"&amp;VLOOKUP([Field],Columns[],3,0)&amp;"'","")</f>
        <v>'id'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/>
      </c>
      <c r="G151" s="4" t="str">
        <f>IF(VLOOKUP([Field],Columns[],6,0)=0,"","-&gt;"&amp;VLOOKUP([Field],Columns[],6,0))</f>
        <v/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$table-&gt;increments('id');</v>
      </c>
    </row>
    <row r="152" spans="1:11">
      <c r="A152" s="4" t="s">
        <v>103</v>
      </c>
      <c r="B152" s="4" t="s">
        <v>119</v>
      </c>
      <c r="C152" s="4" t="str">
        <f>VLOOKUP([Field],Columns[],2,0)&amp;"("</f>
        <v>unsignedInteger(</v>
      </c>
      <c r="D152" s="4" t="str">
        <f>IF(VLOOKUP([Field],Columns[],3,0)&lt;&gt;"","'"&amp;VLOOKUP([Field],Columns[],3,0)&amp;"'","")</f>
        <v>'form_field'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>-&gt;index()</v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$table-&gt;unsignedInteger('form_field')-&gt;index();</v>
      </c>
    </row>
    <row r="153" spans="1:11">
      <c r="A153" s="4" t="s">
        <v>103</v>
      </c>
      <c r="B153" s="4" t="s">
        <v>453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'relation'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>-&gt;nullable()</v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$table-&gt;unsignedInteger('relation')-&gt;index()-&gt;nullable();</v>
      </c>
    </row>
    <row r="154" spans="1:11">
      <c r="A154" s="4" t="s">
        <v>103</v>
      </c>
      <c r="B154" s="4" t="s">
        <v>455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'nest_relation1'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5" spans="1:11">
      <c r="A155" s="4" t="s">
        <v>103</v>
      </c>
      <c r="B155" s="4" t="s">
        <v>456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'nest_relation2'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6" spans="1:11">
      <c r="A156" s="4" t="s">
        <v>103</v>
      </c>
      <c r="B156" s="4" t="s">
        <v>457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'nest_relation3'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7" spans="1:11">
      <c r="A157" s="4" t="s">
        <v>103</v>
      </c>
      <c r="B157" s="4" t="s">
        <v>125</v>
      </c>
      <c r="C157" s="4" t="str">
        <f>VLOOKUP([Field],Columns[],2,0)&amp;"("</f>
        <v>string(</v>
      </c>
      <c r="D157" s="4" t="str">
        <f>IF(VLOOKUP([Field],Columns[],3,0)&lt;&gt;"","'"&amp;VLOOKUP([Field],Columns[],3,0)&amp;"'","")</f>
        <v>'attribute'</v>
      </c>
      <c r="E157" s="7" t="str">
        <f>IF(VLOOKUP([Field],Columns[],4,0)&lt;&gt;0,", "&amp;VLOOKUP([Field],Columns[],4,0)&amp;")",")")</f>
        <v>, 64)</v>
      </c>
      <c r="F157" s="4" t="str">
        <f>IF(VLOOKUP([Field],Columns[],5,0)=0,"","-&gt;"&amp;VLOOKUP([Field],Columns[],5,0))</f>
        <v>-&gt;nullable()</v>
      </c>
      <c r="G157" s="4" t="str">
        <f>IF(VLOOKUP([Field],Columns[],6,0)=0,"","-&gt;"&amp;VLOOKUP([Field],Columns[],6,0))</f>
        <v/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$table-&gt;string('attribute', 64)-&gt;nullable();</v>
      </c>
    </row>
    <row r="158" spans="1:11">
      <c r="A158" s="4" t="s">
        <v>103</v>
      </c>
      <c r="B158" s="4" t="s">
        <v>747</v>
      </c>
      <c r="C158" s="4" t="str">
        <f>VLOOKUP([Field],Columns[],2,0)&amp;"("</f>
        <v>audit(</v>
      </c>
      <c r="D158" s="4" t="str">
        <f>IF(VLOOKUP([Field],Columns[],3,0)&lt;&gt;"","'"&amp;VLOOKUP([Field],Columns[],3,0)&amp;"'","")</f>
        <v/>
      </c>
      <c r="E158" s="7" t="str">
        <f>IF(VLOOKUP([Field],Columns[],4,0)&lt;&gt;0,", "&amp;VLOOKUP([Field],Columns[],4,0)&amp;")",")")</f>
        <v>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$table-&gt;audit();</v>
      </c>
    </row>
    <row r="159" spans="1:11">
      <c r="A159" s="4" t="s">
        <v>103</v>
      </c>
      <c r="B159" s="4" t="s">
        <v>120</v>
      </c>
      <c r="C159" s="4" t="str">
        <f>VLOOKUP([Field],Columns[],2,0)&amp;"("</f>
        <v>foreign(</v>
      </c>
      <c r="D159" s="4" t="str">
        <f>IF(VLOOKUP([Field],Columns[],3,0)&lt;&gt;"","'"&amp;VLOOKUP([Field],Columns[],3,0)&amp;"'","")</f>
        <v>'form_field'</v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>-&gt;references('id')</v>
      </c>
      <c r="G159" s="4" t="str">
        <f>IF(VLOOKUP([Field],Columns[],6,0)=0,"","-&gt;"&amp;VLOOKUP([Field],Columns[],6,0))</f>
        <v>-&gt;on('__resource_form_fields')</v>
      </c>
      <c r="H159" s="4" t="str">
        <f>IF(VLOOKUP([Field],Columns[],7,0)=0,"","-&gt;"&amp;VLOOKUP([Field],Columns[],7,0))</f>
        <v>-&gt;onUpdate('cascade')</v>
      </c>
      <c r="I159" s="4" t="str">
        <f>IF(VLOOKUP([Field],Columns[],8,0)=0,"","-&gt;"&amp;VLOOKUP([Field],Columns[],8,0))</f>
        <v>-&gt;onDelete('cascade')</v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0" spans="1:11">
      <c r="A160" s="4" t="s">
        <v>103</v>
      </c>
      <c r="B160" s="4" t="s">
        <v>454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'relation'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-&gt;on('__resource_relations')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-&gt;onDelete('set null')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1" spans="1:11">
      <c r="A161" s="4" t="s">
        <v>103</v>
      </c>
      <c r="B161" s="4" t="s">
        <v>460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'nest_relation1'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2" spans="1:11">
      <c r="A162" s="4" t="s">
        <v>103</v>
      </c>
      <c r="B162" s="4" t="s">
        <v>461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'nest_relation2'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3" spans="1:11">
      <c r="A163" s="4" t="s">
        <v>103</v>
      </c>
      <c r="B163" s="4" t="s">
        <v>462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'nest_relation3'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4" spans="1:11">
      <c r="A164" s="4" t="s">
        <v>104</v>
      </c>
      <c r="B164" s="4" t="s">
        <v>21</v>
      </c>
      <c r="C164" s="4" t="str">
        <f>VLOOKUP([Field],Columns[],2,0)&amp;"("</f>
        <v>increments(</v>
      </c>
      <c r="D164" s="4" t="str">
        <f>IF(VLOOKUP([Field],Columns[],3,0)&lt;&gt;"","'"&amp;VLOOKUP([Field],Columns[],3,0)&amp;"'","")</f>
        <v>'id'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/>
      </c>
      <c r="G164" s="4" t="str">
        <f>IF(VLOOKUP([Field],Columns[],6,0)=0,"","-&gt;"&amp;VLOOKUP([Field],Columns[],6,0))</f>
        <v/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$table-&gt;increments('id');</v>
      </c>
    </row>
    <row r="165" spans="1:11">
      <c r="A165" s="4" t="s">
        <v>104</v>
      </c>
      <c r="B165" s="4" t="s">
        <v>119</v>
      </c>
      <c r="C165" s="4" t="str">
        <f>VLOOKUP([Field],Columns[],2,0)&amp;"("</f>
        <v>unsignedInteger(</v>
      </c>
      <c r="D165" s="4" t="str">
        <f>IF(VLOOKUP([Field],Columns[],3,0)&lt;&gt;"","'"&amp;VLOOKUP([Field],Columns[],3,0)&amp;"'","")</f>
        <v>'form_field'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>-&gt;index()</v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$table-&gt;unsignedInteger('form_field')-&gt;index();</v>
      </c>
    </row>
    <row r="166" spans="1:11">
      <c r="A166" s="4" t="s">
        <v>104</v>
      </c>
      <c r="B166" s="4" t="s">
        <v>126</v>
      </c>
      <c r="C166" s="4" t="str">
        <f>VLOOKUP([Field],Columns[],2,0)&amp;"("</f>
        <v>string(</v>
      </c>
      <c r="D166" s="4" t="str">
        <f>IF(VLOOKUP([Field],Columns[],3,0)&lt;&gt;"","'"&amp;VLOOKUP([Field],Columns[],3,0)&amp;"'","")</f>
        <v>'rule'</v>
      </c>
      <c r="E166" s="7" t="str">
        <f>IF(VLOOKUP([Field],Columns[],4,0)&lt;&gt;0,", "&amp;VLOOKUP([Field],Columns[],4,0)&amp;")",")")</f>
        <v>, 512)</v>
      </c>
      <c r="F166" s="4" t="str">
        <f>IF(VLOOKUP([Field],Columns[],5,0)=0,"","-&gt;"&amp;VLOOKUP([Field],Columns[],5,0))</f>
        <v>-&gt;nullable()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$table-&gt;string('rule', 512)-&gt;nullable();</v>
      </c>
    </row>
    <row r="167" spans="1:11">
      <c r="A167" s="4" t="s">
        <v>104</v>
      </c>
      <c r="B167" s="4" t="s">
        <v>127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'message'</v>
      </c>
      <c r="E167" s="7" t="str">
        <f>IF(VLOOKUP([Field],Columns[],4,0)&lt;&gt;0,", "&amp;VLOOKUP([Field],Columns[],4,0)&amp;")",")")</f>
        <v>, 1024)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$table-&gt;string('message', 1024)-&gt;nullable();</v>
      </c>
    </row>
    <row r="168" spans="1:11">
      <c r="A168" s="4" t="s">
        <v>104</v>
      </c>
      <c r="B168" s="4" t="s">
        <v>36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'arg1'</v>
      </c>
      <c r="E168" s="7" t="str">
        <f>IF(VLOOKUP([Field],Columns[],4,0)&lt;&gt;0,", "&amp;VLOOKUP([Field],Columns[],4,0)&amp;")",")")</f>
        <v>, 64)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$table-&gt;string('arg1', 64)-&gt;nullable();</v>
      </c>
    </row>
    <row r="169" spans="1:11">
      <c r="A169" s="4" t="s">
        <v>104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'arg2'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$table-&gt;string('arg2', 64)-&gt;nullable();</v>
      </c>
    </row>
    <row r="170" spans="1:11">
      <c r="A170" s="4" t="s">
        <v>104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'arg3'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$table-&gt;string('arg3', 64)-&gt;nullable();</v>
      </c>
    </row>
    <row r="171" spans="1:11">
      <c r="A171" s="4" t="s">
        <v>104</v>
      </c>
      <c r="B171" s="4" t="s">
        <v>130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'arg4'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$table-&gt;string('arg4', 64)-&gt;nullable();</v>
      </c>
    </row>
    <row r="172" spans="1:11">
      <c r="A172" s="4" t="s">
        <v>104</v>
      </c>
      <c r="B172" s="4" t="s">
        <v>131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'arg5'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$table-&gt;string('arg5', 64)-&gt;nullable();</v>
      </c>
    </row>
    <row r="173" spans="1:11">
      <c r="A173" s="4" t="s">
        <v>104</v>
      </c>
      <c r="B173" s="4" t="s">
        <v>747</v>
      </c>
      <c r="C173" s="4" t="str">
        <f>VLOOKUP([Field],Columns[],2,0)&amp;"("</f>
        <v>audit(</v>
      </c>
      <c r="D173" s="4" t="str">
        <f>IF(VLOOKUP([Field],Columns[],3,0)&lt;&gt;"","'"&amp;VLOOKUP([Field],Columns[],3,0)&amp;"'","")</f>
        <v/>
      </c>
      <c r="E173" s="7" t="str">
        <f>IF(VLOOKUP([Field],Columns[],4,0)&lt;&gt;0,", "&amp;VLOOKUP([Field],Columns[],4,0)&amp;")",")")</f>
        <v>)</v>
      </c>
      <c r="F173" s="4" t="str">
        <f>IF(VLOOKUP([Field],Columns[],5,0)=0,"","-&gt;"&amp;VLOOKUP([Field],Columns[],5,0))</f>
        <v/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$table-&gt;audit();</v>
      </c>
    </row>
    <row r="174" spans="1:11">
      <c r="A174" s="4" t="s">
        <v>104</v>
      </c>
      <c r="B174" s="4" t="s">
        <v>120</v>
      </c>
      <c r="C174" s="4" t="str">
        <f>VLOOKUP([Field],Columns[],2,0)&amp;"("</f>
        <v>foreign(</v>
      </c>
      <c r="D174" s="4" t="str">
        <f>IF(VLOOKUP([Field],Columns[],3,0)&lt;&gt;"","'"&amp;VLOOKUP([Field],Columns[],3,0)&amp;"'","")</f>
        <v>'form_field'</v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>-&gt;references('id')</v>
      </c>
      <c r="G174" s="4" t="str">
        <f>IF(VLOOKUP([Field],Columns[],6,0)=0,"","-&gt;"&amp;VLOOKUP([Field],Columns[],6,0))</f>
        <v>-&gt;on('__resource_form_fields')</v>
      </c>
      <c r="H174" s="4" t="str">
        <f>IF(VLOOKUP([Field],Columns[],7,0)=0,"","-&gt;"&amp;VLOOKUP([Field],Columns[],7,0))</f>
        <v>-&gt;onUpdate('cascade')</v>
      </c>
      <c r="I174" s="4" t="str">
        <f>IF(VLOOKUP([Field],Columns[],8,0)=0,"","-&gt;"&amp;VLOOKUP([Field],Columns[],8,0))</f>
        <v>-&gt;onDelete('cascade')</v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5" spans="1:11">
      <c r="A175" s="4" t="s">
        <v>132</v>
      </c>
      <c r="B175" s="4" t="s">
        <v>21</v>
      </c>
      <c r="C175" s="4" t="str">
        <f>VLOOKUP([Field],Columns[],2,0)&amp;"("</f>
        <v>increments(</v>
      </c>
      <c r="D175" s="4" t="str">
        <f>IF(VLOOKUP([Field],Columns[],3,0)&lt;&gt;"","'"&amp;VLOOKUP([Field],Columns[],3,0)&amp;"'","")</f>
        <v>'id'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/>
      </c>
      <c r="G175" s="4" t="str">
        <f>IF(VLOOKUP([Field],Columns[],6,0)=0,"","-&gt;"&amp;VLOOKUP([Field],Columns[],6,0))</f>
        <v/>
      </c>
      <c r="H175" s="4" t="str">
        <f>IF(VLOOKUP([Field],Columns[],7,0)=0,"","-&gt;"&amp;VLOOKUP([Field],Columns[],7,0))</f>
        <v/>
      </c>
      <c r="I175" s="4" t="str">
        <f>IF(VLOOKUP([Field],Columns[],8,0)=0,"","-&gt;"&amp;VLOOKUP([Field],Columns[],8,0))</f>
        <v/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$table-&gt;increments('id');</v>
      </c>
    </row>
    <row r="176" spans="1:11">
      <c r="A176" s="4" t="s">
        <v>132</v>
      </c>
      <c r="B176" s="4" t="s">
        <v>96</v>
      </c>
      <c r="C176" s="4" t="str">
        <f>VLOOKUP([Field],Columns[],2,0)&amp;"("</f>
        <v>unsignedInteger(</v>
      </c>
      <c r="D176" s="4" t="str">
        <f>IF(VLOOKUP([Field],Columns[],3,0)&lt;&gt;"","'"&amp;VLOOKUP([Field],Columns[],3,0)&amp;"'","")</f>
        <v>'resource_action'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>-&gt;index()</v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$table-&gt;unsignedInteger('resource_action')-&gt;index();</v>
      </c>
    </row>
    <row r="177" spans="1:11">
      <c r="A177" s="4" t="s">
        <v>132</v>
      </c>
      <c r="B177" s="4" t="s">
        <v>93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'resource_list'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$table-&gt;unsignedInteger('resource_list')-&gt;index();</v>
      </c>
    </row>
    <row r="178" spans="1:11">
      <c r="A178" s="4" t="s">
        <v>132</v>
      </c>
      <c r="B178" s="4" t="s">
        <v>747</v>
      </c>
      <c r="C178" s="4" t="str">
        <f>VLOOKUP([Field],Columns[],2,0)&amp;"("</f>
        <v>audit(</v>
      </c>
      <c r="D178" s="4" t="str">
        <f>IF(VLOOKUP([Field],Columns[],3,0)&lt;&gt;"","'"&amp;VLOOKUP([Field],Columns[],3,0)&amp;"'","")</f>
        <v/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/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$table-&gt;audit();</v>
      </c>
    </row>
    <row r="179" spans="1:11">
      <c r="A179" s="4" t="s">
        <v>132</v>
      </c>
      <c r="B179" s="4" t="s">
        <v>97</v>
      </c>
      <c r="C179" s="4" t="str">
        <f>VLOOKUP([Field],Columns[],2,0)&amp;"("</f>
        <v>foreign(</v>
      </c>
      <c r="D179" s="4" t="str">
        <f>IF(VLOOKUP([Field],Columns[],3,0)&lt;&gt;"","'"&amp;VLOOKUP([Field],Columns[],3,0)&amp;"'","")</f>
        <v>'resource_action'</v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>-&gt;references('id')</v>
      </c>
      <c r="G179" s="4" t="str">
        <f>IF(VLOOKUP([Field],Columns[],6,0)=0,"","-&gt;"&amp;VLOOKUP([Field],Columns[],6,0))</f>
        <v>-&gt;on('__resource_actions')</v>
      </c>
      <c r="H179" s="4" t="str">
        <f>IF(VLOOKUP([Field],Columns[],7,0)=0,"","-&gt;"&amp;VLOOKUP([Field],Columns[],7,0))</f>
        <v>-&gt;onUpdate('cascade')</v>
      </c>
      <c r="I179" s="4" t="str">
        <f>IF(VLOOKUP([Field],Columns[],8,0)=0,"","-&gt;"&amp;VLOOKUP([Field],Columns[],8,0))</f>
        <v>-&gt;onDelete('cascade')</v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0" spans="1:11">
      <c r="A180" s="4" t="s">
        <v>132</v>
      </c>
      <c r="B180" s="4" t="s">
        <v>94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'resource_list'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-&gt;on('__resource_lists')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1" spans="1:11">
      <c r="A181" s="4" t="s">
        <v>133</v>
      </c>
      <c r="B181" s="4" t="s">
        <v>21</v>
      </c>
      <c r="C181" s="4" t="str">
        <f>VLOOKUP([Field],Columns[],2,0)&amp;"("</f>
        <v>increments(</v>
      </c>
      <c r="D181" s="4" t="str">
        <f>IF(VLOOKUP([Field],Columns[],3,0)&lt;&gt;"","'"&amp;VLOOKUP([Field],Columns[],3,0)&amp;"'","")</f>
        <v>'id'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/>
      </c>
      <c r="G181" s="4" t="str">
        <f>IF(VLOOKUP([Field],Columns[],6,0)=0,"","-&gt;"&amp;VLOOKUP([Field],Columns[],6,0))</f>
        <v/>
      </c>
      <c r="H181" s="4" t="str">
        <f>IF(VLOOKUP([Field],Columns[],7,0)=0,"","-&gt;"&amp;VLOOKUP([Field],Columns[],7,0))</f>
        <v/>
      </c>
      <c r="I181" s="4" t="str">
        <f>IF(VLOOKUP([Field],Columns[],8,0)=0,"","-&gt;"&amp;VLOOKUP([Field],Columns[],8,0))</f>
        <v/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$table-&gt;increments('id');</v>
      </c>
    </row>
    <row r="182" spans="1:11">
      <c r="A182" s="4" t="s">
        <v>133</v>
      </c>
      <c r="B182" s="4" t="s">
        <v>96</v>
      </c>
      <c r="C182" s="4" t="str">
        <f>VLOOKUP([Field],Columns[],2,0)&amp;"("</f>
        <v>unsignedInteger(</v>
      </c>
      <c r="D182" s="4" t="str">
        <f>IF(VLOOKUP([Field],Columns[],3,0)&lt;&gt;"","'"&amp;VLOOKUP([Field],Columns[],3,0)&amp;"'","")</f>
        <v>'resource_action'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>-&gt;index()</v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$table-&gt;unsignedInteger('resource_action')-&gt;index();</v>
      </c>
    </row>
    <row r="183" spans="1:11">
      <c r="A183" s="4" t="s">
        <v>133</v>
      </c>
      <c r="B183" s="4" t="s">
        <v>4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'resource_data'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$table-&gt;unsignedInteger('resource_data')-&gt;index();</v>
      </c>
    </row>
    <row r="184" spans="1:11">
      <c r="A184" s="4" t="s">
        <v>133</v>
      </c>
      <c r="B184" s="4" t="s">
        <v>747</v>
      </c>
      <c r="C184" s="4" t="str">
        <f>VLOOKUP([Field],Columns[],2,0)&amp;"("</f>
        <v>audit(</v>
      </c>
      <c r="D184" s="4" t="str">
        <f>IF(VLOOKUP([Field],Columns[],3,0)&lt;&gt;"","'"&amp;VLOOKUP([Field],Columns[],3,0)&amp;"'","")</f>
        <v/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/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$table-&gt;audit();</v>
      </c>
    </row>
    <row r="185" spans="1:11">
      <c r="A185" s="4" t="s">
        <v>133</v>
      </c>
      <c r="B185" s="4" t="s">
        <v>97</v>
      </c>
      <c r="C185" s="4" t="str">
        <f>VLOOKUP([Field],Columns[],2,0)&amp;"("</f>
        <v>foreign(</v>
      </c>
      <c r="D185" s="4" t="str">
        <f>IF(VLOOKUP([Field],Columns[],3,0)&lt;&gt;"","'"&amp;VLOOKUP([Field],Columns[],3,0)&amp;"'","")</f>
        <v>'resource_action'</v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>-&gt;references('id')</v>
      </c>
      <c r="G185" s="4" t="str">
        <f>IF(VLOOKUP([Field],Columns[],6,0)=0,"","-&gt;"&amp;VLOOKUP([Field],Columns[],6,0))</f>
        <v>-&gt;on('__resource_actions')</v>
      </c>
      <c r="H185" s="4" t="str">
        <f>IF(VLOOKUP([Field],Columns[],7,0)=0,"","-&gt;"&amp;VLOOKUP([Field],Columns[],7,0))</f>
        <v>-&gt;onUpdate('cascade')</v>
      </c>
      <c r="I185" s="4" t="str">
        <f>IF(VLOOKUP([Field],Columns[],8,0)=0,"","-&gt;"&amp;VLOOKUP([Field],Columns[],8,0))</f>
        <v>-&gt;onDelete('cascade')</v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6" spans="1:11">
      <c r="A186" s="4" t="s">
        <v>133</v>
      </c>
      <c r="B186" s="4" t="s">
        <v>92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'resource_data'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-&gt;on('__resource_data')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7" spans="1:11">
      <c r="A187" s="4" t="s">
        <v>134</v>
      </c>
      <c r="B187" s="4" t="s">
        <v>21</v>
      </c>
      <c r="C187" s="4" t="str">
        <f>VLOOKUP([Field],Columns[],2,0)&amp;"("</f>
        <v>increments(</v>
      </c>
      <c r="D187" s="4" t="str">
        <f>IF(VLOOKUP([Field],Columns[],3,0)&lt;&gt;"","'"&amp;VLOOKUP([Field],Columns[],3,0)&amp;"'","")</f>
        <v>'id'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$table-&gt;increments('id');</v>
      </c>
    </row>
    <row r="188" spans="1:11">
      <c r="A188" s="4" t="s">
        <v>134</v>
      </c>
      <c r="B188" s="4" t="s">
        <v>26</v>
      </c>
      <c r="C188" s="4" t="str">
        <f>VLOOKUP([Field],Columns[],2,0)&amp;"("</f>
        <v>string(</v>
      </c>
      <c r="D188" s="4" t="str">
        <f>IF(VLOOKUP([Field],Columns[],3,0)&lt;&gt;"","'"&amp;VLOOKUP([Field],Columns[],3,0)&amp;"'","")</f>
        <v>'name'</v>
      </c>
      <c r="E188" s="7" t="str">
        <f>IF(VLOOKUP([Field],Columns[],4,0)&lt;&gt;0,", "&amp;VLOOKUP([Field],Columns[],4,0)&amp;")",")")</f>
        <v>, 64)</v>
      </c>
      <c r="F188" s="4" t="str">
        <f>IF(VLOOKUP([Field],Columns[],5,0)=0,"","-&gt;"&amp;VLOOKUP([Field],Columns[],5,0))</f>
        <v>-&gt;index()</v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$table-&gt;string('name', 64)-&gt;index();</v>
      </c>
    </row>
    <row r="189" spans="1:11">
      <c r="A189" s="4" t="s">
        <v>134</v>
      </c>
      <c r="B189" s="4" t="s">
        <v>28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'description'</v>
      </c>
      <c r="E189" s="7" t="str">
        <f>IF(VLOOKUP([Field],Columns[],4,0)&lt;&gt;0,", "&amp;VLOOKUP([Field],Columns[],4,0)&amp;")",")")</f>
        <v>, 1024)</v>
      </c>
      <c r="F189" s="4" t="str">
        <f>IF(VLOOKUP([Field],Columns[],5,0)=0,"","-&gt;"&amp;VLOOKUP([Field],Columns[],5,0))</f>
        <v>-&gt;nullable()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$table-&gt;string('description', 1024)-&gt;nullable();</v>
      </c>
    </row>
    <row r="190" spans="1:11">
      <c r="A190" s="4" t="s">
        <v>134</v>
      </c>
      <c r="B190" s="4" t="s">
        <v>30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'title'</v>
      </c>
      <c r="E190" s="7" t="str">
        <f>IF(VLOOKUP([Field],Columns[],4,0)&lt;&gt;0,", "&amp;VLOOKUP([Field],Columns[],4,0)&amp;")",")")</f>
        <v>, 128)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$table-&gt;string('title', 128)-&gt;nullable();</v>
      </c>
    </row>
    <row r="191" spans="1:11">
      <c r="A191" s="4" t="s">
        <v>134</v>
      </c>
      <c r="B191" s="4" t="s">
        <v>747</v>
      </c>
      <c r="C191" s="4" t="str">
        <f>VLOOKUP([Field],Columns[],2,0)&amp;"("</f>
        <v>audit(</v>
      </c>
      <c r="D191" s="4" t="str">
        <f>IF(VLOOKUP([Field],Columns[],3,0)&lt;&gt;"","'"&amp;VLOOKUP([Field],Columns[],3,0)&amp;"'","")</f>
        <v/>
      </c>
      <c r="E191" s="7" t="str">
        <f>IF(VLOOKUP([Field],Columns[],4,0)&lt;&gt;0,", "&amp;VLOOKUP([Field],Columns[],4,0)&amp;")",")")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$table-&gt;audit();</v>
      </c>
    </row>
    <row r="192" spans="1:11">
      <c r="A192" s="4" t="s">
        <v>135</v>
      </c>
      <c r="B192" s="4" t="s">
        <v>21</v>
      </c>
      <c r="C192" s="4" t="str">
        <f>VLOOKUP([Field],Columns[],2,0)&amp;"("</f>
        <v>increments(</v>
      </c>
      <c r="D192" s="4" t="str">
        <f>IF(VLOOKUP([Field],Columns[],3,0)&lt;&gt;"","'"&amp;VLOOKUP([Field],Columns[],3,0)&amp;"'","")</f>
        <v>'id'</v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$table-&gt;increments('id');</v>
      </c>
    </row>
    <row r="193" spans="1:11">
      <c r="A193" s="4" t="s">
        <v>135</v>
      </c>
      <c r="B193" s="4" t="s">
        <v>138</v>
      </c>
      <c r="C193" s="4" t="str">
        <f>VLOOKUP([Field],Columns[],2,0)&amp;"("</f>
        <v>unsignedInteger(</v>
      </c>
      <c r="D193" s="4" t="str">
        <f>IF(VLOOKUP([Field],Columns[],3,0)&lt;&gt;"","'"&amp;VLOOKUP([Field],Columns[],3,0)&amp;"'","")</f>
        <v>'group'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$table-&gt;unsignedInteger('group');</v>
      </c>
    </row>
    <row r="194" spans="1:11">
      <c r="A194" s="4" t="s">
        <v>135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'user'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$table-&gt;unsignedInteger('user');</v>
      </c>
    </row>
    <row r="195" spans="1:11">
      <c r="A195" s="4" t="s">
        <v>135</v>
      </c>
      <c r="B195" s="4" t="s">
        <v>747</v>
      </c>
      <c r="C195" s="4" t="str">
        <f>VLOOKUP([Field],Columns[],2,0)&amp;"("</f>
        <v>audit(</v>
      </c>
      <c r="D195" s="4" t="str">
        <f>IF(VLOOKUP([Field],Columns[],3,0)&lt;&gt;"","'"&amp;VLOOKUP([Field],Columns[],3,0)&amp;"'","")</f>
        <v/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$table-&gt;audit();</v>
      </c>
    </row>
    <row r="196" spans="1:11">
      <c r="A196" s="4" t="s">
        <v>135</v>
      </c>
      <c r="B196" s="4" t="s">
        <v>139</v>
      </c>
      <c r="C196" s="4" t="str">
        <f>VLOOKUP([Field],Columns[],2,0)&amp;"("</f>
        <v>foreign(</v>
      </c>
      <c r="D196" s="4" t="str">
        <f>IF(VLOOKUP([Field],Columns[],3,0)&lt;&gt;"","'"&amp;VLOOKUP([Field],Columns[],3,0)&amp;"'","")</f>
        <v>'group'</v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>-&gt;references('id')</v>
      </c>
      <c r="G196" s="4" t="str">
        <f>IF(VLOOKUP([Field],Columns[],6,0)=0,"","-&gt;"&amp;VLOOKUP([Field],Columns[],6,0))</f>
        <v>-&gt;on('__groups')</v>
      </c>
      <c r="H196" s="4" t="str">
        <f>IF(VLOOKUP([Field],Columns[],7,0)=0,"","-&gt;"&amp;VLOOKUP([Field],Columns[],7,0))</f>
        <v>-&gt;onUpdate('cascade')</v>
      </c>
      <c r="I196" s="4" t="str">
        <f>IF(VLOOKUP([Field],Columns[],8,0)=0,"","-&gt;"&amp;VLOOKUP([Field],Columns[],8,0))</f>
        <v>-&gt;onDelete('cascade')</v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7" spans="1:11">
      <c r="A197" s="4" t="s">
        <v>135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'user'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-&gt;on('users')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8" spans="1:11">
      <c r="A198" s="4" t="s">
        <v>136</v>
      </c>
      <c r="B198" s="4" t="s">
        <v>21</v>
      </c>
      <c r="C198" s="4" t="str">
        <f>VLOOKUP([Field],Columns[],2,0)&amp;"("</f>
        <v>increments(</v>
      </c>
      <c r="D198" s="4" t="str">
        <f>IF(VLOOKUP([Field],Columns[],3,0)&lt;&gt;"","'"&amp;VLOOKUP([Field],Columns[],3,0)&amp;"'","")</f>
        <v>'id'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/>
      </c>
      <c r="G198" s="4" t="str">
        <f>IF(VLOOKUP([Field],Columns[],6,0)=0,"","-&gt;"&amp;VLOOKUP([Field],Columns[],6,0))</f>
        <v/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$table-&gt;increments('id');</v>
      </c>
    </row>
    <row r="199" spans="1:11">
      <c r="A199" s="4" t="s">
        <v>136</v>
      </c>
      <c r="B199" s="4" t="s">
        <v>26</v>
      </c>
      <c r="C199" s="4" t="str">
        <f>VLOOKUP([Field],Columns[],2,0)&amp;"("</f>
        <v>string(</v>
      </c>
      <c r="D199" s="4" t="str">
        <f>IF(VLOOKUP([Field],Columns[],3,0)&lt;&gt;"","'"&amp;VLOOKUP([Field],Columns[],3,0)&amp;"'","")</f>
        <v>'name'</v>
      </c>
      <c r="E199" s="7" t="str">
        <f>IF(VLOOKUP([Field],Columns[],4,0)&lt;&gt;0,", "&amp;VLOOKUP([Field],Columns[],4,0)&amp;")",")")</f>
        <v>, 64)</v>
      </c>
      <c r="F199" s="4" t="str">
        <f>IF(VLOOKUP([Field],Columns[],5,0)=0,"","-&gt;"&amp;VLOOKUP([Field],Columns[],5,0))</f>
        <v>-&gt;index()</v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$table-&gt;string('name', 64)-&gt;index();</v>
      </c>
    </row>
    <row r="200" spans="1:11">
      <c r="A200" s="4" t="s">
        <v>136</v>
      </c>
      <c r="B200" s="4" t="s">
        <v>28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'description'</v>
      </c>
      <c r="E200" s="7" t="str">
        <f>IF(VLOOKUP([Field],Columns[],4,0)&lt;&gt;0,", "&amp;VLOOKUP([Field],Columns[],4,0)&amp;")",")")</f>
        <v>, 1024)</v>
      </c>
      <c r="F200" s="4" t="str">
        <f>IF(VLOOKUP([Field],Columns[],5,0)=0,"","-&gt;"&amp;VLOOKUP([Field],Columns[],5,0))</f>
        <v>-&gt;nullable()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$table-&gt;string('description', 1024)-&gt;nullable();</v>
      </c>
    </row>
    <row r="201" spans="1:11">
      <c r="A201" s="4" t="s">
        <v>136</v>
      </c>
      <c r="B201" s="4" t="s">
        <v>30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'title'</v>
      </c>
      <c r="E201" s="7" t="str">
        <f>IF(VLOOKUP([Field],Columns[],4,0)&lt;&gt;0,", "&amp;VLOOKUP([Field],Columns[],4,0)&amp;")",")")</f>
        <v>, 128)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$table-&gt;string('title', 128)-&gt;nullable();</v>
      </c>
    </row>
    <row r="202" spans="1:11">
      <c r="A202" s="4" t="s">
        <v>136</v>
      </c>
      <c r="B202" s="4" t="s">
        <v>747</v>
      </c>
      <c r="C202" s="4" t="str">
        <f>VLOOKUP([Field],Columns[],2,0)&amp;"("</f>
        <v>audit(</v>
      </c>
      <c r="D202" s="4" t="str">
        <f>IF(VLOOKUP([Field],Columns[],3,0)&lt;&gt;"","'"&amp;VLOOKUP([Field],Columns[],3,0)&amp;"'","")</f>
        <v/>
      </c>
      <c r="E202" s="7" t="str">
        <f>IF(VLOOKUP([Field],Columns[],4,0)&lt;&gt;0,", "&amp;VLOOKUP([Field],Columns[],4,0)&amp;")",")")</f>
        <v>)</v>
      </c>
      <c r="F202" s="4" t="str">
        <f>IF(VLOOKUP([Field],Columns[],5,0)=0,"","-&gt;"&amp;VLOOKUP([Field],Columns[],5,0))</f>
        <v/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$table-&gt;audit();</v>
      </c>
    </row>
    <row r="203" spans="1:11">
      <c r="A203" s="4" t="s">
        <v>137</v>
      </c>
      <c r="B203" s="4" t="s">
        <v>21</v>
      </c>
      <c r="C203" s="4" t="str">
        <f>VLOOKUP([Field],Columns[],2,0)&amp;"("</f>
        <v>increments(</v>
      </c>
      <c r="D203" s="4" t="str">
        <f>IF(VLOOKUP([Field],Columns[],3,0)&lt;&gt;"","'"&amp;VLOOKUP([Field],Columns[],3,0)&amp;"'","")</f>
        <v>'id'</v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$table-&gt;increments('id');</v>
      </c>
    </row>
    <row r="204" spans="1:11">
      <c r="A204" s="4" t="s">
        <v>137</v>
      </c>
      <c r="B204" s="4" t="s">
        <v>138</v>
      </c>
      <c r="C204" s="4" t="str">
        <f>VLOOKUP([Field],Columns[],2,0)&amp;"("</f>
        <v>unsignedInteger(</v>
      </c>
      <c r="D204" s="4" t="str">
        <f>IF(VLOOKUP([Field],Columns[],3,0)&lt;&gt;"","'"&amp;VLOOKUP([Field],Columns[],3,0)&amp;"'","")</f>
        <v>'group'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$table-&gt;unsignedInteger('group');</v>
      </c>
    </row>
    <row r="205" spans="1:11">
      <c r="A205" s="4" t="s">
        <v>137</v>
      </c>
      <c r="B205" s="4" t="s">
        <v>144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'role'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$table-&gt;unsignedInteger('role');</v>
      </c>
    </row>
    <row r="206" spans="1:11">
      <c r="A206" s="4" t="s">
        <v>137</v>
      </c>
      <c r="B206" s="4" t="s">
        <v>747</v>
      </c>
      <c r="C206" s="4" t="str">
        <f>VLOOKUP([Field],Columns[],2,0)&amp;"("</f>
        <v>audit(</v>
      </c>
      <c r="D206" s="4" t="str">
        <f>IF(VLOOKUP([Field],Columns[],3,0)&lt;&gt;"","'"&amp;VLOOKUP([Field],Columns[],3,0)&amp;"'","")</f>
        <v/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$table-&gt;audit();</v>
      </c>
    </row>
    <row r="207" spans="1:11">
      <c r="A207" s="4" t="s">
        <v>137</v>
      </c>
      <c r="B207" s="4" t="s">
        <v>139</v>
      </c>
      <c r="C207" s="4" t="str">
        <f>VLOOKUP([Field],Columns[],2,0)&amp;"("</f>
        <v>foreign(</v>
      </c>
      <c r="D207" s="4" t="str">
        <f>IF(VLOOKUP([Field],Columns[],3,0)&lt;&gt;"","'"&amp;VLOOKUP([Field],Columns[],3,0)&amp;"'","")</f>
        <v>'group'</v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>-&gt;references('id')</v>
      </c>
      <c r="G207" s="4" t="str">
        <f>IF(VLOOKUP([Field],Columns[],6,0)=0,"","-&gt;"&amp;VLOOKUP([Field],Columns[],6,0))</f>
        <v>-&gt;on('__groups')</v>
      </c>
      <c r="H207" s="4" t="str">
        <f>IF(VLOOKUP([Field],Columns[],7,0)=0,"","-&gt;"&amp;VLOOKUP([Field],Columns[],7,0))</f>
        <v>-&gt;onUpdate('cascade')</v>
      </c>
      <c r="I207" s="4" t="str">
        <f>IF(VLOOKUP([Field],Columns[],8,0)=0,"","-&gt;"&amp;VLOOKUP([Field],Columns[],8,0))</f>
        <v>-&gt;onDelete('cascade')</v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8" spans="1:11">
      <c r="A208" s="4" t="s">
        <v>137</v>
      </c>
      <c r="B208" s="4" t="s">
        <v>145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'role'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-&gt;on('__roles')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09" spans="1:11">
      <c r="A209" s="4" t="s">
        <v>147</v>
      </c>
      <c r="B209" s="4" t="s">
        <v>21</v>
      </c>
      <c r="C209" s="4" t="str">
        <f>VLOOKUP([Field],Columns[],2,0)&amp;"("</f>
        <v>increments(</v>
      </c>
      <c r="D209" s="4" t="str">
        <f>IF(VLOOKUP([Field],Columns[],3,0)&lt;&gt;"","'"&amp;VLOOKUP([Field],Columns[],3,0)&amp;"'","")</f>
        <v>'id'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/>
      </c>
      <c r="G209" s="4" t="str">
        <f>IF(VLOOKUP([Field],Columns[],6,0)=0,"","-&gt;"&amp;VLOOKUP([Field],Columns[],6,0))</f>
        <v/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$table-&gt;increments('id');</v>
      </c>
    </row>
    <row r="210" spans="1:11">
      <c r="A210" s="4" t="s">
        <v>147</v>
      </c>
      <c r="B210" s="4" t="s">
        <v>116</v>
      </c>
      <c r="C210" s="4" t="str">
        <f>VLOOKUP([Field],Columns[],2,0)&amp;"("</f>
        <v>unsignedInteger(</v>
      </c>
      <c r="D210" s="4" t="str">
        <f>IF(VLOOKUP([Field],Columns[],3,0)&lt;&gt;"","'"&amp;VLOOKUP([Field],Columns[],3,0)&amp;"'","")</f>
        <v>'resource_form'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>-&gt;index()</v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$table-&gt;unsignedInteger('resource_form')-&gt;index();</v>
      </c>
    </row>
    <row r="211" spans="1:11">
      <c r="A211" s="4" t="s">
        <v>147</v>
      </c>
      <c r="B211" s="4" t="s">
        <v>26</v>
      </c>
      <c r="C211" s="4" t="str">
        <f>VLOOKUP([Field],Columns[],2,0)&amp;"("</f>
        <v>string(</v>
      </c>
      <c r="D211" s="4" t="str">
        <f>IF(VLOOKUP([Field],Columns[],3,0)&lt;&gt;"","'"&amp;VLOOKUP([Field],Columns[],3,0)&amp;"'","")</f>
        <v>'name'</v>
      </c>
      <c r="E211" s="7" t="str">
        <f>IF(VLOOKUP([Field],Columns[],4,0)&lt;&gt;0,", "&amp;VLOOKUP([Field],Columns[],4,0)&amp;")",")")</f>
        <v>, 64)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$table-&gt;string('name', 64)-&gt;index();</v>
      </c>
    </row>
    <row r="212" spans="1:11">
      <c r="A212" s="4" t="s">
        <v>147</v>
      </c>
      <c r="B212" s="4" t="s">
        <v>148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'value'</v>
      </c>
      <c r="E212" s="7" t="str">
        <f>IF(VLOOKUP([Field],Columns[],4,0)&lt;&gt;0,", "&amp;VLOOKUP([Field],Columns[],4,0)&amp;")",")")</f>
        <v>, 1024)</v>
      </c>
      <c r="F212" s="4" t="str">
        <f>IF(VLOOKUP([Field],Columns[],5,0)=0,"","-&gt;"&amp;VLOOKUP([Field],Columns[],5,0))</f>
        <v>-&gt;nullable()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$table-&gt;string('value', 1024)-&gt;nullable();</v>
      </c>
    </row>
    <row r="213" spans="1:11">
      <c r="A213" s="4" t="s">
        <v>147</v>
      </c>
      <c r="B213" s="4" t="s">
        <v>35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'method'</v>
      </c>
      <c r="E213" s="7" t="str">
        <f>IF(VLOOKUP([Field],Columns[],4,0)&lt;&gt;0,", "&amp;VLOOKUP([Field],Columns[],4,0)&amp;")",")")</f>
        <v>, 128)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$table-&gt;string('method', 128)-&gt;nullable();</v>
      </c>
    </row>
    <row r="214" spans="1:11">
      <c r="A214" s="4" t="s">
        <v>147</v>
      </c>
      <c r="B214" s="4" t="s">
        <v>453</v>
      </c>
      <c r="C214" s="4" t="str">
        <f>VLOOKUP([Field],Columns[],2,0)&amp;"("</f>
        <v>unsignedInteger(</v>
      </c>
      <c r="D214" s="4" t="str">
        <f>IF(VLOOKUP([Field],Columns[],3,0)&lt;&gt;"","'"&amp;VLOOKUP([Field],Columns[],3,0)&amp;"'","")</f>
        <v>'relation'</v>
      </c>
      <c r="E214" s="7" t="str">
        <f>IF(VLOOKUP([Field],Columns[],4,0)&lt;&gt;0,", "&amp;VLOOKUP([Field],Columns[],4,0)&amp;")",")")</f>
        <v>)</v>
      </c>
      <c r="F214" s="4" t="str">
        <f>IF(VLOOKUP([Field],Columns[],5,0)=0,"","-&gt;"&amp;VLOOKUP([Field],Columns[],5,0))</f>
        <v>-&gt;index()</v>
      </c>
      <c r="G214" s="4" t="str">
        <f>IF(VLOOKUP([Field],Columns[],6,0)=0,"","-&gt;"&amp;VLOOKUP([Field],Columns[],6,0))</f>
        <v>-&gt;nullable()</v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$table-&gt;unsignedInteger('relation')-&gt;index()-&gt;nullable();</v>
      </c>
    </row>
    <row r="215" spans="1:11">
      <c r="A215" s="4" t="s">
        <v>147</v>
      </c>
      <c r="B215" s="4" t="s">
        <v>455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'nest_relation1'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6" spans="1:11">
      <c r="A216" s="4" t="s">
        <v>147</v>
      </c>
      <c r="B216" s="4" t="s">
        <v>456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'nest_relation2'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7" spans="1:11">
      <c r="A217" s="4" t="s">
        <v>147</v>
      </c>
      <c r="B217" s="4" t="s">
        <v>457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'nest_relation3'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8" spans="1:11">
      <c r="A218" s="4" t="s">
        <v>147</v>
      </c>
      <c r="B218" s="4" t="s">
        <v>149</v>
      </c>
      <c r="C218" s="4" t="str">
        <f>VLOOKUP([Field],Columns[],2,0)&amp;"("</f>
        <v>string(</v>
      </c>
      <c r="D218" s="4" t="str">
        <f>IF(VLOOKUP([Field],Columns[],3,0)&lt;&gt;"","'"&amp;VLOOKUP([Field],Columns[],3,0)&amp;"'","")</f>
        <v>'attribute'</v>
      </c>
      <c r="E218" s="7" t="str">
        <f>IF(VLOOKUP([Field],Columns[],4,0)&lt;&gt;0,", "&amp;VLOOKUP([Field],Columns[],4,0)&amp;")",")")</f>
        <v>, 64)</v>
      </c>
      <c r="F218" s="4" t="str">
        <f>IF(VLOOKUP([Field],Columns[],5,0)=0,"","-&gt;"&amp;VLOOKUP([Field],Columns[],5,0))</f>
        <v>-&gt;nullable()</v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$table-&gt;string('attribute', 64)-&gt;nullable();</v>
      </c>
    </row>
    <row r="219" spans="1:11">
      <c r="A219" s="4" t="s">
        <v>147</v>
      </c>
      <c r="B219" s="4" t="s">
        <v>747</v>
      </c>
      <c r="C219" s="4" t="str">
        <f>VLOOKUP([Field],Columns[],2,0)&amp;"("</f>
        <v>audit(</v>
      </c>
      <c r="D219" s="4" t="str">
        <f>IF(VLOOKUP([Field],Columns[],3,0)&lt;&gt;"","'"&amp;VLOOKUP([Field],Columns[],3,0)&amp;"'","")</f>
        <v/>
      </c>
      <c r="E219" s="7" t="str">
        <f>IF(VLOOKUP([Field],Columns[],4,0)&lt;&gt;0,", "&amp;VLOOKUP([Field],Columns[],4,0)&amp;")",")")</f>
        <v>)</v>
      </c>
      <c r="F219" s="4" t="str">
        <f>IF(VLOOKUP([Field],Columns[],5,0)=0,"","-&gt;"&amp;VLOOKUP([Field],Columns[],5,0))</f>
        <v/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$table-&gt;audit();</v>
      </c>
    </row>
    <row r="220" spans="1:11">
      <c r="A220" s="4" t="s">
        <v>147</v>
      </c>
      <c r="B220" s="4" t="s">
        <v>117</v>
      </c>
      <c r="C220" s="4" t="str">
        <f>VLOOKUP([Field],Columns[],2,0)&amp;"("</f>
        <v>foreign(</v>
      </c>
      <c r="D220" s="4" t="str">
        <f>IF(VLOOKUP([Field],Columns[],3,0)&lt;&gt;"","'"&amp;VLOOKUP([Field],Columns[],3,0)&amp;"'","")</f>
        <v>'resource_form'</v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>-&gt;references('id')</v>
      </c>
      <c r="G220" s="4" t="str">
        <f>IF(VLOOKUP([Field],Columns[],6,0)=0,"","-&gt;"&amp;VLOOKUP([Field],Columns[],6,0))</f>
        <v>-&gt;on('__resource_forms')</v>
      </c>
      <c r="H220" s="4" t="str">
        <f>IF(VLOOKUP([Field],Columns[],7,0)=0,"","-&gt;"&amp;VLOOKUP([Field],Columns[],7,0))</f>
        <v>-&gt;onUpdate('cascade')</v>
      </c>
      <c r="I220" s="4" t="str">
        <f>IF(VLOOKUP([Field],Columns[],8,0)=0,"","-&gt;"&amp;VLOOKUP([Field],Columns[],8,0))</f>
        <v>-&gt;onDelete('cascade')</v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1" spans="1:11">
      <c r="A221" s="4" t="s">
        <v>147</v>
      </c>
      <c r="B221" s="4" t="s">
        <v>454</v>
      </c>
      <c r="C221" s="5" t="str">
        <f>VLOOKUP([Field],Columns[],2,0)&amp;"("</f>
        <v>foreign(</v>
      </c>
      <c r="D221" s="5" t="str">
        <f>IF(VLOOKUP([Field],Columns[],3,0)&lt;&gt;"","'"&amp;VLOOKUP([Field],Columns[],3,0)&amp;"'","")</f>
        <v>'relation'</v>
      </c>
      <c r="E221" s="8" t="str">
        <f>IF(VLOOKUP([Field],Columns[],4,0)&lt;&gt;0,", "&amp;VLOOKUP([Field],Columns[],4,0)&amp;")",")")</f>
        <v>)</v>
      </c>
      <c r="F221" s="5" t="str">
        <f>IF(VLOOKUP([Field],Columns[],5,0)=0,"","-&gt;"&amp;VLOOKUP([Field],Columns[],5,0))</f>
        <v>-&gt;references('id')</v>
      </c>
      <c r="G221" s="5" t="str">
        <f>IF(VLOOKUP([Field],Columns[],6,0)=0,"","-&gt;"&amp;VLOOKUP([Field],Columns[],6,0))</f>
        <v>-&gt;on('__resource_relations')</v>
      </c>
      <c r="H221" s="5" t="str">
        <f>IF(VLOOKUP([Field],Columns[],7,0)=0,"","-&gt;"&amp;VLOOKUP([Field],Columns[],7,0))</f>
        <v>-&gt;onUpdate('cascade')</v>
      </c>
      <c r="I221" s="5" t="str">
        <f>IF(VLOOKUP([Field],Columns[],8,0)=0,"","-&gt;"&amp;VLOOKUP([Field],Columns[],8,0))</f>
        <v>-&gt;onDelete('set null')</v>
      </c>
      <c r="J221" s="5" t="str">
        <f>IF(VLOOKUP([Field],Columns[],9,0)=0,"","-&gt;"&amp;VLOOKUP([Field],Columns[],9,0))</f>
        <v/>
      </c>
      <c r="K221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2" spans="1:11">
      <c r="A222" s="4" t="s">
        <v>147</v>
      </c>
      <c r="B222" s="4" t="s">
        <v>460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'nest_relation1'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3" spans="1:11">
      <c r="A223" s="4" t="s">
        <v>147</v>
      </c>
      <c r="B223" s="4" t="s">
        <v>461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'nest_relation2'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4" spans="1:11">
      <c r="A224" s="4" t="s">
        <v>147</v>
      </c>
      <c r="B224" s="4" t="s">
        <v>462</v>
      </c>
      <c r="C224" s="4" t="str">
        <f>VLOOKUP([Field],Columns[],2,0)&amp;"("</f>
        <v>foreign(</v>
      </c>
      <c r="D224" s="4" t="str">
        <f>IF(VLOOKUP([Field],Columns[],3,0)&lt;&gt;"","'"&amp;VLOOKUP([Field],Columns[],3,0)&amp;"'","")</f>
        <v>'nest_relation3'</v>
      </c>
      <c r="E224" s="7" t="str">
        <f>IF(VLOOKUP([Field],Columns[],4,0)&lt;&gt;0,", "&amp;VLOOKUP([Field],Columns[],4,0)&amp;")",")")</f>
        <v>)</v>
      </c>
      <c r="F224" s="4" t="str">
        <f>IF(VLOOKUP([Field],Columns[],5,0)=0,"","-&gt;"&amp;VLOOKUP([Field],Columns[],5,0))</f>
        <v>-&gt;references('id')</v>
      </c>
      <c r="G224" s="4" t="str">
        <f>IF(VLOOKUP([Field],Columns[],6,0)=0,"","-&gt;"&amp;VLOOKUP([Field],Columns[],6,0))</f>
        <v>-&gt;on('__resource_relations')</v>
      </c>
      <c r="H224" s="4" t="str">
        <f>IF(VLOOKUP([Field],Columns[],7,0)=0,"","-&gt;"&amp;VLOOKUP([Field],Columns[],7,0))</f>
        <v>-&gt;onUpdate('cascade')</v>
      </c>
      <c r="I224" s="4" t="str">
        <f>IF(VLOOKUP([Field],Columns[],8,0)=0,"","-&gt;"&amp;VLOOKUP([Field],Columns[],8,0))</f>
        <v>-&gt;onDelete('set null')</v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5" spans="1:11">
      <c r="A225" s="4" t="s">
        <v>184</v>
      </c>
      <c r="B225" s="2" t="s">
        <v>21</v>
      </c>
      <c r="C225" s="2" t="str">
        <f>VLOOKUP([Field],Columns[],2,0)&amp;"("</f>
        <v>increments(</v>
      </c>
      <c r="D225" s="2" t="str">
        <f>IF(VLOOKUP([Field],Columns[],3,0)&lt;&gt;"","'"&amp;VLOOKUP([Field],Columns[],3,0)&amp;"'","")</f>
        <v>'id'</v>
      </c>
      <c r="E225" s="9" t="str">
        <f>IF(VLOOKUP([Field],Columns[],4,0)&lt;&gt;0,", "&amp;VLOOKUP([Field],Columns[],4,0)&amp;")",")")</f>
        <v>)</v>
      </c>
      <c r="F225" s="2" t="str">
        <f>IF(VLOOKUP([Field],Columns[],5,0)=0,"","-&gt;"&amp;VLOOKUP([Field],Columns[],5,0))</f>
        <v/>
      </c>
      <c r="G225" s="2" t="str">
        <f>IF(VLOOKUP([Field],Columns[],6,0)=0,"","-&gt;"&amp;VLOOKUP([Field],Columns[],6,0))</f>
        <v/>
      </c>
      <c r="H225" s="2" t="str">
        <f>IF(VLOOKUP([Field],Columns[],7,0)=0,"","-&gt;"&amp;VLOOKUP([Field],Columns[],7,0))</f>
        <v/>
      </c>
      <c r="I225" s="2" t="str">
        <f>IF(VLOOKUP([Field],Columns[],8,0)=0,"","-&gt;"&amp;VLOOKUP([Field],Columns[],8,0))</f>
        <v/>
      </c>
      <c r="J225" s="2" t="str">
        <f>IF(VLOOKUP([Field],Columns[],9,0)=0,"","-&gt;"&amp;VLOOKUP([Field],Columns[],9,0))</f>
        <v/>
      </c>
      <c r="K225" s="2" t="str">
        <f>"$table-&gt;"&amp;[Type]&amp;[Name]&amp;[Arg2]&amp;[Method1]&amp;[Method2]&amp;[Method3]&amp;[Method4]&amp;[Method5]&amp;";"</f>
        <v>$table-&gt;increments('id');</v>
      </c>
    </row>
    <row r="226" spans="1:11">
      <c r="A226" s="4" t="s">
        <v>184</v>
      </c>
      <c r="B226" s="2" t="s">
        <v>190</v>
      </c>
      <c r="C226" s="2" t="str">
        <f>VLOOKUP([Field],Columns[],2,0)&amp;"("</f>
        <v>string(</v>
      </c>
      <c r="D226" s="2" t="str">
        <f>IF(VLOOKUP([Field],Columns[],3,0)&lt;&gt;"","'"&amp;VLOOKUP([Field],Columns[],3,0)&amp;"'","")</f>
        <v>'name'</v>
      </c>
      <c r="E226" s="9" t="str">
        <f>IF(VLOOKUP([Field],Columns[],4,0)&lt;&gt;0,", "&amp;VLOOKUP([Field],Columns[],4,0)&amp;")",")")</f>
        <v>, 512)</v>
      </c>
      <c r="F226" s="2" t="str">
        <f>IF(VLOOKUP([Field],Columns[],5,0)=0,"","-&gt;"&amp;VLOOKUP([Field],Columns[],5,0))</f>
        <v>-&gt;index()</v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$table-&gt;string('name', 512)-&gt;index();</v>
      </c>
    </row>
    <row r="227" spans="1:11">
      <c r="A227" s="4" t="s">
        <v>184</v>
      </c>
      <c r="B227" s="2" t="s">
        <v>187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'name_short'</v>
      </c>
      <c r="E227" s="9" t="str">
        <f>IF(VLOOKUP([Field],Columns[],4,0)&lt;&gt;0,", "&amp;VLOOKUP([Field],Columns[],4,0)&amp;")",")")</f>
        <v>, 128)</v>
      </c>
      <c r="F227" s="2" t="str">
        <f>IF(VLOOKUP([Field],Columns[],5,0)=0,"","-&gt;"&amp;VLOOKUP([Field],Columns[],5,0))</f>
        <v>-&gt;nullable()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$table-&gt;string('name_short', 128)-&gt;nullable();</v>
      </c>
    </row>
    <row r="228" spans="1:11">
      <c r="A228" s="4" t="s">
        <v>184</v>
      </c>
      <c r="B228" s="2" t="s">
        <v>188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'name_long'</v>
      </c>
      <c r="E228" s="9" t="str">
        <f>IF(VLOOKUP([Field],Columns[],4,0)&lt;&gt;0,", "&amp;VLOOKUP([Field],Columns[],4,0)&amp;")",")")</f>
        <v>, 512)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$table-&gt;string('name_long', 512)-&gt;nullable();</v>
      </c>
    </row>
    <row r="229" spans="1:11">
      <c r="A229" s="4" t="s">
        <v>184</v>
      </c>
      <c r="B229" s="2" t="s">
        <v>185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'address_line1'</v>
      </c>
      <c r="E229" s="9" t="str">
        <f>IF(VLOOKUP([Field],Columns[],4,0)&lt;&gt;0,", "&amp;VLOOKUP([Field],Columns[],4,0)&amp;")",")")</f>
        <v>, 1024)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$table-&gt;string('address_line1', 1024)-&gt;nullable();</v>
      </c>
    </row>
    <row r="230" spans="1:11">
      <c r="A230" s="4" t="s">
        <v>184</v>
      </c>
      <c r="B230" s="2" t="s">
        <v>186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'address_line2'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$table-&gt;string('address_line2', 1024)-&gt;nullable();</v>
      </c>
    </row>
    <row r="231" spans="1:11">
      <c r="A231" s="4" t="s">
        <v>184</v>
      </c>
      <c r="B231" s="2" t="s">
        <v>192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'address_short'</v>
      </c>
      <c r="E231" s="9" t="str">
        <f>IF(VLOOKUP([Field],Columns[],4,0)&lt;&gt;0,", "&amp;VLOOKUP([Field],Columns[],4,0)&amp;")",")")</f>
        <v>, 512)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$table-&gt;string('address_short', 512)-&gt;nullable();</v>
      </c>
    </row>
    <row r="232" spans="1:11">
      <c r="A232" s="4" t="s">
        <v>184</v>
      </c>
      <c r="B232" s="2" t="s">
        <v>191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'address_long'</v>
      </c>
      <c r="E232" s="9" t="str">
        <f>IF(VLOOKUP([Field],Columns[],4,0)&lt;&gt;0,", "&amp;VLOOKUP([Field],Columns[],4,0)&amp;")",")")</f>
        <v>, 1024)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$table-&gt;string('address_long', 1024)-&gt;nullable();</v>
      </c>
    </row>
    <row r="233" spans="1:11">
      <c r="A233" s="4" t="s">
        <v>184</v>
      </c>
      <c r="B233" s="4" t="s">
        <v>747</v>
      </c>
      <c r="C233" s="4" t="str">
        <f>VLOOKUP([Field],Columns[],2,0)&amp;"("</f>
        <v>audit(</v>
      </c>
      <c r="D233" s="4" t="str">
        <f>IF(VLOOKUP([Field],Columns[],3,0)&lt;&gt;"","'"&amp;VLOOKUP([Field],Columns[],3,0)&amp;"'","")</f>
        <v/>
      </c>
      <c r="E233" s="7" t="str">
        <f>IF(VLOOKUP([Field],Columns[],4,0)&lt;&gt;0,", "&amp;VLOOKUP([Field],Columns[],4,0)&amp;")",")")</f>
        <v>)</v>
      </c>
      <c r="F233" s="4" t="str">
        <f>IF(VLOOKUP([Field],Columns[],5,0)=0,"","-&gt;"&amp;VLOOKUP([Field],Columns[],5,0))</f>
        <v/>
      </c>
      <c r="G233" s="4" t="str">
        <f>IF(VLOOKUP([Field],Columns[],6,0)=0,"","-&gt;"&amp;VLOOKUP([Field],Columns[],6,0))</f>
        <v/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$table-&gt;audit();</v>
      </c>
    </row>
    <row r="234" spans="1:11">
      <c r="A234" s="4" t="s">
        <v>189</v>
      </c>
      <c r="B234" s="2" t="s">
        <v>21</v>
      </c>
      <c r="C234" s="2" t="str">
        <f>VLOOKUP([Field],Columns[],2,0)&amp;"("</f>
        <v>increments(</v>
      </c>
      <c r="D234" s="2" t="str">
        <f>IF(VLOOKUP([Field],Columns[],3,0)&lt;&gt;"","'"&amp;VLOOKUP([Field],Columns[],3,0)&amp;"'","")</f>
        <v>'id'</v>
      </c>
      <c r="E234" s="9" t="str">
        <f>IF(VLOOKUP([Field],Columns[],4,0)&lt;&gt;0,", "&amp;VLOOKUP([Field],Columns[],4,0)&amp;")",")")</f>
        <v>)</v>
      </c>
      <c r="F234" s="2" t="str">
        <f>IF(VLOOKUP([Field],Columns[],5,0)=0,"","-&gt;"&amp;VLOOKUP([Field],Columns[],5,0))</f>
        <v/>
      </c>
      <c r="G234" s="2" t="str">
        <f>IF(VLOOKUP([Field],Columns[],6,0)=0,"","-&gt;"&amp;VLOOKUP([Field],Columns[],6,0))</f>
        <v/>
      </c>
      <c r="H234" s="2" t="str">
        <f>IF(VLOOKUP([Field],Columns[],7,0)=0,"","-&gt;"&amp;VLOOKUP([Field],Columns[],7,0))</f>
        <v/>
      </c>
      <c r="I234" s="2" t="str">
        <f>IF(VLOOKUP([Field],Columns[],8,0)=0,"","-&gt;"&amp;VLOOKUP([Field],Columns[],8,0))</f>
        <v/>
      </c>
      <c r="J234" s="2" t="str">
        <f>IF(VLOOKUP([Field],Columns[],9,0)=0,"","-&gt;"&amp;VLOOKUP([Field],Columns[],9,0))</f>
        <v/>
      </c>
      <c r="K234" s="2" t="str">
        <f>"$table-&gt;"&amp;[Type]&amp;[Name]&amp;[Arg2]&amp;[Method1]&amp;[Method2]&amp;[Method3]&amp;[Method4]&amp;[Method5]&amp;";"</f>
        <v>$table-&gt;increments('id');</v>
      </c>
    </row>
    <row r="235" spans="1:11">
      <c r="A235" s="4" t="s">
        <v>189</v>
      </c>
      <c r="B235" s="2" t="s">
        <v>184</v>
      </c>
      <c r="C235" s="2" t="str">
        <f>VLOOKUP([Field],Columns[],2,0)&amp;"("</f>
        <v>unsignedInteger(</v>
      </c>
      <c r="D235" s="2" t="str">
        <f>IF(VLOOKUP([Field],Columns[],3,0)&lt;&gt;"","'"&amp;VLOOKUP([Field],Columns[],3,0)&amp;"'","")</f>
        <v>'organisation'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$table-&gt;unsignedInteger('organisation');</v>
      </c>
    </row>
    <row r="236" spans="1:11">
      <c r="A236" s="4" t="s">
        <v>189</v>
      </c>
      <c r="B236" s="2" t="s">
        <v>195</v>
      </c>
      <c r="C236" s="2" t="str">
        <f>VLOOKUP([Field],Columns[],2,0)&amp;"("</f>
        <v>enum(</v>
      </c>
      <c r="D236" s="2" t="str">
        <f>IF(VLOOKUP([Field],Columns[],3,0)&lt;&gt;"","'"&amp;VLOOKUP([Field],Columns[],3,0)&amp;"'","")</f>
        <v>'type'</v>
      </c>
      <c r="E236" s="9" t="str">
        <f>IF(VLOOKUP([Field],Columns[],4,0)&lt;&gt;0,", "&amp;VLOOKUP([Field],Columns[],4,0)&amp;")",")")</f>
        <v>, ['number','email','address'])</v>
      </c>
      <c r="F236" s="2" t="str">
        <f>IF(VLOOKUP([Field],Columns[],5,0)=0,"","-&gt;"&amp;VLOOKUP([Field],Columns[],5,0))</f>
        <v>-&gt;default('number')</v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7" spans="1:11">
      <c r="A237" s="4" t="s">
        <v>189</v>
      </c>
      <c r="B237" s="2" t="s">
        <v>197</v>
      </c>
      <c r="C237" s="2" t="str">
        <f>VLOOKUP([Field],Columns[],2,0)&amp;"("</f>
        <v>string(</v>
      </c>
      <c r="D237" s="2" t="str">
        <f>IF(VLOOKUP([Field],Columns[],3,0)&lt;&gt;"","'"&amp;VLOOKUP([Field],Columns[],3,0)&amp;"'","")</f>
        <v>'type_name'</v>
      </c>
      <c r="E237" s="9" t="str">
        <f>IF(VLOOKUP([Field],Columns[],4,0)&lt;&gt;0,", "&amp;VLOOKUP([Field],Columns[],4,0)&amp;")",")")</f>
        <v>, 64)</v>
      </c>
      <c r="F237" s="2" t="str">
        <f>IF(VLOOKUP([Field],Columns[],5,0)=0,"","-&gt;"&amp;VLOOKUP([Field],Columns[],5,0))</f>
        <v>-&gt;nullable()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$table-&gt;string('type_name', 64)-&gt;nullable();</v>
      </c>
    </row>
    <row r="238" spans="1:11">
      <c r="A238" s="4" t="s">
        <v>189</v>
      </c>
      <c r="B238" s="2" t="s">
        <v>199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'detail'</v>
      </c>
      <c r="E238" s="9" t="str">
        <f>IF(VLOOKUP([Field],Columns[],4,0)&lt;&gt;0,", "&amp;VLOOKUP([Field],Columns[],4,0)&amp;")",")")</f>
        <v>, 256)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$table-&gt;string('detail', 256)-&gt;nullable();</v>
      </c>
    </row>
    <row r="239" spans="1:11">
      <c r="A239" s="4" t="s">
        <v>189</v>
      </c>
      <c r="B239" s="4" t="s">
        <v>747</v>
      </c>
      <c r="C239" s="2" t="str">
        <f>VLOOKUP([Field],Columns[],2,0)&amp;"("</f>
        <v>audit(</v>
      </c>
      <c r="D239" s="2" t="str">
        <f>IF(VLOOKUP([Field],Columns[],3,0)&lt;&gt;"","'"&amp;VLOOKUP([Field],Columns[],3,0)&amp;"'","")</f>
        <v/>
      </c>
      <c r="E239" s="9" t="str">
        <f>IF(VLOOKUP([Field],Columns[],4,0)&lt;&gt;0,", "&amp;VLOOKUP([Field],Columns[],4,0)&amp;")",")")</f>
        <v>)</v>
      </c>
      <c r="F239" s="2" t="str">
        <f>IF(VLOOKUP([Field],Columns[],5,0)=0,"","-&gt;"&amp;VLOOKUP([Field],Columns[],5,0))</f>
        <v/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$table-&gt;audit();</v>
      </c>
    </row>
    <row r="240" spans="1:11">
      <c r="A240" s="4" t="s">
        <v>189</v>
      </c>
      <c r="B240" s="2" t="s">
        <v>193</v>
      </c>
      <c r="C240" s="2" t="str">
        <f>VLOOKUP([Field],Columns[],2,0)&amp;"("</f>
        <v>foreign(</v>
      </c>
      <c r="D240" s="2" t="str">
        <f>IF(VLOOKUP([Field],Columns[],3,0)&lt;&gt;"","'"&amp;VLOOKUP([Field],Columns[],3,0)&amp;"'","")</f>
        <v>'organisation'</v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>-&gt;references('id')</v>
      </c>
      <c r="G240" s="2" t="str">
        <f>IF(VLOOKUP([Field],Columns[],6,0)=0,"","-&gt;"&amp;VLOOKUP([Field],Columns[],6,0))</f>
        <v>-&gt;on('__organisation')</v>
      </c>
      <c r="H240" s="2" t="str">
        <f>IF(VLOOKUP([Field],Columns[],7,0)=0,"","-&gt;"&amp;VLOOKUP([Field],Columns[],7,0))</f>
        <v>-&gt;onUpdate('cascade')</v>
      </c>
      <c r="I240" s="2" t="str">
        <f>IF(VLOOKUP([Field],Columns[],8,0)=0,"","-&gt;"&amp;VLOOKUP([Field],Columns[],8,0))</f>
        <v>-&gt;onDelete('cascade')</v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1" spans="1:11">
      <c r="A241" s="4" t="s">
        <v>208</v>
      </c>
      <c r="B241" s="4" t="s">
        <v>21</v>
      </c>
      <c r="C241" s="4" t="str">
        <f>VLOOKUP([Field],Columns[],2,0)&amp;"("</f>
        <v>increments(</v>
      </c>
      <c r="D241" s="4" t="str">
        <f>IF(VLOOKUP([Field],Columns[],3,0)&lt;&gt;"","'"&amp;VLOOKUP([Field],Columns[],3,0)&amp;"'","")</f>
        <v>'id'</v>
      </c>
      <c r="E241" s="7" t="str">
        <f>IF(VLOOKUP([Field],Columns[],4,0)&lt;&gt;0,", "&amp;VLOOKUP([Field],Columns[],4,0)&amp;")",")")</f>
        <v>)</v>
      </c>
      <c r="F241" s="4" t="str">
        <f>IF(VLOOKUP([Field],Columns[],5,0)=0,"","-&gt;"&amp;VLOOKUP([Field],Columns[],5,0))</f>
        <v/>
      </c>
      <c r="G241" s="4" t="str">
        <f>IF(VLOOKUP([Field],Columns[],6,0)=0,"","-&gt;"&amp;VLOOKUP([Field],Columns[],6,0))</f>
        <v/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$table-&gt;increments('id');</v>
      </c>
    </row>
    <row r="242" spans="1:11">
      <c r="A242" s="4" t="s">
        <v>208</v>
      </c>
      <c r="B242" s="4" t="s">
        <v>23</v>
      </c>
      <c r="C242" s="4" t="str">
        <f>VLOOKUP([Field],Columns[],2,0)&amp;"("</f>
        <v>unsignedInteger(</v>
      </c>
      <c r="D242" s="4" t="str">
        <f>IF(VLOOKUP([Field],Columns[],3,0)&lt;&gt;"","'"&amp;VLOOKUP([Field],Columns[],3,0)&amp;"'","")</f>
        <v>'resource'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>-&gt;index()</v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$table-&gt;unsignedInteger('resource')-&gt;index();</v>
      </c>
    </row>
    <row r="243" spans="1:11">
      <c r="A243" s="4" t="s">
        <v>208</v>
      </c>
      <c r="B243" s="4" t="s">
        <v>144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'role'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/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$table-&gt;unsignedInteger('role');</v>
      </c>
    </row>
    <row r="244" spans="1:11">
      <c r="A244" s="4" t="s">
        <v>208</v>
      </c>
      <c r="B244" s="4" t="s">
        <v>285</v>
      </c>
      <c r="C244" s="4" t="str">
        <f>VLOOKUP([Field],Columns[],2,0)&amp;"("</f>
        <v>enum(</v>
      </c>
      <c r="D244" s="4" t="str">
        <f>IF(VLOOKUP([Field],Columns[],3,0)&lt;&gt;"","'"&amp;VLOOKUP([Field],Columns[],3,0)&amp;"'","")</f>
        <v>'actions_availability'</v>
      </c>
      <c r="E244" s="7" t="str">
        <f>IF(VLOOKUP([Field],Columns[],4,0)&lt;&gt;0,", "&amp;VLOOKUP([Field],Columns[],4,0)&amp;")",")")</f>
        <v>, ['All','Only','Except'])</v>
      </c>
      <c r="F244" s="4" t="str">
        <f>IF(VLOOKUP([Field],Columns[],5,0)=0,"","-&gt;"&amp;VLOOKUP([Field],Columns[],5,0))</f>
        <v>-&gt;default('All')</v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5" spans="1:11">
      <c r="A245" s="4" t="s">
        <v>208</v>
      </c>
      <c r="B245" s="4" t="s">
        <v>287</v>
      </c>
      <c r="C245" s="4" t="str">
        <f>VLOOKUP([Field],Columns[],2,0)&amp;"("</f>
        <v>string(</v>
      </c>
      <c r="D245" s="4" t="str">
        <f>IF(VLOOKUP([Field],Columns[],3,0)&lt;&gt;"","'"&amp;VLOOKUP([Field],Columns[],3,0)&amp;"'","")</f>
        <v>'actions'</v>
      </c>
      <c r="E245" s="7" t="str">
        <f>IF(VLOOKUP([Field],Columns[],4,0)&lt;&gt;0,", "&amp;VLOOKUP([Field],Columns[],4,0)&amp;")",")")</f>
        <v>, 1024)</v>
      </c>
      <c r="F245" s="4" t="str">
        <f>IF(VLOOKUP([Field],Columns[],5,0)=0,"","-&gt;"&amp;VLOOKUP([Field],Columns[],5,0))</f>
        <v>-&gt;nullable()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$table-&gt;string('actions', 1024)-&gt;nullable();</v>
      </c>
    </row>
    <row r="246" spans="1:11">
      <c r="A246" s="4" t="s">
        <v>208</v>
      </c>
      <c r="B246" s="4" t="s">
        <v>747</v>
      </c>
      <c r="C246" s="4" t="str">
        <f>VLOOKUP([Field],Columns[],2,0)&amp;"("</f>
        <v>audit(</v>
      </c>
      <c r="D246" s="4" t="str">
        <f>IF(VLOOKUP([Field],Columns[],3,0)&lt;&gt;"","'"&amp;VLOOKUP([Field],Columns[],3,0)&amp;"'","")</f>
        <v/>
      </c>
      <c r="E246" s="7" t="str">
        <f>IF(VLOOKUP([Field],Columns[],4,0)&lt;&gt;0,", "&amp;VLOOKUP([Field],Columns[],4,0)&amp;")",")")</f>
        <v>)</v>
      </c>
      <c r="F246" s="4" t="str">
        <f>IF(VLOOKUP([Field],Columns[],5,0)=0,"","-&gt;"&amp;VLOOKUP([Field],Columns[],5,0))</f>
        <v/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$table-&gt;audit();</v>
      </c>
    </row>
    <row r="247" spans="1:11">
      <c r="A247" s="4" t="s">
        <v>208</v>
      </c>
      <c r="B247" s="4" t="s">
        <v>40</v>
      </c>
      <c r="C247" s="4" t="str">
        <f>VLOOKUP([Field],Columns[],2,0)&amp;"("</f>
        <v>foreign(</v>
      </c>
      <c r="D247" s="4" t="str">
        <f>IF(VLOOKUP([Field],Columns[],3,0)&lt;&gt;"","'"&amp;VLOOKUP([Field],Columns[],3,0)&amp;"'","")</f>
        <v>'resource'</v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>-&gt;references('id')</v>
      </c>
      <c r="G247" s="4" t="str">
        <f>IF(VLOOKUP([Field],Columns[],6,0)=0,"","-&gt;"&amp;VLOOKUP([Field],Columns[],6,0))</f>
        <v>-&gt;on('__resources')</v>
      </c>
      <c r="H247" s="4" t="str">
        <f>IF(VLOOKUP([Field],Columns[],7,0)=0,"","-&gt;"&amp;VLOOKUP([Field],Columns[],7,0))</f>
        <v>-&gt;onUpdate('cascade')</v>
      </c>
      <c r="I247" s="4" t="str">
        <f>IF(VLOOKUP([Field],Columns[],8,0)=0,"","-&gt;"&amp;VLOOKUP([Field],Columns[],8,0))</f>
        <v>-&gt;onDelete('cascade')</v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8" spans="1:11">
      <c r="A248" s="4" t="s">
        <v>208</v>
      </c>
      <c r="B248" s="4" t="s">
        <v>145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'role'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-&gt;on('__roles')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49" spans="1:11">
      <c r="A249" s="4" t="s">
        <v>355</v>
      </c>
      <c r="B249" s="4" t="s">
        <v>21</v>
      </c>
      <c r="C249" s="4" t="str">
        <f>VLOOKUP([Field],Columns[],2,0)&amp;"("</f>
        <v>increments(</v>
      </c>
      <c r="D249" s="4" t="str">
        <f>IF(VLOOKUP([Field],Columns[],3,0)&lt;&gt;"","'"&amp;VLOOKUP([Field],Columns[],3,0)&amp;"'","")</f>
        <v>'id'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/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$table-&gt;increments('id');</v>
      </c>
    </row>
    <row r="250" spans="1:11">
      <c r="A250" s="4" t="s">
        <v>355</v>
      </c>
      <c r="B250" s="4" t="s">
        <v>119</v>
      </c>
      <c r="C250" s="4" t="str">
        <f>VLOOKUP([Field],Columns[],2,0)&amp;"("</f>
        <v>unsignedInteger(</v>
      </c>
      <c r="D250" s="4" t="str">
        <f>IF(VLOOKUP([Field],Columns[],3,0)&lt;&gt;"","'"&amp;VLOOKUP([Field],Columns[],3,0)&amp;"'","")</f>
        <v>'form_field'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>-&gt;index()</v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$table-&gt;unsignedInteger('form_field')-&gt;index();</v>
      </c>
    </row>
    <row r="251" spans="1:11">
      <c r="A251" s="4" t="s">
        <v>355</v>
      </c>
      <c r="B251" s="4" t="s">
        <v>523</v>
      </c>
      <c r="C251" s="4" t="str">
        <f>VLOOKUP([Field],Columns[],2,0)&amp;"("</f>
        <v>enum(</v>
      </c>
      <c r="D251" s="4" t="str">
        <f>IF(VLOOKUP([Field],Columns[],3,0)&lt;&gt;"","'"&amp;VLOOKUP([Field],Columns[],3,0)&amp;"'","")</f>
        <v>'type'</v>
      </c>
      <c r="E251" s="7" t="str">
        <f>IF(VLOOKUP([Field],Columns[],4,0)&lt;&gt;0,", "&amp;VLOOKUP([Field],Columns[],4,0)&amp;")",")")</f>
        <v>, ['List','Enum','Foreign','Method'])</v>
      </c>
      <c r="F251" s="4" t="str">
        <f>IF(VLOOKUP([Field],Columns[],5,0)=0,"","-&gt;"&amp;VLOOKUP([Field],Columns[],5,0))</f>
        <v>-&gt;default('List')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2" spans="1:11">
      <c r="A252" s="4" t="s">
        <v>355</v>
      </c>
      <c r="B252" s="4" t="s">
        <v>526</v>
      </c>
      <c r="C252" s="4" t="str">
        <f>VLOOKUP([Field],Columns[],2,0)&amp;"("</f>
        <v>text(</v>
      </c>
      <c r="D252" s="4" t="str">
        <f>IF(VLOOKUP([Field],Columns[],3,0)&lt;&gt;"","'"&amp;VLOOKUP([Field],Columns[],3,0)&amp;"'","")</f>
        <v>'detail'</v>
      </c>
      <c r="E252" s="7" t="str">
        <f>IF(VLOOKUP([Field],Columns[],4,0)&lt;&gt;0,", "&amp;VLOOKUP([Field],Columns[],4,0)&amp;")",")")</f>
        <v>, 128)</v>
      </c>
      <c r="F252" s="4" t="str">
        <f>IF(VLOOKUP([Field],Columns[],5,0)=0,"","-&gt;"&amp;VLOOKUP([Field],Columns[],5,0))</f>
        <v>-&gt;nullable()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$table-&gt;text('detail', 128)-&gt;nullable();</v>
      </c>
    </row>
    <row r="253" spans="1:11">
      <c r="A253" s="4" t="s">
        <v>355</v>
      </c>
      <c r="B253" s="4" t="s">
        <v>356</v>
      </c>
      <c r="C253" s="4" t="str">
        <f>VLOOKUP([Field],Columns[],2,0)&amp;"("</f>
        <v>string(</v>
      </c>
      <c r="D253" s="4" t="str">
        <f>IF(VLOOKUP([Field],Columns[],3,0)&lt;&gt;"","'"&amp;VLOOKUP([Field],Columns[],3,0)&amp;"'","")</f>
        <v>'value_attr'</v>
      </c>
      <c r="E253" s="7" t="str">
        <f>IF(VLOOKUP([Field],Columns[],4,0)&lt;&gt;0,", "&amp;VLOOKUP([Field],Columns[],4,0)&amp;")",")")</f>
        <v>, 64)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$table-&gt;string('value_attr', 64)-&gt;nullable();</v>
      </c>
    </row>
    <row r="254" spans="1:11">
      <c r="A254" s="4" t="s">
        <v>355</v>
      </c>
      <c r="B254" s="4" t="s">
        <v>358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'label_attr'</v>
      </c>
      <c r="E254" s="7" t="str">
        <f>IF(VLOOKUP([Field],Columns[],4,0)&lt;&gt;0,", "&amp;VLOOKUP([Field],Columns[],4,0)&amp;")",")")</f>
        <v>, 128)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$table-&gt;string('label_attr', 128)-&gt;nullable();</v>
      </c>
    </row>
    <row r="255" spans="1:11">
      <c r="A255" s="4" t="s">
        <v>355</v>
      </c>
      <c r="B255" s="4" t="s">
        <v>360</v>
      </c>
      <c r="C255" s="4" t="str">
        <f>VLOOKUP([Field],Columns[],2,0)&amp;"("</f>
        <v>enum(</v>
      </c>
      <c r="D255" s="4" t="str">
        <f>IF(VLOOKUP([Field],Columns[],3,0)&lt;&gt;"","'"&amp;VLOOKUP([Field],Columns[],3,0)&amp;"'","")</f>
        <v>'preload'</v>
      </c>
      <c r="E255" s="7" t="str">
        <f>IF(VLOOKUP([Field],Columns[],4,0)&lt;&gt;0,", "&amp;VLOOKUP([Field],Columns[],4,0)&amp;")",")")</f>
        <v>, ['Yes','No'])</v>
      </c>
      <c r="F255" s="4" t="str">
        <f>IF(VLOOKUP([Field],Columns[],5,0)=0,"","-&gt;"&amp;VLOOKUP([Field],Columns[],5,0))</f>
        <v>-&gt;default('Yes')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$table-&gt;enum('preload', ['Yes','No'])-&gt;default('Yes');</v>
      </c>
    </row>
    <row r="256" spans="1:11">
      <c r="A256" s="4" t="s">
        <v>355</v>
      </c>
      <c r="B256" s="4" t="s">
        <v>747</v>
      </c>
      <c r="C256" s="4" t="str">
        <f>VLOOKUP([Field],Columns[],2,0)&amp;"("</f>
        <v>audit(</v>
      </c>
      <c r="D256" s="4" t="str">
        <f>IF(VLOOKUP([Field],Columns[],3,0)&lt;&gt;"","'"&amp;VLOOKUP([Field],Columns[],3,0)&amp;"'","")</f>
        <v/>
      </c>
      <c r="E256" s="7" t="str">
        <f>IF(VLOOKUP([Field],Columns[],4,0)&lt;&gt;0,", "&amp;VLOOKUP([Field],Columns[],4,0)&amp;")",")")</f>
        <v>)</v>
      </c>
      <c r="F256" s="4" t="str">
        <f>IF(VLOOKUP([Field],Columns[],5,0)=0,"","-&gt;"&amp;VLOOKUP([Field],Columns[],5,0))</f>
        <v/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$table-&gt;audit();</v>
      </c>
    </row>
    <row r="257" spans="1:11">
      <c r="A257" s="4" t="s">
        <v>355</v>
      </c>
      <c r="B257" s="4" t="s">
        <v>120</v>
      </c>
      <c r="C257" s="4" t="str">
        <f>VLOOKUP([Field],Columns[],2,0)&amp;"("</f>
        <v>foreign(</v>
      </c>
      <c r="D257" s="4" t="str">
        <f>IF(VLOOKUP([Field],Columns[],3,0)&lt;&gt;"","'"&amp;VLOOKUP([Field],Columns[],3,0)&amp;"'","")</f>
        <v>'form_field'</v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>-&gt;references('id')</v>
      </c>
      <c r="G257" s="4" t="str">
        <f>IF(VLOOKUP([Field],Columns[],6,0)=0,"","-&gt;"&amp;VLOOKUP([Field],Columns[],6,0))</f>
        <v>-&gt;on('__resource_form_fields')</v>
      </c>
      <c r="H257" s="4" t="str">
        <f>IF(VLOOKUP([Field],Columns[],7,0)=0,"","-&gt;"&amp;VLOOKUP([Field],Columns[],7,0))</f>
        <v>-&gt;onUpdate('cascade')</v>
      </c>
      <c r="I257" s="4" t="str">
        <f>IF(VLOOKUP([Field],Columns[],8,0)=0,"","-&gt;"&amp;VLOOKUP([Field],Columns[],8,0))</f>
        <v>-&gt;onDelete('cascade')</v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8" spans="1:11">
      <c r="A258" s="4" t="s">
        <v>441</v>
      </c>
      <c r="B258" s="4" t="s">
        <v>21</v>
      </c>
      <c r="C258" s="4" t="str">
        <f>VLOOKUP([Field],Columns[],2,0)&amp;"("</f>
        <v>increments(</v>
      </c>
      <c r="D258" s="4" t="str">
        <f>IF(VLOOKUP([Field],Columns[],3,0)&lt;&gt;"","'"&amp;VLOOKUP([Field],Columns[],3,0)&amp;"'","")</f>
        <v>'id'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/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$table-&gt;increments('id');</v>
      </c>
    </row>
    <row r="259" spans="1:11">
      <c r="A259" s="4" t="s">
        <v>441</v>
      </c>
      <c r="B259" s="4" t="s">
        <v>93</v>
      </c>
      <c r="C259" s="4" t="str">
        <f>VLOOKUP([Field],Columns[],2,0)&amp;"("</f>
        <v>unsignedInteger(</v>
      </c>
      <c r="D259" s="4" t="str">
        <f>IF(VLOOKUP([Field],Columns[],3,0)&lt;&gt;"","'"&amp;VLOOKUP([Field],Columns[],3,0)&amp;"'","")</f>
        <v>'resource_list'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>-&gt;index()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$table-&gt;unsignedInteger('resource_list')-&gt;index();</v>
      </c>
    </row>
    <row r="260" spans="1:11">
      <c r="A260" s="4" t="s">
        <v>441</v>
      </c>
      <c r="B260" s="4" t="s">
        <v>230</v>
      </c>
      <c r="C260" s="4" t="str">
        <f>VLOOKUP([Field],Columns[],2,0)&amp;"("</f>
        <v>string(</v>
      </c>
      <c r="D260" s="4" t="str">
        <f>IF(VLOOKUP([Field],Columns[],3,0)&lt;&gt;"","'"&amp;VLOOKUP([Field],Columns[],3,0)&amp;"'","")</f>
        <v>'label'</v>
      </c>
      <c r="E260" s="7" t="str">
        <f>IF(VLOOKUP([Field],Columns[],4,0)&lt;&gt;0,", "&amp;VLOOKUP([Field],Columns[],4,0)&amp;")",")")</f>
        <v>, 128)</v>
      </c>
      <c r="F260" s="4" t="str">
        <f>IF(VLOOKUP([Field],Columns[],5,0)=0,"","-&gt;"&amp;VLOOKUP([Field],Columns[],5,0))</f>
        <v>-&gt;nullable()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$table-&gt;string('label', 128)-&gt;nullable();</v>
      </c>
    </row>
    <row r="261" spans="1:11">
      <c r="A261" s="4" t="s">
        <v>441</v>
      </c>
      <c r="B261" s="4" t="s">
        <v>442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'field'</v>
      </c>
      <c r="E261" s="7" t="str">
        <f>IF(VLOOKUP([Field],Columns[],4,0)&lt;&gt;0,", "&amp;VLOOKUP([Field],Columns[],4,0)&amp;")",")")</f>
        <v>, 64)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$table-&gt;string('field', 64)-&gt;nullable();</v>
      </c>
    </row>
    <row r="262" spans="1:11">
      <c r="A262" s="4" t="s">
        <v>441</v>
      </c>
      <c r="B262" s="4" t="s">
        <v>453</v>
      </c>
      <c r="C262" s="4" t="str">
        <f>VLOOKUP([Field],Columns[],2,0)&amp;"("</f>
        <v>unsignedInteger(</v>
      </c>
      <c r="D262" s="4" t="str">
        <f>IF(VLOOKUP([Field],Columns[],3,0)&lt;&gt;"","'"&amp;VLOOKUP([Field],Columns[],3,0)&amp;"'","")</f>
        <v>'relation'</v>
      </c>
      <c r="E262" s="7" t="str">
        <f>IF(VLOOKUP([Field],Columns[],4,0)&lt;&gt;0,", "&amp;VLOOKUP([Field],Columns[],4,0)&amp;")",")")</f>
        <v>)</v>
      </c>
      <c r="F262" s="4" t="str">
        <f>IF(VLOOKUP([Field],Columns[],5,0)=0,"","-&gt;"&amp;VLOOKUP([Field],Columns[],5,0))</f>
        <v>-&gt;index()</v>
      </c>
      <c r="G262" s="4" t="str">
        <f>IF(VLOOKUP([Field],Columns[],6,0)=0,"","-&gt;"&amp;VLOOKUP([Field],Columns[],6,0))</f>
        <v>-&gt;nullable()</v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$table-&gt;unsignedInteger('relation')-&gt;index()-&gt;nullable();</v>
      </c>
    </row>
    <row r="263" spans="1:11">
      <c r="A263" s="4" t="s">
        <v>441</v>
      </c>
      <c r="B263" s="4" t="s">
        <v>455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'nest_relation1'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4" spans="1:11">
      <c r="A264" s="4" t="s">
        <v>441</v>
      </c>
      <c r="B264" s="4" t="s">
        <v>456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'nest_relation2'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5" spans="1:11">
      <c r="A265" s="4" t="s">
        <v>441</v>
      </c>
      <c r="B265" s="4" t="s">
        <v>747</v>
      </c>
      <c r="C265" s="4" t="str">
        <f>VLOOKUP([Field],Columns[],2,0)&amp;"("</f>
        <v>audit(</v>
      </c>
      <c r="D265" s="4" t="str">
        <f>IF(VLOOKUP([Field],Columns[],3,0)&lt;&gt;"","'"&amp;VLOOKUP([Field],Columns[],3,0)&amp;"'","")</f>
        <v/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/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$table-&gt;audit();</v>
      </c>
    </row>
    <row r="266" spans="1:11">
      <c r="A266" s="4" t="s">
        <v>441</v>
      </c>
      <c r="B266" s="4" t="s">
        <v>94</v>
      </c>
      <c r="C266" s="4" t="str">
        <f>VLOOKUP([Field],Columns[],2,0)&amp;"("</f>
        <v>foreign(</v>
      </c>
      <c r="D266" s="4" t="str">
        <f>IF(VLOOKUP([Field],Columns[],3,0)&lt;&gt;"","'"&amp;VLOOKUP([Field],Columns[],3,0)&amp;"'","")</f>
        <v>'resource_list'</v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>-&gt;references('id')</v>
      </c>
      <c r="G266" s="4" t="str">
        <f>IF(VLOOKUP([Field],Columns[],6,0)=0,"","-&gt;"&amp;VLOOKUP([Field],Columns[],6,0))</f>
        <v>-&gt;on('__resource_lists')</v>
      </c>
      <c r="H266" s="4" t="str">
        <f>IF(VLOOKUP([Field],Columns[],7,0)=0,"","-&gt;"&amp;VLOOKUP([Field],Columns[],7,0))</f>
        <v>-&gt;onUpdate('cascade')</v>
      </c>
      <c r="I266" s="4" t="str">
        <f>IF(VLOOKUP([Field],Columns[],8,0)=0,"","-&gt;"&amp;VLOOKUP([Field],Columns[],8,0))</f>
        <v>-&gt;onDelete('cascade')</v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7" spans="1:11">
      <c r="A267" s="4" t="s">
        <v>441</v>
      </c>
      <c r="B267" s="4" t="s">
        <v>454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'relation'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-&gt;on('__resource_relations')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-&gt;onDelete('set null')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8" spans="1:11">
      <c r="A268" s="4" t="s">
        <v>441</v>
      </c>
      <c r="B268" s="4" t="s">
        <v>460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'nest_relation1'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69" spans="1:11">
      <c r="A269" s="4" t="s">
        <v>441</v>
      </c>
      <c r="B269" s="4" t="s">
        <v>461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'nest_relation2'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0" spans="1:11">
      <c r="A270" s="5" t="s">
        <v>448</v>
      </c>
      <c r="B270" s="5" t="s">
        <v>21</v>
      </c>
      <c r="C270" s="5" t="str">
        <f>VLOOKUP([Field],Columns[],2,0)&amp;"("</f>
        <v>increments(</v>
      </c>
      <c r="D270" s="5" t="str">
        <f>IF(VLOOKUP([Field],Columns[],3,0)&lt;&gt;"","'"&amp;VLOOKUP([Field],Columns[],3,0)&amp;"'","")</f>
        <v>'id'</v>
      </c>
      <c r="E270" s="8" t="str">
        <f>IF(VLOOKUP([Field],Columns[],4,0)&lt;&gt;0,", "&amp;VLOOKUP([Field],Columns[],4,0)&amp;")",")")</f>
        <v>)</v>
      </c>
      <c r="F270" s="5" t="str">
        <f>IF(VLOOKUP([Field],Columns[],5,0)=0,"","-&gt;"&amp;VLOOKUP([Field],Columns[],5,0))</f>
        <v/>
      </c>
      <c r="G270" s="5" t="str">
        <f>IF(VLOOKUP([Field],Columns[],6,0)=0,"","-&gt;"&amp;VLOOKUP([Field],Columns[],6,0))</f>
        <v/>
      </c>
      <c r="H270" s="5" t="str">
        <f>IF(VLOOKUP([Field],Columns[],7,0)=0,"","-&gt;"&amp;VLOOKUP([Field],Columns[],7,0))</f>
        <v/>
      </c>
      <c r="I270" s="5" t="str">
        <f>IF(VLOOKUP([Field],Columns[],8,0)=0,"","-&gt;"&amp;VLOOKUP([Field],Columns[],8,0))</f>
        <v/>
      </c>
      <c r="J270" s="5" t="str">
        <f>IF(VLOOKUP([Field],Columns[],9,0)=0,"","-&gt;"&amp;VLOOKUP([Field],Columns[],9,0))</f>
        <v/>
      </c>
      <c r="K270" s="5" t="str">
        <f>"$table-&gt;"&amp;[Type]&amp;[Name]&amp;[Arg2]&amp;[Method1]&amp;[Method2]&amp;[Method3]&amp;[Method4]&amp;[Method5]&amp;";"</f>
        <v>$table-&gt;increments('id');</v>
      </c>
    </row>
    <row r="271" spans="1:11">
      <c r="A271" s="5" t="s">
        <v>448</v>
      </c>
      <c r="B271" s="5" t="s">
        <v>4</v>
      </c>
      <c r="C271" s="5" t="str">
        <f>VLOOKUP([Field],Columns[],2,0)&amp;"("</f>
        <v>unsignedInteger(</v>
      </c>
      <c r="D271" s="5" t="str">
        <f>IF(VLOOKUP([Field],Columns[],3,0)&lt;&gt;"","'"&amp;VLOOKUP([Field],Columns[],3,0)&amp;"'","")</f>
        <v>'resource_data'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>-&gt;index()</v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$table-&gt;unsignedInteger('resource_data')-&gt;index();</v>
      </c>
    </row>
    <row r="272" spans="1:11">
      <c r="A272" s="5" t="s">
        <v>448</v>
      </c>
      <c r="B272" s="5" t="s">
        <v>56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'scope'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$table-&gt;unsignedInteger('scope')-&gt;index();</v>
      </c>
    </row>
    <row r="273" spans="1:11">
      <c r="A273" s="5" t="s">
        <v>448</v>
      </c>
      <c r="B273" s="4" t="s">
        <v>747</v>
      </c>
      <c r="C273" s="5" t="str">
        <f>VLOOKUP([Field],Columns[],2,0)&amp;"("</f>
        <v>audit(</v>
      </c>
      <c r="D273" s="5" t="str">
        <f>IF(VLOOKUP([Field],Columns[],3,0)&lt;&gt;"","'"&amp;VLOOKUP([Field],Columns[],3,0)&amp;"'","")</f>
        <v/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/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$table-&gt;audit();</v>
      </c>
    </row>
    <row r="274" spans="1:11">
      <c r="A274" s="5" t="s">
        <v>448</v>
      </c>
      <c r="B274" s="5" t="s">
        <v>92</v>
      </c>
      <c r="C274" s="5" t="str">
        <f>VLOOKUP([Field],Columns[],2,0)&amp;"("</f>
        <v>foreign(</v>
      </c>
      <c r="D274" s="5" t="str">
        <f>IF(VLOOKUP([Field],Columns[],3,0)&lt;&gt;"","'"&amp;VLOOKUP([Field],Columns[],3,0)&amp;"'","")</f>
        <v>'resource_data'</v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>-&gt;references('id')</v>
      </c>
      <c r="G274" s="5" t="str">
        <f>IF(VLOOKUP([Field],Columns[],6,0)=0,"","-&gt;"&amp;VLOOKUP([Field],Columns[],6,0))</f>
        <v>-&gt;on('__resource_data')</v>
      </c>
      <c r="H274" s="5" t="str">
        <f>IF(VLOOKUP([Field],Columns[],7,0)=0,"","-&gt;"&amp;VLOOKUP([Field],Columns[],7,0))</f>
        <v>-&gt;onUpdate('cascade')</v>
      </c>
      <c r="I274" s="5" t="str">
        <f>IF(VLOOKUP([Field],Columns[],8,0)=0,"","-&gt;"&amp;VLOOKUP([Field],Columns[],8,0))</f>
        <v>-&gt;onDelete('cascade')</v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5" spans="1:11">
      <c r="A275" s="4" t="s">
        <v>448</v>
      </c>
      <c r="B275" s="4" t="s">
        <v>59</v>
      </c>
      <c r="C275" s="4" t="str">
        <f>VLOOKUP([Field],Columns[],2,0)&amp;"("</f>
        <v>foreign(</v>
      </c>
      <c r="D275" s="4" t="str">
        <f>IF(VLOOKUP([Field],Columns[],3,0)&lt;&gt;"","'"&amp;VLOOKUP([Field],Columns[],3,0)&amp;"'","")</f>
        <v>'scope'</v>
      </c>
      <c r="E275" s="7" t="str">
        <f>IF(VLOOKUP([Field],Columns[],4,0)&lt;&gt;0,", "&amp;VLOOKUP([Field],Columns[],4,0)&amp;")",")")</f>
        <v>)</v>
      </c>
      <c r="F275" s="4" t="str">
        <f>IF(VLOOKUP([Field],Columns[],5,0)=0,"","-&gt;"&amp;VLOOKUP([Field],Columns[],5,0))</f>
        <v>-&gt;references('id')</v>
      </c>
      <c r="G275" s="4" t="str">
        <f>IF(VLOOKUP([Field],Columns[],6,0)=0,"","-&gt;"&amp;VLOOKUP([Field],Columns[],6,0))</f>
        <v>-&gt;on('__resource_scopes')</v>
      </c>
      <c r="H275" s="4" t="str">
        <f>IF(VLOOKUP([Field],Columns[],7,0)=0,"","-&gt;"&amp;VLOOKUP([Field],Columns[],7,0))</f>
        <v>-&gt;onUpdate('cascade')</v>
      </c>
      <c r="I275" s="4" t="str">
        <f>IF(VLOOKUP([Field],Columns[],8,0)=0,"","-&gt;"&amp;VLOOKUP([Field],Columns[],8,0))</f>
        <v>-&gt;onDelete('cascade')</v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6" spans="1:11">
      <c r="A276" s="4" t="s">
        <v>470</v>
      </c>
      <c r="B276" s="4" t="s">
        <v>21</v>
      </c>
      <c r="C276" s="4" t="str">
        <f>VLOOKUP([Field],Columns[],2,0)&amp;"("</f>
        <v>increments(</v>
      </c>
      <c r="D276" s="4" t="str">
        <f>IF(VLOOKUP([Field],Columns[],3,0)&lt;&gt;"","'"&amp;VLOOKUP([Field],Columns[],3,0)&amp;"'","")</f>
        <v>'id'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/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$table-&gt;increments('id');</v>
      </c>
    </row>
    <row r="277" spans="1:11">
      <c r="A277" s="4" t="s">
        <v>470</v>
      </c>
      <c r="B277" s="4" t="s">
        <v>116</v>
      </c>
      <c r="C277" s="4" t="str">
        <f>VLOOKUP([Field],Columns[],2,0)&amp;"("</f>
        <v>unsignedInteger(</v>
      </c>
      <c r="D277" s="4" t="str">
        <f>IF(VLOOKUP([Field],Columns[],3,0)&lt;&gt;"","'"&amp;VLOOKUP([Field],Columns[],3,0)&amp;"'","")</f>
        <v>'resource_form'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>-&gt;index()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$table-&gt;unsignedInteger('resource_form')-&gt;index();</v>
      </c>
    </row>
    <row r="278" spans="1:11">
      <c r="A278" s="4" t="s">
        <v>470</v>
      </c>
      <c r="B278" s="4" t="s">
        <v>119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'form_field'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$table-&gt;unsignedInteger('form_field')-&gt;index();</v>
      </c>
    </row>
    <row r="279" spans="1:11">
      <c r="A279" s="4" t="s">
        <v>470</v>
      </c>
      <c r="B279" s="4" t="s">
        <v>478</v>
      </c>
      <c r="C279" s="4" t="str">
        <f>VLOOKUP([Field],Columns[],2,0)&amp;"("</f>
        <v>unsignedTinyInteger(</v>
      </c>
      <c r="D279" s="4" t="str">
        <f>IF(VLOOKUP([Field],Columns[],3,0)&lt;&gt;"","'"&amp;VLOOKUP([Field],Columns[],3,0)&amp;"'","")</f>
        <v>'colspan'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-&gt;default(12)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$table-&gt;unsignedTinyInteger('colspan')-&gt;default(12);</v>
      </c>
    </row>
    <row r="280" spans="1:11">
      <c r="A280" s="4" t="s">
        <v>470</v>
      </c>
      <c r="B280" s="4" t="s">
        <v>747</v>
      </c>
      <c r="C280" s="4" t="str">
        <f>VLOOKUP([Field],Columns[],2,0)&amp;"("</f>
        <v>audit(</v>
      </c>
      <c r="D280" s="4" t="str">
        <f>IF(VLOOKUP([Field],Columns[],3,0)&lt;&gt;"","'"&amp;VLOOKUP([Field],Columns[],3,0)&amp;"'","")</f>
        <v/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/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$table-&gt;audit();</v>
      </c>
    </row>
    <row r="281" spans="1:11">
      <c r="A281" s="4" t="s">
        <v>470</v>
      </c>
      <c r="B281" s="4" t="s">
        <v>117</v>
      </c>
      <c r="C281" s="4" t="str">
        <f>VLOOKUP([Field],Columns[],2,0)&amp;"("</f>
        <v>foreign(</v>
      </c>
      <c r="D281" s="4" t="str">
        <f>IF(VLOOKUP([Field],Columns[],3,0)&lt;&gt;"","'"&amp;VLOOKUP([Field],Columns[],3,0)&amp;"'","")</f>
        <v>'resource_form'</v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>-&gt;references('id')</v>
      </c>
      <c r="G281" s="4" t="str">
        <f>IF(VLOOKUP([Field],Columns[],6,0)=0,"","-&gt;"&amp;VLOOKUP([Field],Columns[],6,0))</f>
        <v>-&gt;on('__resource_forms')</v>
      </c>
      <c r="H281" s="4" t="str">
        <f>IF(VLOOKUP([Field],Columns[],7,0)=0,"","-&gt;"&amp;VLOOKUP([Field],Columns[],7,0))</f>
        <v>-&gt;onUpdate('cascade')</v>
      </c>
      <c r="I281" s="4" t="str">
        <f>IF(VLOOKUP([Field],Columns[],8,0)=0,"","-&gt;"&amp;VLOOKUP([Field],Columns[],8,0))</f>
        <v>-&gt;onDelete('cascade')</v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2" spans="1:11">
      <c r="A282" s="4" t="s">
        <v>470</v>
      </c>
      <c r="B282" s="4" t="s">
        <v>120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'form_field'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-&gt;on('__resource_form_fields')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3" spans="1:11">
      <c r="A283" s="4" t="s">
        <v>479</v>
      </c>
      <c r="B283" s="4" t="s">
        <v>21</v>
      </c>
      <c r="C283" s="4" t="str">
        <f>VLOOKUP([Field],Columns[],2,0)&amp;"("</f>
        <v>increments(</v>
      </c>
      <c r="D283" s="4" t="str">
        <f>IF(VLOOKUP([Field],Columns[],3,0)&lt;&gt;"","'"&amp;VLOOKUP([Field],Columns[],3,0)&amp;"'","")</f>
        <v>'id'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/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$table-&gt;increments('id');</v>
      </c>
    </row>
    <row r="284" spans="1:11">
      <c r="A284" s="4" t="s">
        <v>479</v>
      </c>
      <c r="B284" s="4" t="s">
        <v>4</v>
      </c>
      <c r="C284" s="4" t="str">
        <f>VLOOKUP([Field],Columns[],2,0)&amp;"("</f>
        <v>unsignedInteger(</v>
      </c>
      <c r="D284" s="4" t="str">
        <f>IF(VLOOKUP([Field],Columns[],3,0)&lt;&gt;"","'"&amp;VLOOKUP([Field],Columns[],3,0)&amp;"'","")</f>
        <v>'resource_data'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>-&gt;index()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$table-&gt;unsignedInteger('resource_data')-&gt;index();</v>
      </c>
    </row>
    <row r="285" spans="1:11">
      <c r="A285" s="4" t="s">
        <v>479</v>
      </c>
      <c r="B285" s="4" t="s">
        <v>30</v>
      </c>
      <c r="C285" s="4" t="str">
        <f>VLOOKUP([Field],Columns[],2,0)&amp;"("</f>
        <v>string(</v>
      </c>
      <c r="D285" s="4" t="str">
        <f>IF(VLOOKUP([Field],Columns[],3,0)&lt;&gt;"","'"&amp;VLOOKUP([Field],Columns[],3,0)&amp;"'","")</f>
        <v>'title'</v>
      </c>
      <c r="E285" s="7" t="str">
        <f>IF(VLOOKUP([Field],Columns[],4,0)&lt;&gt;0,", "&amp;VLOOKUP([Field],Columns[],4,0)&amp;")",")")</f>
        <v>, 128)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$table-&gt;string('title', 128)-&gt;nullable();</v>
      </c>
    </row>
    <row r="286" spans="1:11">
      <c r="A286" s="4" t="s">
        <v>479</v>
      </c>
      <c r="B286" s="4" t="s">
        <v>54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'title_field'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$table-&gt;string('title_field', 128)-&gt;nullable();</v>
      </c>
    </row>
    <row r="287" spans="1:11">
      <c r="A287" s="4" t="s">
        <v>479</v>
      </c>
      <c r="B287" s="4" t="s">
        <v>453</v>
      </c>
      <c r="C287" s="4" t="str">
        <f>VLOOKUP([Field],Columns[],2,0)&amp;"("</f>
        <v>unsignedInteger(</v>
      </c>
      <c r="D287" s="4" t="str">
        <f>IF(VLOOKUP([Field],Columns[],3,0)&lt;&gt;"","'"&amp;VLOOKUP([Field],Columns[],3,0)&amp;"'","")</f>
        <v>'relation'</v>
      </c>
      <c r="E287" s="7" t="str">
        <f>IF(VLOOKUP([Field],Columns[],4,0)&lt;&gt;0,", "&amp;VLOOKUP([Field],Columns[],4,0)&amp;")",")")</f>
        <v>)</v>
      </c>
      <c r="F287" s="4" t="str">
        <f>IF(VLOOKUP([Field],Columns[],5,0)=0,"","-&gt;"&amp;VLOOKUP([Field],Columns[],5,0))</f>
        <v>-&gt;index()</v>
      </c>
      <c r="G287" s="4" t="str">
        <f>IF(VLOOKUP([Field],Columns[],6,0)=0,"","-&gt;"&amp;VLOOKUP([Field],Columns[],6,0))</f>
        <v>-&gt;nullable()</v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$table-&gt;unsignedInteger('relation')-&gt;index()-&gt;nullable();</v>
      </c>
    </row>
    <row r="288" spans="1:11">
      <c r="A288" s="4" t="s">
        <v>479</v>
      </c>
      <c r="B288" s="4" t="s">
        <v>478</v>
      </c>
      <c r="C288" s="4" t="str">
        <f>VLOOKUP([Field],Columns[],2,0)&amp;"("</f>
        <v>unsignedTinyInteger(</v>
      </c>
      <c r="D288" s="4" t="str">
        <f>IF(VLOOKUP([Field],Columns[],3,0)&lt;&gt;"","'"&amp;VLOOKUP([Field],Columns[],3,0)&amp;"'","")</f>
        <v>'colspan'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-&gt;default(12)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$table-&gt;unsignedTinyInteger('colspan')-&gt;default(12);</v>
      </c>
    </row>
    <row r="289" spans="1:11">
      <c r="A289" s="4" t="s">
        <v>479</v>
      </c>
      <c r="B289" s="4" t="s">
        <v>747</v>
      </c>
      <c r="C289" s="4" t="str">
        <f>VLOOKUP([Field],Columns[],2,0)&amp;"("</f>
        <v>audit(</v>
      </c>
      <c r="D289" s="4" t="str">
        <f>IF(VLOOKUP([Field],Columns[],3,0)&lt;&gt;"","'"&amp;VLOOKUP([Field],Columns[],3,0)&amp;"'","")</f>
        <v/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/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$table-&gt;audit();</v>
      </c>
    </row>
    <row r="290" spans="1:11">
      <c r="A290" s="4" t="s">
        <v>479</v>
      </c>
      <c r="B290" s="4" t="s">
        <v>92</v>
      </c>
      <c r="C290" s="4" t="str">
        <f>VLOOKUP([Field],Columns[],2,0)&amp;"("</f>
        <v>foreign(</v>
      </c>
      <c r="D290" s="4" t="str">
        <f>IF(VLOOKUP([Field],Columns[],3,0)&lt;&gt;"","'"&amp;VLOOKUP([Field],Columns[],3,0)&amp;"'","")</f>
        <v>'resource_data'</v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>-&gt;references('id')</v>
      </c>
      <c r="G290" s="4" t="str">
        <f>IF(VLOOKUP([Field],Columns[],6,0)=0,"","-&gt;"&amp;VLOOKUP([Field],Columns[],6,0))</f>
        <v>-&gt;on('__resource_data')</v>
      </c>
      <c r="H290" s="4" t="str">
        <f>IF(VLOOKUP([Field],Columns[],7,0)=0,"","-&gt;"&amp;VLOOKUP([Field],Columns[],7,0))</f>
        <v>-&gt;onUpdate('cascade')</v>
      </c>
      <c r="I290" s="4" t="str">
        <f>IF(VLOOKUP([Field],Columns[],8,0)=0,"","-&gt;"&amp;VLOOKUP([Field],Columns[],8,0))</f>
        <v>-&gt;onDelete('cascade')</v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1" spans="1:11">
      <c r="A291" s="4" t="s">
        <v>479</v>
      </c>
      <c r="B291" s="4" t="s">
        <v>454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'relation'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-&gt;on('__resource_relations')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-&gt;onDelete('set null')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2" spans="1:11">
      <c r="A292" s="4" t="s">
        <v>480</v>
      </c>
      <c r="B292" s="4" t="s">
        <v>21</v>
      </c>
      <c r="C292" s="4" t="str">
        <f>VLOOKUP([Field],Columns[],2,0)&amp;"("</f>
        <v>increments(</v>
      </c>
      <c r="D292" s="4" t="str">
        <f>IF(VLOOKUP([Field],Columns[],3,0)&lt;&gt;"","'"&amp;VLOOKUP([Field],Columns[],3,0)&amp;"'","")</f>
        <v>'id'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/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$table-&gt;increments('id');</v>
      </c>
    </row>
    <row r="293" spans="1:11">
      <c r="A293" s="4" t="s">
        <v>480</v>
      </c>
      <c r="B293" s="4" t="s">
        <v>481</v>
      </c>
      <c r="C293" s="4" t="str">
        <f>VLOOKUP([Field],Columns[],2,0)&amp;"("</f>
        <v>unsignedInteger(</v>
      </c>
      <c r="D293" s="4" t="str">
        <f>IF(VLOOKUP([Field],Columns[],3,0)&lt;&gt;"","'"&amp;VLOOKUP([Field],Columns[],3,0)&amp;"'","")</f>
        <v>'section'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>-&gt;index()</v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$table-&gt;unsignedInteger('section')-&gt;index();</v>
      </c>
    </row>
    <row r="294" spans="1:11">
      <c r="A294" s="4" t="s">
        <v>480</v>
      </c>
      <c r="B294" s="4" t="s">
        <v>230</v>
      </c>
      <c r="C294" s="4" t="str">
        <f>VLOOKUP([Field],Columns[],2,0)&amp;"("</f>
        <v>string(</v>
      </c>
      <c r="D294" s="4" t="str">
        <f>IF(VLOOKUP([Field],Columns[],3,0)&lt;&gt;"","'"&amp;VLOOKUP([Field],Columns[],3,0)&amp;"'","")</f>
        <v>'label'</v>
      </c>
      <c r="E294" s="7" t="str">
        <f>IF(VLOOKUP([Field],Columns[],4,0)&lt;&gt;0,", "&amp;VLOOKUP([Field],Columns[],4,0)&amp;")",")")</f>
        <v>, 128)</v>
      </c>
      <c r="F294" s="4" t="str">
        <f>IF(VLOOKUP([Field],Columns[],5,0)=0,"","-&gt;"&amp;VLOOKUP([Field],Columns[],5,0))</f>
        <v>-&gt;nullable()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$table-&gt;string('label', 128)-&gt;nullable();</v>
      </c>
    </row>
    <row r="295" spans="1:11">
      <c r="A295" s="4" t="s">
        <v>480</v>
      </c>
      <c r="B295" s="4" t="s">
        <v>483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'attribute'</v>
      </c>
      <c r="E295" s="7" t="str">
        <f>IF(VLOOKUP([Field],Columns[],4,0)&lt;&gt;0,", "&amp;VLOOKUP([Field],Columns[],4,0)&amp;")",")")</f>
        <v>, 64)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$table-&gt;string('attribute', 64)-&gt;nullable();</v>
      </c>
    </row>
    <row r="296" spans="1:11">
      <c r="A296" s="4" t="s">
        <v>480</v>
      </c>
      <c r="B296" s="4" t="s">
        <v>453</v>
      </c>
      <c r="C296" s="4" t="str">
        <f>VLOOKUP([Field],Columns[],2,0)&amp;"("</f>
        <v>unsignedInteger(</v>
      </c>
      <c r="D296" s="4" t="str">
        <f>IF(VLOOKUP([Field],Columns[],3,0)&lt;&gt;"","'"&amp;VLOOKUP([Field],Columns[],3,0)&amp;"'","")</f>
        <v>'relation'</v>
      </c>
      <c r="E296" s="7" t="str">
        <f>IF(VLOOKUP([Field],Columns[],4,0)&lt;&gt;0,", "&amp;VLOOKUP([Field],Columns[],4,0)&amp;")",")")</f>
        <v>)</v>
      </c>
      <c r="F296" s="4" t="str">
        <f>IF(VLOOKUP([Field],Columns[],5,0)=0,"","-&gt;"&amp;VLOOKUP([Field],Columns[],5,0))</f>
        <v>-&gt;index()</v>
      </c>
      <c r="G296" s="4" t="str">
        <f>IF(VLOOKUP([Field],Columns[],6,0)=0,"","-&gt;"&amp;VLOOKUP([Field],Columns[],6,0))</f>
        <v>-&gt;nullable()</v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$table-&gt;unsignedInteger('relation')-&gt;index()-&gt;nullable();</v>
      </c>
    </row>
    <row r="297" spans="1:11">
      <c r="A297" s="4" t="s">
        <v>480</v>
      </c>
      <c r="B297" s="4" t="s">
        <v>747</v>
      </c>
      <c r="C297" s="4" t="str">
        <f>VLOOKUP([Field],Columns[],2,0)&amp;"("</f>
        <v>audit(</v>
      </c>
      <c r="D297" s="4" t="str">
        <f>IF(VLOOKUP([Field],Columns[],3,0)&lt;&gt;"","'"&amp;VLOOKUP([Field],Columns[],3,0)&amp;"'","")</f>
        <v/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/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$table-&gt;audit();</v>
      </c>
    </row>
    <row r="298" spans="1:11">
      <c r="A298" s="4" t="s">
        <v>480</v>
      </c>
      <c r="B298" s="4" t="s">
        <v>484</v>
      </c>
      <c r="C298" s="4" t="str">
        <f>VLOOKUP([Field],Columns[],2,0)&amp;"("</f>
        <v>foreign(</v>
      </c>
      <c r="D298" s="4" t="str">
        <f>IF(VLOOKUP([Field],Columns[],3,0)&lt;&gt;"","'"&amp;VLOOKUP([Field],Columns[],3,0)&amp;"'","")</f>
        <v>'section'</v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>-&gt;references('id')</v>
      </c>
      <c r="G298" s="4" t="str">
        <f>IF(VLOOKUP([Field],Columns[],6,0)=0,"","-&gt;"&amp;VLOOKUP([Field],Columns[],6,0))</f>
        <v>-&gt;on('__resource_data_view_sections')</v>
      </c>
      <c r="H298" s="4" t="str">
        <f>IF(VLOOKUP([Field],Columns[],7,0)=0,"","-&gt;"&amp;VLOOKUP([Field],Columns[],7,0))</f>
        <v>-&gt;onUpdate('cascade')</v>
      </c>
      <c r="I298" s="4" t="str">
        <f>IF(VLOOKUP([Field],Columns[],8,0)=0,"","-&gt;"&amp;VLOOKUP([Field],Columns[],8,0))</f>
        <v>-&gt;onDelete('cascade')</v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299" spans="1:11">
      <c r="A299" s="4" t="s">
        <v>480</v>
      </c>
      <c r="B299" s="4" t="s">
        <v>454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'relation'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-&gt;on('__resource_relations')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-&gt;onDelete('set null')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0" spans="1:11">
      <c r="A300" s="4" t="s">
        <v>508</v>
      </c>
      <c r="B300" s="4" t="s">
        <v>21</v>
      </c>
      <c r="C300" s="4" t="str">
        <f>VLOOKUP([Field],Columns[],2,0)&amp;"("</f>
        <v>increments(</v>
      </c>
      <c r="D300" s="4" t="str">
        <f>IF(VLOOKUP([Field],Columns[],3,0)&lt;&gt;"","'"&amp;VLOOKUP([Field],Columns[],3,0)&amp;"'","")</f>
        <v>'id'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/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$table-&gt;increments('id');</v>
      </c>
    </row>
    <row r="301" spans="1:11">
      <c r="A301" s="4" t="s">
        <v>508</v>
      </c>
      <c r="B301" s="4" t="s">
        <v>116</v>
      </c>
      <c r="C301" s="4" t="str">
        <f>VLOOKUP([Field],Columns[],2,0)&amp;"("</f>
        <v>unsignedInteger(</v>
      </c>
      <c r="D301" s="4" t="str">
        <f>IF(VLOOKUP([Field],Columns[],3,0)&lt;&gt;"","'"&amp;VLOOKUP([Field],Columns[],3,0)&amp;"'","")</f>
        <v>'resource_form'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>-&gt;index()</v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$table-&gt;unsignedInteger('resource_form')-&gt;index();</v>
      </c>
    </row>
    <row r="302" spans="1:11">
      <c r="A302" s="4" t="s">
        <v>508</v>
      </c>
      <c r="B302" s="4" t="s">
        <v>508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'collection_form'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$table-&gt;unsignedInteger('collection_form')-&gt;index();</v>
      </c>
    </row>
    <row r="303" spans="1:11">
      <c r="A303" s="4" t="s">
        <v>508</v>
      </c>
      <c r="B303" s="4" t="s">
        <v>453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'relation'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>-&gt;nullable()</v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$table-&gt;unsignedInteger('relation')-&gt;index()-&gt;nullable();</v>
      </c>
    </row>
    <row r="304" spans="1:11">
      <c r="A304" s="4" t="s">
        <v>508</v>
      </c>
      <c r="B304" s="4" t="s">
        <v>527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'foreign_field'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5" spans="1:11" s="21" customFormat="1">
      <c r="A305" s="4" t="s">
        <v>508</v>
      </c>
      <c r="B305" s="4" t="s">
        <v>747</v>
      </c>
      <c r="C305" s="4" t="str">
        <f>VLOOKUP([Field],Columns[],2,0)&amp;"("</f>
        <v>audit(</v>
      </c>
      <c r="D305" s="4" t="str">
        <f>IF(VLOOKUP([Field],Columns[],3,0)&lt;&gt;"","'"&amp;VLOOKUP([Field],Columns[],3,0)&amp;"'","")</f>
        <v/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/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$table-&gt;audit();</v>
      </c>
    </row>
    <row r="306" spans="1:11">
      <c r="A306" s="4" t="s">
        <v>508</v>
      </c>
      <c r="B306" s="4" t="s">
        <v>117</v>
      </c>
      <c r="C306" s="4" t="str">
        <f>VLOOKUP([Field],Columns[],2,0)&amp;"("</f>
        <v>foreign(</v>
      </c>
      <c r="D306" s="4" t="str">
        <f>IF(VLOOKUP([Field],Columns[],3,0)&lt;&gt;"","'"&amp;VLOOKUP([Field],Columns[],3,0)&amp;"'","")</f>
        <v>'resource_form'</v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>-&gt;references('id')</v>
      </c>
      <c r="G306" s="4" t="str">
        <f>IF(VLOOKUP([Field],Columns[],6,0)=0,"","-&gt;"&amp;VLOOKUP([Field],Columns[],6,0))</f>
        <v>-&gt;on('__resource_forms')</v>
      </c>
      <c r="H306" s="4" t="str">
        <f>IF(VLOOKUP([Field],Columns[],7,0)=0,"","-&gt;"&amp;VLOOKUP([Field],Columns[],7,0))</f>
        <v>-&gt;onUpdate('cascade')</v>
      </c>
      <c r="I306" s="4" t="str">
        <f>IF(VLOOKUP([Field],Columns[],8,0)=0,"","-&gt;"&amp;VLOOKUP([Field],Columns[],8,0))</f>
        <v>-&gt;onDelete('cascade')</v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7" spans="1:11">
      <c r="A307" s="4" t="s">
        <v>508</v>
      </c>
      <c r="B307" s="4" t="s">
        <v>509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'collection_form'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8" spans="1:11">
      <c r="A308" s="4" t="s">
        <v>508</v>
      </c>
      <c r="B308" s="4" t="s">
        <v>454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'relation'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-&gt;on('__resource_relations')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-&gt;onDelete('set null')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9" spans="1:11">
      <c r="A309" s="4" t="s">
        <v>508</v>
      </c>
      <c r="B309" s="4" t="s">
        <v>529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'foreign_field'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-&gt;on('__resource_form_fields')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-&gt;onDelete('cascade')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0" spans="1:11">
      <c r="A310" s="4" t="s">
        <v>532</v>
      </c>
      <c r="B310" s="4" t="s">
        <v>21</v>
      </c>
      <c r="C310" s="4" t="str">
        <f>VLOOKUP([Field],Columns[],2,0)&amp;"("</f>
        <v>increments(</v>
      </c>
      <c r="D310" s="4" t="str">
        <f>IF(VLOOKUP([Field],Columns[],3,0)&lt;&gt;"","'"&amp;VLOOKUP([Field],Columns[],3,0)&amp;"'","")</f>
        <v>'id'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/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$table-&gt;increments('id');</v>
      </c>
    </row>
    <row r="311" spans="1:11">
      <c r="A311" s="4" t="s">
        <v>532</v>
      </c>
      <c r="B311" s="4" t="s">
        <v>93</v>
      </c>
      <c r="C311" s="4" t="str">
        <f>VLOOKUP([Field],Columns[],2,0)&amp;"("</f>
        <v>unsignedInteger(</v>
      </c>
      <c r="D311" s="4" t="str">
        <f>IF(VLOOKUP([Field],Columns[],3,0)&lt;&gt;"","'"&amp;VLOOKUP([Field],Columns[],3,0)&amp;"'","")</f>
        <v>'resource_list'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>-&gt;index()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$table-&gt;unsignedInteger('resource_list')-&gt;index();</v>
      </c>
    </row>
    <row r="312" spans="1:11">
      <c r="A312" s="4" t="s">
        <v>532</v>
      </c>
      <c r="B312" s="4" t="s">
        <v>442</v>
      </c>
      <c r="C312" s="4" t="str">
        <f>VLOOKUP([Field],Columns[],2,0)&amp;"("</f>
        <v>string(</v>
      </c>
      <c r="D312" s="4" t="str">
        <f>IF(VLOOKUP([Field],Columns[],3,0)&lt;&gt;"","'"&amp;VLOOKUP([Field],Columns[],3,0)&amp;"'","")</f>
        <v>'field'</v>
      </c>
      <c r="E312" s="7" t="str">
        <f>IF(VLOOKUP([Field],Columns[],4,0)&lt;&gt;0,", "&amp;VLOOKUP([Field],Columns[],4,0)&amp;")",")")</f>
        <v>, 64)</v>
      </c>
      <c r="F312" s="4" t="str">
        <f>IF(VLOOKUP([Field],Columns[],5,0)=0,"","-&gt;"&amp;VLOOKUP([Field],Columns[],5,0))</f>
        <v>-&gt;nullable()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$table-&gt;string('field', 64)-&gt;nullable();</v>
      </c>
    </row>
    <row r="313" spans="1:11">
      <c r="A313" s="4" t="s">
        <v>532</v>
      </c>
      <c r="B313" s="4" t="s">
        <v>453</v>
      </c>
      <c r="C313" s="4" t="str">
        <f>VLOOKUP([Field],Columns[],2,0)&amp;"("</f>
        <v>unsignedInteger(</v>
      </c>
      <c r="D313" s="4" t="str">
        <f>IF(VLOOKUP([Field],Columns[],3,0)&lt;&gt;"","'"&amp;VLOOKUP([Field],Columns[],3,0)&amp;"'","")</f>
        <v>'relation'</v>
      </c>
      <c r="E313" s="7" t="str">
        <f>IF(VLOOKUP([Field],Columns[],4,0)&lt;&gt;0,", "&amp;VLOOKUP([Field],Columns[],4,0)&amp;")",")")</f>
        <v>)</v>
      </c>
      <c r="F313" s="4" t="str">
        <f>IF(VLOOKUP([Field],Columns[],5,0)=0,"","-&gt;"&amp;VLOOKUP([Field],Columns[],5,0))</f>
        <v>-&gt;index()</v>
      </c>
      <c r="G313" s="4" t="str">
        <f>IF(VLOOKUP([Field],Columns[],6,0)=0,"","-&gt;"&amp;VLOOKUP([Field],Columns[],6,0))</f>
        <v>-&gt;nullable()</v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$table-&gt;unsignedInteger('relation')-&gt;index()-&gt;nullable();</v>
      </c>
    </row>
    <row r="314" spans="1:11">
      <c r="A314" s="4" t="s">
        <v>532</v>
      </c>
      <c r="B314" s="4" t="s">
        <v>455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'nest_relation1'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5" spans="1:11">
      <c r="A315" s="4" t="s">
        <v>532</v>
      </c>
      <c r="B315" s="4" t="s">
        <v>456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'nest_relation2'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6" spans="1:11">
      <c r="A316" s="4" t="s">
        <v>532</v>
      </c>
      <c r="B316" s="4" t="s">
        <v>457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'nest_relation3'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7" spans="1:11">
      <c r="A317" s="4" t="s">
        <v>532</v>
      </c>
      <c r="B317" s="4" t="s">
        <v>747</v>
      </c>
      <c r="C317" s="4" t="str">
        <f>VLOOKUP([Field],Columns[],2,0)&amp;"("</f>
        <v>audit(</v>
      </c>
      <c r="D317" s="4" t="str">
        <f>IF(VLOOKUP([Field],Columns[],3,0)&lt;&gt;"","'"&amp;VLOOKUP([Field],Columns[],3,0)&amp;"'","")</f>
        <v/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/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$table-&gt;audit();</v>
      </c>
    </row>
    <row r="318" spans="1:11">
      <c r="A318" s="4" t="s">
        <v>532</v>
      </c>
      <c r="B318" s="4" t="s">
        <v>94</v>
      </c>
      <c r="C318" s="4" t="str">
        <f>VLOOKUP([Field],Columns[],2,0)&amp;"("</f>
        <v>foreign(</v>
      </c>
      <c r="D318" s="4" t="str">
        <f>IF(VLOOKUP([Field],Columns[],3,0)&lt;&gt;"","'"&amp;VLOOKUP([Field],Columns[],3,0)&amp;"'","")</f>
        <v>'resource_list'</v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>-&gt;references('id')</v>
      </c>
      <c r="G318" s="4" t="str">
        <f>IF(VLOOKUP([Field],Columns[],6,0)=0,"","-&gt;"&amp;VLOOKUP([Field],Columns[],6,0))</f>
        <v>-&gt;on('__resource_lists')</v>
      </c>
      <c r="H318" s="4" t="str">
        <f>IF(VLOOKUP([Field],Columns[],7,0)=0,"","-&gt;"&amp;VLOOKUP([Field],Columns[],7,0))</f>
        <v>-&gt;onUpdate('cascade')</v>
      </c>
      <c r="I318" s="4" t="str">
        <f>IF(VLOOKUP([Field],Columns[],8,0)=0,"","-&gt;"&amp;VLOOKUP([Field],Columns[],8,0))</f>
        <v>-&gt;onDelete('cascade')</v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19" spans="1:11">
      <c r="A319" s="4" t="s">
        <v>532</v>
      </c>
      <c r="B319" s="4" t="s">
        <v>454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'relation'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-&gt;on('__resource_relations')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-&gt;onDelete('set null')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0" spans="1:11">
      <c r="A320" s="4" t="s">
        <v>532</v>
      </c>
      <c r="B320" s="4" t="s">
        <v>460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'nest_relation1'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1" spans="1:11">
      <c r="A321" s="4" t="s">
        <v>532</v>
      </c>
      <c r="B321" s="4" t="s">
        <v>461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'nest_relation2'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2" spans="1:11">
      <c r="A322" s="4" t="s">
        <v>532</v>
      </c>
      <c r="B322" s="4" t="s">
        <v>462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'nest_relation3'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3" spans="1:11">
      <c r="A323" s="4" t="s">
        <v>539</v>
      </c>
      <c r="B323" s="4" t="s">
        <v>21</v>
      </c>
      <c r="C323" s="4" t="str">
        <f>VLOOKUP([Field],Columns[],2,0)&amp;"("</f>
        <v>increments(</v>
      </c>
      <c r="D323" s="4" t="str">
        <f>IF(VLOOKUP([Field],Columns[],3,0)&lt;&gt;"","'"&amp;VLOOKUP([Field],Columns[],3,0)&amp;"'","")</f>
        <v>'id'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/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$table-&gt;increments('id');</v>
      </c>
    </row>
    <row r="324" spans="1:11">
      <c r="A324" s="4" t="s">
        <v>539</v>
      </c>
      <c r="B324" s="4" t="s">
        <v>119</v>
      </c>
      <c r="C324" s="4" t="str">
        <f>VLOOKUP([Field],Columns[],2,0)&amp;"("</f>
        <v>unsignedInteger(</v>
      </c>
      <c r="D324" s="4" t="str">
        <f>IF(VLOOKUP([Field],Columns[],3,0)&lt;&gt;"","'"&amp;VLOOKUP([Field],Columns[],3,0)&amp;"'","")</f>
        <v>'form_field'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>-&gt;index()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$table-&gt;unsignedInteger('form_field')-&gt;index();</v>
      </c>
    </row>
    <row r="325" spans="1:11">
      <c r="A325" s="4" t="s">
        <v>539</v>
      </c>
      <c r="B325" s="4" t="s">
        <v>540</v>
      </c>
      <c r="C325" s="4" t="str">
        <f>VLOOKUP([Field],Columns[],2,0)&amp;"("</f>
        <v>string(</v>
      </c>
      <c r="D325" s="4" t="str">
        <f>IF(VLOOKUP([Field],Columns[],3,0)&lt;&gt;"","'"&amp;VLOOKUP([Field],Columns[],3,0)&amp;"'","")</f>
        <v>'depend_field'</v>
      </c>
      <c r="E325" s="7" t="str">
        <f>IF(VLOOKUP([Field],Columns[],4,0)&lt;&gt;0,", "&amp;VLOOKUP([Field],Columns[],4,0)&amp;")",")")</f>
        <v>, 64)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>-&gt;nullable()</v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$table-&gt;string('depend_field', 64)-&gt;index()-&gt;nullable();</v>
      </c>
    </row>
    <row r="326" spans="1:11">
      <c r="A326" s="4" t="s">
        <v>539</v>
      </c>
      <c r="B326" s="4" t="s">
        <v>542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'db_field'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-&gt;nullable()</v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$table-&gt;string('db_field', 64)-&gt;nullable();</v>
      </c>
    </row>
    <row r="327" spans="1:11">
      <c r="A327" s="4" t="s">
        <v>539</v>
      </c>
      <c r="B327" s="4" t="s">
        <v>544</v>
      </c>
      <c r="C327" s="4" t="str">
        <f>VLOOKUP([Field],Columns[],2,0)&amp;"("</f>
        <v>enum(</v>
      </c>
      <c r="D327" s="4" t="str">
        <f>IF(VLOOKUP([Field],Columns[],3,0)&lt;&gt;"","'"&amp;VLOOKUP([Field],Columns[],3,0)&amp;"'","")</f>
        <v>'operator'</v>
      </c>
      <c r="E327" s="7" t="str">
        <f>IF(VLOOKUP([Field],Columns[],4,0)&lt;&gt;0,", "&amp;VLOOKUP([Field],Columns[],4,0)&amp;")",")")</f>
        <v>, ['=','&lt;','&gt;','&lt;=','&gt;=','&lt;&gt;','In','NotIn','like'])</v>
      </c>
      <c r="F327" s="4" t="str">
        <f>IF(VLOOKUP([Field],Columns[],5,0)=0,"","-&gt;"&amp;VLOOKUP([Field],Columns[],5,0))</f>
        <v>-&gt;default('=')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8" spans="1:11">
      <c r="A328" s="4" t="s">
        <v>539</v>
      </c>
      <c r="B328" s="4" t="s">
        <v>548</v>
      </c>
      <c r="C328" s="4" t="str">
        <f>VLOOKUP([Field],Columns[],2,0)&amp;"("</f>
        <v>string(</v>
      </c>
      <c r="D328" s="4" t="str">
        <f>IF(VLOOKUP([Field],Columns[],3,0)&lt;&gt;"","'"&amp;VLOOKUP([Field],Columns[],3,0)&amp;"'","")</f>
        <v>'compare_method'</v>
      </c>
      <c r="E328" s="7" t="str">
        <f>IF(VLOOKUP([Field],Columns[],4,0)&lt;&gt;0,", "&amp;VLOOKUP([Field],Columns[],4,0)&amp;")",")")</f>
        <v>, 128)</v>
      </c>
      <c r="F328" s="4" t="str">
        <f>IF(VLOOKUP([Field],Columns[],5,0)=0,"","-&gt;"&amp;VLOOKUP([Field],Columns[],5,0))</f>
        <v/>
      </c>
      <c r="G328" s="4" t="str">
        <f>IF(VLOOKUP([Field],Columns[],6,0)=0,"","-&gt;"&amp;VLOOKUP([Field],Columns[],6,0))</f>
        <v>-&gt;nullable()</v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$table-&gt;string('compare_method', 128)-&gt;nullable();</v>
      </c>
    </row>
    <row r="329" spans="1:11">
      <c r="A329" s="4" t="s">
        <v>539</v>
      </c>
      <c r="B329" s="4" t="s">
        <v>35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>-&gt;nullable()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$table-&gt;string('method', 128)-&gt;nullable();</v>
      </c>
    </row>
    <row r="330" spans="1:11">
      <c r="A330" s="4" t="s">
        <v>539</v>
      </c>
      <c r="B330" s="4" t="s">
        <v>560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'value_db_field'</v>
      </c>
      <c r="E330" s="7" t="str">
        <f>IF(VLOOKUP([Field],Columns[],4,0)&lt;&gt;0,", "&amp;VLOOKUP([Field],Columns[],4,0)&amp;")",")")</f>
        <v>, 64)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$table-&gt;string('value_db_field', 64)-&gt;nullable();</v>
      </c>
    </row>
    <row r="331" spans="1:11" s="21" customFormat="1">
      <c r="A331" s="4" t="s">
        <v>539</v>
      </c>
      <c r="B331" s="4" t="s">
        <v>558</v>
      </c>
      <c r="C331" s="4" t="str">
        <f>VLOOKUP([Field],Columns[],2,0)&amp;"("</f>
        <v>enum(</v>
      </c>
      <c r="D331" s="4" t="str">
        <f>IF(VLOOKUP([Field],Columns[],3,0)&lt;&gt;"","'"&amp;VLOOKUP([Field],Columns[],3,0)&amp;"'","")</f>
        <v>'ignore_null'</v>
      </c>
      <c r="E331" s="7" t="str">
        <f>IF(VLOOKUP([Field],Columns[],4,0)&lt;&gt;0,", "&amp;VLOOKUP([Field],Columns[],4,0)&amp;")",")")</f>
        <v>, ['Yes','No'])</v>
      </c>
      <c r="F331" s="4" t="str">
        <f>IF(VLOOKUP([Field],Columns[],5,0)=0,"","-&gt;"&amp;VLOOKUP([Field],Columns[],5,0))</f>
        <v>-&gt;default('Yes')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$table-&gt;enum('ignore_null', ['Yes','No'])-&gt;default('Yes');</v>
      </c>
    </row>
    <row r="332" spans="1:11" s="21" customFormat="1">
      <c r="A332" s="4" t="s">
        <v>539</v>
      </c>
      <c r="B332" s="4" t="s">
        <v>747</v>
      </c>
      <c r="C332" s="4" t="str">
        <f>VLOOKUP([Field],Columns[],2,0)&amp;"("</f>
        <v>audit(</v>
      </c>
      <c r="D332" s="4" t="str">
        <f>IF(VLOOKUP([Field],Columns[],3,0)&lt;&gt;"","'"&amp;VLOOKUP([Field],Columns[],3,0)&amp;"'","")</f>
        <v/>
      </c>
      <c r="E332" s="7" t="str">
        <f>IF(VLOOKUP([Field],Columns[],4,0)&lt;&gt;0,", "&amp;VLOOKUP([Field],Columns[],4,0)&amp;")",")")</f>
        <v>)</v>
      </c>
      <c r="F332" s="4" t="str">
        <f>IF(VLOOKUP([Field],Columns[],5,0)=0,"","-&gt;"&amp;VLOOKUP([Field],Columns[],5,0))</f>
        <v/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$table-&gt;audit();</v>
      </c>
    </row>
    <row r="333" spans="1:11">
      <c r="A333" s="4" t="s">
        <v>539</v>
      </c>
      <c r="B333" s="4" t="s">
        <v>120</v>
      </c>
      <c r="C333" s="4" t="str">
        <f>VLOOKUP([Field],Columns[],2,0)&amp;"("</f>
        <v>foreign(</v>
      </c>
      <c r="D333" s="4" t="str">
        <f>IF(VLOOKUP([Field],Columns[],3,0)&lt;&gt;"","'"&amp;VLOOKUP([Field],Columns[],3,0)&amp;"'","")</f>
        <v>'form_field'</v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>-&gt;references('id')</v>
      </c>
      <c r="G333" s="4" t="str">
        <f>IF(VLOOKUP([Field],Columns[],6,0)=0,"","-&gt;"&amp;VLOOKUP([Field],Columns[],6,0))</f>
        <v>-&gt;on('__resource_form_fields')</v>
      </c>
      <c r="H333" s="4" t="str">
        <f>IF(VLOOKUP([Field],Columns[],7,0)=0,"","-&gt;"&amp;VLOOKUP([Field],Columns[],7,0))</f>
        <v>-&gt;onUpdate('cascade')</v>
      </c>
      <c r="I333" s="4" t="str">
        <f>IF(VLOOKUP([Field],Columns[],8,0)=0,"","-&gt;"&amp;VLOOKUP([Field],Columns[],8,0))</f>
        <v>-&gt;onDelete('cascade')</v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4" spans="1:11">
      <c r="A334" s="4" t="s">
        <v>562</v>
      </c>
      <c r="B334" s="4" t="s">
        <v>21</v>
      </c>
      <c r="C334" s="4" t="str">
        <f>VLOOKUP([Field],Columns[],2,0)&amp;"("</f>
        <v>increments(</v>
      </c>
      <c r="D334" s="4" t="str">
        <f>IF(VLOOKUP([Field],Columns[],3,0)&lt;&gt;"","'"&amp;VLOOKUP([Field],Columns[],3,0)&amp;"'","")</f>
        <v>'id'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/>
      </c>
      <c r="G334" s="4" t="str">
        <f>IF(VLOOKUP([Field],Columns[],6,0)=0,"","-&gt;"&amp;VLOOKUP([Field],Columns[],6,0))</f>
        <v/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$table-&gt;increments('id');</v>
      </c>
    </row>
    <row r="335" spans="1:11">
      <c r="A335" s="4" t="s">
        <v>562</v>
      </c>
      <c r="B335" s="4" t="s">
        <v>23</v>
      </c>
      <c r="C335" s="4" t="str">
        <f>VLOOKUP([Field],Columns[],2,0)&amp;"("</f>
        <v>unsignedInteger(</v>
      </c>
      <c r="D335" s="4" t="str">
        <f>IF(VLOOKUP([Field],Columns[],3,0)&lt;&gt;"","'"&amp;VLOOKUP([Field],Columns[],3,0)&amp;"'","")</f>
        <v>'resource'</v>
      </c>
      <c r="E335" s="7" t="str">
        <f>IF(VLOOKUP([Field],Columns[],4,0)&lt;&gt;0,", "&amp;VLOOKUP([Field],Columns[],4,0)&amp;")",")")</f>
        <v>)</v>
      </c>
      <c r="F335" s="4" t="str">
        <f>IF(VLOOKUP([Field],Columns[],5,0)=0,"","-&gt;"&amp;VLOOKUP([Field],Columns[],5,0))</f>
        <v>-&gt;index()</v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$table-&gt;unsignedInteger('resource')-&gt;index();</v>
      </c>
    </row>
    <row r="336" spans="1:11">
      <c r="A336" s="4" t="s">
        <v>562</v>
      </c>
      <c r="B336" s="4" t="s">
        <v>26</v>
      </c>
      <c r="C336" s="4" t="str">
        <f>VLOOKUP([Field],Columns[],2,0)&amp;"("</f>
        <v>string(</v>
      </c>
      <c r="D336" s="4" t="str">
        <f>IF(VLOOKUP([Field],Columns[],3,0)&lt;&gt;"","'"&amp;VLOOKUP([Field],Columns[],3,0)&amp;"'","")</f>
        <v>'name'</v>
      </c>
      <c r="E336" s="7" t="str">
        <f>IF(VLOOKUP([Field],Columns[],4,0)&lt;&gt;0,", "&amp;VLOOKUP([Field],Columns[],4,0)&amp;")",")")</f>
        <v>, 64)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$table-&gt;string('name', 64)-&gt;index();</v>
      </c>
    </row>
    <row r="337" spans="1:11">
      <c r="A337" s="4" t="s">
        <v>562</v>
      </c>
      <c r="B337" s="4" t="s">
        <v>634</v>
      </c>
      <c r="C337" s="4" t="str">
        <f>VLOOKUP([Field],Columns[],2,0)&amp;"("</f>
        <v>enum(</v>
      </c>
      <c r="D337" s="4" t="str">
        <f>IF(VLOOKUP([Field],Columns[],3,0)&lt;&gt;"","'"&amp;VLOOKUP([Field],Columns[],3,0)&amp;"'","")</f>
        <v>'type'</v>
      </c>
      <c r="E337" s="7" t="str">
        <f>IF(VLOOKUP([Field],Columns[],4,0)&lt;&gt;0,", "&amp;VLOOKUP([Field],Columns[],4,0)&amp;")",")")</f>
        <v>, ['value','trend'])</v>
      </c>
      <c r="F337" s="4" t="str">
        <f>IF(VLOOKUP([Field],Columns[],5,0)=0,"","-&gt;"&amp;VLOOKUP([Field],Columns[],5,0))</f>
        <v>-&gt;default('value')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$table-&gt;enum('type', ['value','trend'])-&gt;default('value');</v>
      </c>
    </row>
    <row r="338" spans="1:11" s="21" customFormat="1">
      <c r="A338" s="4" t="s">
        <v>562</v>
      </c>
      <c r="B338" s="4" t="s">
        <v>93</v>
      </c>
      <c r="C338" s="4" t="str">
        <f>VLOOKUP([Field],Columns[],2,0)&amp;"("</f>
        <v>unsignedInteger(</v>
      </c>
      <c r="D338" s="4" t="str">
        <f>IF(VLOOKUP([Field],Columns[],3,0)&lt;&gt;"","'"&amp;VLOOKUP([Field],Columns[],3,0)&amp;"'","")</f>
        <v>'resource_list'</v>
      </c>
      <c r="E338" s="7" t="str">
        <f>IF(VLOOKUP([Field],Columns[],4,0)&lt;&gt;0,", "&amp;VLOOKUP([Field],Columns[],4,0)&amp;")",")")</f>
        <v>)</v>
      </c>
      <c r="F338" s="4" t="str">
        <f>IF(VLOOKUP([Field],Columns[],5,0)=0,"","-&gt;"&amp;VLOOKUP([Field],Columns[],5,0))</f>
        <v>-&gt;index()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$table-&gt;unsignedInteger('resource_list')-&gt;index();</v>
      </c>
    </row>
    <row r="339" spans="1:11">
      <c r="A339" s="4" t="s">
        <v>562</v>
      </c>
      <c r="B339" s="4" t="s">
        <v>563</v>
      </c>
      <c r="C339" s="4" t="str">
        <f>VLOOKUP([Field],Columns[],2,0)&amp;"("</f>
        <v>enum(</v>
      </c>
      <c r="D339" s="4" t="str">
        <f>IF(VLOOKUP([Field],Columns[],3,0)&lt;&gt;"","'"&amp;VLOOKUP([Field],Columns[],3,0)&amp;"'","")</f>
        <v>'aggregate'</v>
      </c>
      <c r="E339" s="7" t="str">
        <f>IF(VLOOKUP([Field],Columns[],4,0)&lt;&gt;0,", "&amp;VLOOKUP([Field],Columns[],4,0)&amp;")",")")</f>
        <v>, ['COUNT','SUM','AVG','MAX','MIN'])</v>
      </c>
      <c r="F339" s="4" t="str">
        <f>IF(VLOOKUP([Field],Columns[],5,0)=0,"","-&gt;"&amp;VLOOKUP([Field],Columns[],5,0))</f>
        <v>-&gt;default('COUNT')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$table-&gt;enum('aggregate', ['COUNT','SUM','AVG','MAX','MIN'])-&gt;default('COUNT');</v>
      </c>
    </row>
    <row r="340" spans="1:11">
      <c r="A340" s="4" t="s">
        <v>562</v>
      </c>
      <c r="B340" s="4" t="s">
        <v>567</v>
      </c>
      <c r="C340" s="4" t="str">
        <f>VLOOKUP([Field],Columns[],2,0)&amp;"("</f>
        <v>string(</v>
      </c>
      <c r="D340" s="4" t="str">
        <f>IF(VLOOKUP([Field],Columns[],3,0)&lt;&gt;"","'"&amp;VLOOKUP([Field],Columns[],3,0)&amp;"'","")</f>
        <v>'aggregate_field'</v>
      </c>
      <c r="E340" s="7" t="str">
        <f>IF(VLOOKUP([Field],Columns[],4,0)&lt;&gt;0,", "&amp;VLOOKUP([Field],Columns[],4,0)&amp;")",")")</f>
        <v>, 64)</v>
      </c>
      <c r="F340" s="4" t="str">
        <f>IF(VLOOKUP([Field],Columns[],5,0)=0,"","-&gt;"&amp;VLOOKUP([Field],Columns[],5,0))</f>
        <v>-&gt;nullable()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$table-&gt;string('aggregate_field', 64)-&gt;nullable();</v>
      </c>
    </row>
    <row r="341" spans="1:11">
      <c r="A341" s="4" t="s">
        <v>562</v>
      </c>
      <c r="B341" s="5" t="s">
        <v>568</v>
      </c>
      <c r="C341" s="5" t="str">
        <f>VLOOKUP([Field],Columns[],2,0)&amp;"("</f>
        <v>enum(</v>
      </c>
      <c r="D341" s="5" t="str">
        <f>IF(VLOOKUP([Field],Columns[],3,0)&lt;&gt;"","'"&amp;VLOOKUP([Field],Columns[],3,0)&amp;"'","")</f>
        <v>'aggregate_distinct'</v>
      </c>
      <c r="E341" s="8" t="str">
        <f>IF(VLOOKUP([Field],Columns[],4,0)&lt;&gt;0,", "&amp;VLOOKUP([Field],Columns[],4,0)&amp;")",")")</f>
        <v>, ['No','Yes'])</v>
      </c>
      <c r="F341" s="5" t="str">
        <f>IF(VLOOKUP([Field],Columns[],5,0)=0,"","-&gt;"&amp;VLOOKUP([Field],Columns[],5,0))</f>
        <v>-&gt;default('No')</v>
      </c>
      <c r="G341" s="5" t="str">
        <f>IF(VLOOKUP([Field],Columns[],6,0)=0,"","-&gt;"&amp;VLOOKUP([Field],Columns[],6,0))</f>
        <v/>
      </c>
      <c r="H341" s="5" t="str">
        <f>IF(VLOOKUP([Field],Columns[],7,0)=0,"","-&gt;"&amp;VLOOKUP([Field],Columns[],7,0))</f>
        <v/>
      </c>
      <c r="I341" s="5" t="str">
        <f>IF(VLOOKUP([Field],Columns[],8,0)=0,"","-&gt;"&amp;VLOOKUP([Field],Columns[],8,0))</f>
        <v/>
      </c>
      <c r="J341" s="5" t="str">
        <f>IF(VLOOKUP([Field],Columns[],9,0)=0,"","-&gt;"&amp;VLOOKUP([Field],Columns[],9,0))</f>
        <v/>
      </c>
      <c r="K341" s="5" t="str">
        <f>"$table-&gt;"&amp;[Type]&amp;[Name]&amp;[Arg2]&amp;[Method1]&amp;[Method2]&amp;[Method3]&amp;[Method4]&amp;[Method5]&amp;";"</f>
        <v>$table-&gt;enum('aggregate_distinct', ['No','Yes'])-&gt;default('No');</v>
      </c>
    </row>
    <row r="342" spans="1:11">
      <c r="A342" s="4" t="s">
        <v>562</v>
      </c>
      <c r="B342" s="5" t="s">
        <v>628</v>
      </c>
      <c r="C342" s="5" t="str">
        <f>VLOOKUP([Field],Columns[],2,0)&amp;"("</f>
        <v>string(</v>
      </c>
      <c r="D342" s="5" t="str">
        <f>IF(VLOOKUP([Field],Columns[],3,0)&lt;&gt;"","'"&amp;VLOOKUP([Field],Columns[],3,0)&amp;"'","")</f>
        <v>'field'</v>
      </c>
      <c r="E342" s="8" t="str">
        <f>IF(VLOOKUP([Field],Columns[],4,0)&lt;&gt;0,", "&amp;VLOOKUP([Field],Columns[],4,0)&amp;")",")")</f>
        <v>, 64)</v>
      </c>
      <c r="F342" s="5" t="str">
        <f>IF(VLOOKUP([Field],Columns[],5,0)=0,"","-&gt;"&amp;VLOOKUP([Field],Columns[],5,0))</f>
        <v>-&gt;nullable()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$table-&gt;string('field', 64)-&gt;nullable();</v>
      </c>
    </row>
    <row r="343" spans="1:11">
      <c r="A343" s="4" t="s">
        <v>562</v>
      </c>
      <c r="B343" s="5" t="s">
        <v>629</v>
      </c>
      <c r="C343" s="5" t="str">
        <f>VLOOKUP([Field],Columns[],2,0)&amp;"("</f>
        <v>string(</v>
      </c>
      <c r="D343" s="5" t="str">
        <f>IF(VLOOKUP([Field],Columns[],3,0)&lt;&gt;"","'"&amp;VLOOKUP([Field],Columns[],3,0)&amp;"'","")</f>
        <v>'field_sub'</v>
      </c>
      <c r="E343" s="8" t="str">
        <f>IF(VLOOKUP([Field],Columns[],4,0)&lt;&gt;0,", "&amp;VLOOKUP([Field],Columns[],4,0)&amp;")",")")</f>
        <v>, 64)</v>
      </c>
      <c r="F343" s="5" t="str">
        <f>IF(VLOOKUP([Field],Columns[],5,0)=0,"","-&gt;"&amp;VLOOKUP([Field],Columns[],5,0))</f>
        <v>-&gt;nullable()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$table-&gt;string('field_sub', 64)-&gt;nullable();</v>
      </c>
    </row>
    <row r="344" spans="1:11">
      <c r="A344" s="4" t="s">
        <v>562</v>
      </c>
      <c r="B344" s="5" t="s">
        <v>631</v>
      </c>
      <c r="C344" s="5" t="str">
        <f>VLOOKUP([Field],Columns[],2,0)&amp;"("</f>
        <v>unsignedTinyInteger(</v>
      </c>
      <c r="D344" s="5" t="str">
        <f>IF(VLOOKUP([Field],Columns[],3,0)&lt;&gt;"","'"&amp;VLOOKUP([Field],Columns[],3,0)&amp;"'","")</f>
        <v>'cache'</v>
      </c>
      <c r="E344" s="8" t="str">
        <f>IF(VLOOKUP([Field],Columns[],4,0)&lt;&gt;0,", "&amp;VLOOKUP([Field],Columns[],4,0)&amp;")",")")</f>
        <v>)</v>
      </c>
      <c r="F344" s="5" t="str">
        <f>IF(VLOOKUP([Field],Columns[],5,0)=0,"","-&gt;"&amp;VLOOKUP([Field],Columns[],5,0))</f>
        <v>-&gt;default(0)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$table-&gt;unsignedTinyInteger('cache')-&gt;default(0);</v>
      </c>
    </row>
    <row r="345" spans="1:11">
      <c r="A345" s="4" t="s">
        <v>562</v>
      </c>
      <c r="B345" s="4" t="s">
        <v>35</v>
      </c>
      <c r="C345" s="4" t="str">
        <f>VLOOKUP([Field],Columns[],2,0)&amp;"("</f>
        <v>string(</v>
      </c>
      <c r="D345" s="4" t="str">
        <f>IF(VLOOKUP([Field],Columns[],3,0)&lt;&gt;"","'"&amp;VLOOKUP([Field],Columns[],3,0)&amp;"'","")</f>
        <v>'method'</v>
      </c>
      <c r="E345" s="7" t="str">
        <f>IF(VLOOKUP([Field],Columns[],4,0)&lt;&gt;0,", "&amp;VLOOKUP([Field],Columns[],4,0)&amp;")",")")</f>
        <v>, 128)</v>
      </c>
      <c r="F345" s="4" t="str">
        <f>IF(VLOOKUP([Field],Columns[],5,0)=0,"","-&gt;"&amp;VLOOKUP([Field],Columns[],5,0))</f>
        <v>-&gt;nullable()</v>
      </c>
      <c r="G345" s="4" t="str">
        <f>IF(VLOOKUP([Field],Columns[],6,0)=0,"","-&gt;"&amp;VLOOKUP([Field],Columns[],6,0))</f>
        <v/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$table-&gt;string('method', 128)-&gt;nullable();</v>
      </c>
    </row>
    <row r="346" spans="1:11" s="21" customFormat="1">
      <c r="A346" s="4" t="s">
        <v>562</v>
      </c>
      <c r="B346" s="4" t="s">
        <v>747</v>
      </c>
      <c r="C346" s="4" t="str">
        <f>VLOOKUP([Field],Columns[],2,0)&amp;"("</f>
        <v>audit(</v>
      </c>
      <c r="D346" s="4" t="str">
        <f>IF(VLOOKUP([Field],Columns[],3,0)&lt;&gt;"","'"&amp;VLOOKUP([Field],Columns[],3,0)&amp;"'","")</f>
        <v/>
      </c>
      <c r="E346" s="7" t="str">
        <f>IF(VLOOKUP([Field],Columns[],4,0)&lt;&gt;0,", "&amp;VLOOKUP([Field],Columns[],4,0)&amp;")",")")</f>
        <v>)</v>
      </c>
      <c r="F346" s="4" t="str">
        <f>IF(VLOOKUP([Field],Columns[],5,0)=0,"","-&gt;"&amp;VLOOKUP([Field],Columns[],5,0))</f>
        <v/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$table-&gt;audit();</v>
      </c>
    </row>
    <row r="347" spans="1:11">
      <c r="A347" s="4" t="s">
        <v>562</v>
      </c>
      <c r="B347" s="4" t="s">
        <v>40</v>
      </c>
      <c r="C347" s="4" t="str">
        <f>VLOOKUP([Field],Columns[],2,0)&amp;"("</f>
        <v>foreign(</v>
      </c>
      <c r="D347" s="4" t="str">
        <f>IF(VLOOKUP([Field],Columns[],3,0)&lt;&gt;"","'"&amp;VLOOKUP([Field],Columns[],3,0)&amp;"'","")</f>
        <v>'resource'</v>
      </c>
      <c r="E347" s="7" t="str">
        <f>IF(VLOOKUP([Field],Columns[],4,0)&lt;&gt;0,", "&amp;VLOOKUP([Field],Columns[],4,0)&amp;")",")")</f>
        <v>)</v>
      </c>
      <c r="F347" s="4" t="str">
        <f>IF(VLOOKUP([Field],Columns[],5,0)=0,"","-&gt;"&amp;VLOOKUP([Field],Columns[],5,0))</f>
        <v>-&gt;references('id')</v>
      </c>
      <c r="G347" s="4" t="str">
        <f>IF(VLOOKUP([Field],Columns[],6,0)=0,"","-&gt;"&amp;VLOOKUP([Field],Columns[],6,0))</f>
        <v>-&gt;on('__resources')</v>
      </c>
      <c r="H347" s="4" t="str">
        <f>IF(VLOOKUP([Field],Columns[],7,0)=0,"","-&gt;"&amp;VLOOKUP([Field],Columns[],7,0))</f>
        <v>-&gt;onUpdate('cascade')</v>
      </c>
      <c r="I347" s="4" t="str">
        <f>IF(VLOOKUP([Field],Columns[],8,0)=0,"","-&gt;"&amp;VLOOKUP([Field],Columns[],8,0))</f>
        <v>-&gt;onDelete('cascade')</v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8" spans="1:11">
      <c r="A348" s="4" t="s">
        <v>562</v>
      </c>
      <c r="B348" s="4" t="s">
        <v>94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'resource_list'</v>
      </c>
      <c r="E348" s="7" t="str">
        <f>IF(VLOOKUP([Field],Columns[],4,0)&lt;&gt;0,", "&amp;VLOOKUP([Field],Columns[],4,0)&amp;")",")")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-&gt;on('__resource_lists')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49" spans="1:11">
      <c r="A349" s="4" t="s">
        <v>584</v>
      </c>
      <c r="B349" s="4" t="s">
        <v>21</v>
      </c>
      <c r="C349" s="4" t="str">
        <f>VLOOKUP([Field],Columns[],2,0)&amp;"("</f>
        <v>increments(</v>
      </c>
      <c r="D349" s="4" t="str">
        <f>IF(VLOOKUP([Field],Columns[],3,0)&lt;&gt;"","'"&amp;VLOOKUP([Field],Columns[],3,0)&amp;"'","")</f>
        <v>'id'</v>
      </c>
      <c r="E349" s="7" t="str">
        <f>IF(VLOOKUP([Field],Columns[],4,0)&lt;&gt;0,", "&amp;VLOOKUP([Field],Columns[],4,0)&amp;")",")")</f>
        <v>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$table-&gt;increments('id');</v>
      </c>
    </row>
    <row r="350" spans="1:11">
      <c r="A350" s="4" t="s">
        <v>584</v>
      </c>
      <c r="B350" s="4" t="s">
        <v>23</v>
      </c>
      <c r="C350" s="4" t="str">
        <f>VLOOKUP([Field],Columns[],2,0)&amp;"("</f>
        <v>unsignedInteger(</v>
      </c>
      <c r="D350" s="4" t="str">
        <f>IF(VLOOKUP([Field],Columns[],3,0)&lt;&gt;"","'"&amp;VLOOKUP([Field],Columns[],3,0)&amp;"'","")</f>
        <v>'resource'</v>
      </c>
      <c r="E350" s="7" t="str">
        <f>IF(VLOOKUP([Field],Columns[],4,0)&lt;&gt;0,", "&amp;VLOOKUP([Field],Columns[],4,0)&amp;")",")")</f>
        <v>)</v>
      </c>
      <c r="F350" s="4" t="str">
        <f>IF(VLOOKUP([Field],Columns[],5,0)=0,"","-&gt;"&amp;VLOOKUP([Field],Columns[],5,0))</f>
        <v>-&gt;index()</v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$table-&gt;unsignedInteger('resource')-&gt;index();</v>
      </c>
    </row>
    <row r="351" spans="1:11">
      <c r="A351" s="4" t="s">
        <v>584</v>
      </c>
      <c r="B351" s="4" t="s">
        <v>26</v>
      </c>
      <c r="C351" s="4" t="str">
        <f>VLOOKUP([Field],Columns[],2,0)&amp;"("</f>
        <v>string(</v>
      </c>
      <c r="D351" s="4" t="str">
        <f>IF(VLOOKUP([Field],Columns[],3,0)&lt;&gt;"","'"&amp;VLOOKUP([Field],Columns[],3,0)&amp;"'","")</f>
        <v>'name'</v>
      </c>
      <c r="E351" s="7" t="str">
        <f>IF(VLOOKUP([Field],Columns[],4,0)&lt;&gt;0,", "&amp;VLOOKUP([Field],Columns[],4,0)&amp;")",")")</f>
        <v>, 64)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$table-&gt;string('name', 64)-&gt;index();</v>
      </c>
    </row>
    <row r="352" spans="1:11">
      <c r="A352" s="4" t="s">
        <v>584</v>
      </c>
      <c r="B352" s="4" t="s">
        <v>28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'description'</v>
      </c>
      <c r="E352" s="7" t="str">
        <f>IF(VLOOKUP([Field],Columns[],4,0)&lt;&gt;0,", "&amp;VLOOKUP([Field],Columns[],4,0)&amp;")",")")</f>
        <v>, 1024)</v>
      </c>
      <c r="F352" s="4" t="str">
        <f>IF(VLOOKUP([Field],Columns[],5,0)=0,"","-&gt;"&amp;VLOOKUP([Field],Columns[],5,0))</f>
        <v>-&gt;nullable()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$table-&gt;string('description', 1024)-&gt;nullable();</v>
      </c>
    </row>
    <row r="353" spans="1:11">
      <c r="A353" s="4" t="s">
        <v>584</v>
      </c>
      <c r="B353" s="4" t="s">
        <v>30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'title'</v>
      </c>
      <c r="E353" s="7" t="str">
        <f>IF(VLOOKUP([Field],Columns[],4,0)&lt;&gt;0,", "&amp;VLOOKUP([Field],Columns[],4,0)&amp;")",")")</f>
        <v>, 128)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$table-&gt;string('title', 128)-&gt;nullable();</v>
      </c>
    </row>
    <row r="354" spans="1:11">
      <c r="A354" s="4" t="s">
        <v>584</v>
      </c>
      <c r="B354" s="4" t="s">
        <v>35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'method'</v>
      </c>
      <c r="E354" s="7" t="str">
        <f>IF(VLOOKUP([Field],Columns[],4,0)&lt;&gt;0,", "&amp;VLOOKUP([Field],Columns[],4,0)&amp;")",")")</f>
        <v>, 128)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$table-&gt;string('method', 128)-&gt;nullable();</v>
      </c>
    </row>
    <row r="355" spans="1:11">
      <c r="A355" s="4" t="s">
        <v>584</v>
      </c>
      <c r="B355" s="4" t="s">
        <v>747</v>
      </c>
      <c r="C355" s="5" t="str">
        <f>VLOOKUP([Field],Columns[],2,0)&amp;"("</f>
        <v>audit(</v>
      </c>
      <c r="D355" s="5" t="str">
        <f>IF(VLOOKUP([Field],Columns[],3,0)&lt;&gt;"","'"&amp;VLOOKUP([Field],Columns[],3,0)&amp;"'","")</f>
        <v/>
      </c>
      <c r="E355" s="8" t="str">
        <f>IF(VLOOKUP([Field],Columns[],4,0)&lt;&gt;0,", "&amp;VLOOKUP([Field],Columns[],4,0)&amp;")",")")</f>
        <v>)</v>
      </c>
      <c r="F355" s="5" t="str">
        <f>IF(VLOOKUP([Field],Columns[],5,0)=0,"","-&gt;"&amp;VLOOKUP([Field],Columns[],5,0))</f>
        <v/>
      </c>
      <c r="G355" s="5" t="str">
        <f>IF(VLOOKUP([Field],Columns[],6,0)=0,"","-&gt;"&amp;VLOOKUP([Field],Columns[],6,0))</f>
        <v/>
      </c>
      <c r="H355" s="5" t="str">
        <f>IF(VLOOKUP([Field],Columns[],7,0)=0,"","-&gt;"&amp;VLOOKUP([Field],Columns[],7,0))</f>
        <v/>
      </c>
      <c r="I355" s="5" t="str">
        <f>IF(VLOOKUP([Field],Columns[],8,0)=0,"","-&gt;"&amp;VLOOKUP([Field],Columns[],8,0))</f>
        <v/>
      </c>
      <c r="J355" s="5" t="str">
        <f>IF(VLOOKUP([Field],Columns[],9,0)=0,"","-&gt;"&amp;VLOOKUP([Field],Columns[],9,0))</f>
        <v/>
      </c>
      <c r="K355" s="5" t="str">
        <f>"$table-&gt;"&amp;[Type]&amp;[Name]&amp;[Arg2]&amp;[Method1]&amp;[Method2]&amp;[Method3]&amp;[Method4]&amp;[Method5]&amp;";"</f>
        <v>$table-&gt;audit();</v>
      </c>
    </row>
    <row r="356" spans="1:11">
      <c r="A356" s="4" t="s">
        <v>584</v>
      </c>
      <c r="B356" s="4" t="s">
        <v>40</v>
      </c>
      <c r="C356" s="4" t="str">
        <f>VLOOKUP([Field],Columns[],2,0)&amp;"("</f>
        <v>foreign(</v>
      </c>
      <c r="D356" s="4" t="str">
        <f>IF(VLOOKUP([Field],Columns[],3,0)&lt;&gt;"","'"&amp;VLOOKUP([Field],Columns[],3,0)&amp;"'","")</f>
        <v>'resource'</v>
      </c>
      <c r="E356" s="7" t="str">
        <f>IF(VLOOKUP([Field],Columns[],4,0)&lt;&gt;0,", "&amp;VLOOKUP([Field],Columns[],4,0)&amp;")",")")</f>
        <v>)</v>
      </c>
      <c r="F356" s="4" t="str">
        <f>IF(VLOOKUP([Field],Columns[],5,0)=0,"","-&gt;"&amp;VLOOKUP([Field],Columns[],5,0))</f>
        <v>-&gt;references('id')</v>
      </c>
      <c r="G356" s="4" t="str">
        <f>IF(VLOOKUP([Field],Columns[],6,0)=0,"","-&gt;"&amp;VLOOKUP([Field],Columns[],6,0))</f>
        <v>-&gt;on('__resources')</v>
      </c>
      <c r="H356" s="4" t="str">
        <f>IF(VLOOKUP([Field],Columns[],7,0)=0,"","-&gt;"&amp;VLOOKUP([Field],Columns[],7,0))</f>
        <v>-&gt;onUpdate('cascade')</v>
      </c>
      <c r="I356" s="4" t="str">
        <f>IF(VLOOKUP([Field],Columns[],8,0)=0,"","-&gt;"&amp;VLOOKUP([Field],Columns[],8,0))</f>
        <v>-&gt;onDelete('cascade')</v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7" spans="1:11">
      <c r="A357" s="4" t="s">
        <v>585</v>
      </c>
      <c r="B357" s="4" t="s">
        <v>21</v>
      </c>
      <c r="C357" s="4" t="str">
        <f>VLOOKUP([Field],Columns[],2,0)&amp;"("</f>
        <v>increments(</v>
      </c>
      <c r="D357" s="4" t="str">
        <f>IF(VLOOKUP([Field],Columns[],3,0)&lt;&gt;"","'"&amp;VLOOKUP([Field],Columns[],3,0)&amp;"'","")</f>
        <v>'id'</v>
      </c>
      <c r="E357" s="7" t="str">
        <f>IF(VLOOKUP([Field],Columns[],4,0)&lt;&gt;0,", "&amp;VLOOKUP([Field],Columns[],4,0)&amp;")",")")</f>
        <v>)</v>
      </c>
      <c r="F357" s="4" t="str">
        <f>IF(VLOOKUP([Field],Columns[],5,0)=0,"","-&gt;"&amp;VLOOKUP([Field],Columns[],5,0))</f>
        <v/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$table-&gt;increments('id');</v>
      </c>
    </row>
    <row r="358" spans="1:11">
      <c r="A358" s="4" t="s">
        <v>585</v>
      </c>
      <c r="B358" s="4" t="s">
        <v>584</v>
      </c>
      <c r="C358" s="4" t="str">
        <f>VLOOKUP([Field],Columns[],2,0)&amp;"("</f>
        <v>unsignedInteger(</v>
      </c>
      <c r="D358" s="4" t="str">
        <f>IF(VLOOKUP([Field],Columns[],3,0)&lt;&gt;"","'"&amp;VLOOKUP([Field],Columns[],3,0)&amp;"'","")</f>
        <v>'resource_dashboard'</v>
      </c>
      <c r="E358" s="7" t="str">
        <f>IF(VLOOKUP([Field],Columns[],4,0)&lt;&gt;0,", "&amp;VLOOKUP([Field],Columns[],4,0)&amp;")",")")</f>
        <v>)</v>
      </c>
      <c r="F358" s="4" t="str">
        <f>IF(VLOOKUP([Field],Columns[],5,0)=0,"","-&gt;"&amp;VLOOKUP([Field],Columns[],5,0))</f>
        <v>-&gt;index()</v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$table-&gt;unsignedInteger('resource_dashboard')-&gt;index();</v>
      </c>
    </row>
    <row r="359" spans="1:11" s="21" customFormat="1">
      <c r="A359" s="4" t="s">
        <v>585</v>
      </c>
      <c r="B359" s="4" t="s">
        <v>26</v>
      </c>
      <c r="C359" s="4" t="str">
        <f>VLOOKUP([Field],Columns[],2,0)&amp;"("</f>
        <v>string(</v>
      </c>
      <c r="D359" s="4" t="str">
        <f>IF(VLOOKUP([Field],Columns[],3,0)&lt;&gt;"","'"&amp;VLOOKUP([Field],Columns[],3,0)&amp;"'","")</f>
        <v>'name'</v>
      </c>
      <c r="E359" s="7" t="str">
        <f>IF(VLOOKUP([Field],Columns[],4,0)&lt;&gt;0,", "&amp;VLOOKUP([Field],Columns[],4,0)&amp;")",")")</f>
        <v>, 64)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$table-&gt;string('name', 64)-&gt;index();</v>
      </c>
    </row>
    <row r="360" spans="1:11">
      <c r="A360" s="4" t="s">
        <v>585</v>
      </c>
      <c r="B360" s="4" t="s">
        <v>30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'title'</v>
      </c>
      <c r="E360" s="7" t="str">
        <f>IF(VLOOKUP([Field],Columns[],4,0)&lt;&gt;0,", "&amp;VLOOKUP([Field],Columns[],4,0)&amp;")",")")</f>
        <v>, 128)</v>
      </c>
      <c r="F360" s="4" t="str">
        <f>IF(VLOOKUP([Field],Columns[],5,0)=0,"","-&gt;"&amp;VLOOKUP([Field],Columns[],5,0))</f>
        <v>-&gt;nullable()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$table-&gt;string('title', 128)-&gt;nullable();</v>
      </c>
    </row>
    <row r="361" spans="1:11">
      <c r="A361" s="4" t="s">
        <v>585</v>
      </c>
      <c r="B361" s="4" t="s">
        <v>587</v>
      </c>
      <c r="C361" s="4" t="str">
        <f>VLOOKUP([Field],Columns[],2,0)&amp;"("</f>
        <v>unsignedSmallInteger(</v>
      </c>
      <c r="D361" s="4" t="str">
        <f>IF(VLOOKUP([Field],Columns[],3,0)&lt;&gt;"","'"&amp;VLOOKUP([Field],Columns[],3,0)&amp;"'","")</f>
        <v>'height'</v>
      </c>
      <c r="E361" s="7" t="str">
        <f>IF(VLOOKUP([Field],Columns[],4,0)&lt;&gt;0,", "&amp;VLOOKUP([Field],Columns[],4,0)&amp;")",")")</f>
        <v>)</v>
      </c>
      <c r="F361" s="4" t="str">
        <f>IF(VLOOKUP([Field],Columns[],5,0)=0,"","-&gt;"&amp;VLOOKUP([Field],Columns[],5,0))</f>
        <v>-&gt;default(300)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$table-&gt;unsignedSmallInteger('height')-&gt;default(300);</v>
      </c>
    </row>
    <row r="362" spans="1:11">
      <c r="A362" s="4" t="s">
        <v>585</v>
      </c>
      <c r="B362" s="4" t="s">
        <v>747</v>
      </c>
      <c r="C362" s="4" t="str">
        <f>VLOOKUP([Field],Columns[],2,0)&amp;"("</f>
        <v>audit(</v>
      </c>
      <c r="D362" s="4" t="str">
        <f>IF(VLOOKUP([Field],Columns[],3,0)&lt;&gt;"","'"&amp;VLOOKUP([Field],Columns[],3,0)&amp;"'","")</f>
        <v/>
      </c>
      <c r="E362" s="7" t="str">
        <f>IF(VLOOKUP([Field],Columns[],4,0)&lt;&gt;0,", "&amp;VLOOKUP([Field],Columns[],4,0)&amp;")",")")</f>
        <v>)</v>
      </c>
      <c r="F362" s="4" t="str">
        <f>IF(VLOOKUP([Field],Columns[],5,0)=0,"","-&gt;"&amp;VLOOKUP([Field],Columns[],5,0))</f>
        <v/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$table-&gt;audit();</v>
      </c>
    </row>
    <row r="363" spans="1:11">
      <c r="A363" s="4" t="s">
        <v>585</v>
      </c>
      <c r="B363" s="4" t="s">
        <v>589</v>
      </c>
      <c r="C363" s="4" t="str">
        <f>VLOOKUP([Field],Columns[],2,0)&amp;"("</f>
        <v>foreign(</v>
      </c>
      <c r="D363" s="4" t="str">
        <f>IF(VLOOKUP([Field],Columns[],3,0)&lt;&gt;"","'"&amp;VLOOKUP([Field],Columns[],3,0)&amp;"'","")</f>
        <v>'resource_dashboard'</v>
      </c>
      <c r="E363" s="7" t="str">
        <f>IF(VLOOKUP([Field],Columns[],4,0)&lt;&gt;0,", "&amp;VLOOKUP([Field],Columns[],4,0)&amp;")",")")</f>
        <v>)</v>
      </c>
      <c r="F363" s="4" t="str">
        <f>IF(VLOOKUP([Field],Columns[],5,0)=0,"","-&gt;"&amp;VLOOKUP([Field],Columns[],5,0))</f>
        <v>-&gt;references('id')</v>
      </c>
      <c r="G363" s="4" t="str">
        <f>IF(VLOOKUP([Field],Columns[],6,0)=0,"","-&gt;"&amp;VLOOKUP([Field],Columns[],6,0))</f>
        <v>-&gt;on('__resource_dashboard')</v>
      </c>
      <c r="H363" s="4" t="str">
        <f>IF(VLOOKUP([Field],Columns[],7,0)=0,"","-&gt;"&amp;VLOOKUP([Field],Columns[],7,0))</f>
        <v>-&gt;onUpdate('cascade')</v>
      </c>
      <c r="I363" s="4" t="str">
        <f>IF(VLOOKUP([Field],Columns[],8,0)=0,"","-&gt;"&amp;VLOOKUP([Field],Columns[],8,0))</f>
        <v>-&gt;onDelete('cascade')</v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4" spans="1:11">
      <c r="A364" s="4" t="s">
        <v>591</v>
      </c>
      <c r="B364" s="4" t="s">
        <v>21</v>
      </c>
      <c r="C364" s="4" t="str">
        <f>VLOOKUP([Field],Columns[],2,0)&amp;"("</f>
        <v>increments(</v>
      </c>
      <c r="D364" s="4" t="str">
        <f>IF(VLOOKUP([Field],Columns[],3,0)&lt;&gt;"","'"&amp;VLOOKUP([Field],Columns[],3,0)&amp;"'","")</f>
        <v>'id'</v>
      </c>
      <c r="E364" s="7" t="str">
        <f>IF(VLOOKUP([Field],Columns[],4,0)&lt;&gt;0,", "&amp;VLOOKUP([Field],Columns[],4,0)&amp;")",")")</f>
        <v>)</v>
      </c>
      <c r="F364" s="4" t="str">
        <f>IF(VLOOKUP([Field],Columns[],5,0)=0,"","-&gt;"&amp;VLOOKUP([Field],Columns[],5,0))</f>
        <v/>
      </c>
      <c r="G364" s="4" t="str">
        <f>IF(VLOOKUP([Field],Columns[],6,0)=0,"","-&gt;"&amp;VLOOKUP([Field],Columns[],6,0))</f>
        <v/>
      </c>
      <c r="H364" s="4" t="str">
        <f>IF(VLOOKUP([Field],Columns[],7,0)=0,"","-&gt;"&amp;VLOOKUP([Field],Columns[],7,0))</f>
        <v/>
      </c>
      <c r="I364" s="4" t="str">
        <f>IF(VLOOKUP([Field],Columns[],8,0)=0,"","-&gt;"&amp;VLOOKUP([Field],Columns[],8,0))</f>
        <v/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$table-&gt;increments('id');</v>
      </c>
    </row>
    <row r="365" spans="1:11">
      <c r="A365" s="4" t="s">
        <v>591</v>
      </c>
      <c r="B365" s="4" t="s">
        <v>586</v>
      </c>
      <c r="C365" s="4" t="str">
        <f>VLOOKUP([Field],Columns[],2,0)&amp;"("</f>
        <v>unsignedInteger(</v>
      </c>
      <c r="D365" s="4" t="str">
        <f>IF(VLOOKUP([Field],Columns[],3,0)&lt;&gt;"","'"&amp;VLOOKUP([Field],Columns[],3,0)&amp;"'","")</f>
        <v>'section'</v>
      </c>
      <c r="E365" s="7" t="str">
        <f>IF(VLOOKUP([Field],Columns[],4,0)&lt;&gt;0,", "&amp;VLOOKUP([Field],Columns[],4,0)&amp;")",")")</f>
        <v>)</v>
      </c>
      <c r="F365" s="4" t="str">
        <f>IF(VLOOKUP([Field],Columns[],5,0)=0,"","-&gt;"&amp;VLOOKUP([Field],Columns[],5,0))</f>
        <v>-&gt;index()</v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$table-&gt;unsignedInteger('section')-&gt;index();</v>
      </c>
    </row>
    <row r="366" spans="1:11">
      <c r="A366" s="4" t="s">
        <v>591</v>
      </c>
      <c r="B366" s="4" t="s">
        <v>594</v>
      </c>
      <c r="C366" s="4" t="str">
        <f>VLOOKUP([Field],Columns[],2,0)&amp;"("</f>
        <v>unsignedTinyInteger(</v>
      </c>
      <c r="D366" s="4" t="str">
        <f>IF(VLOOKUP([Field],Columns[],3,0)&lt;&gt;"","'"&amp;VLOOKUP([Field],Columns[],3,0)&amp;"'","")</f>
        <v>'size'</v>
      </c>
      <c r="E366" s="7" t="str">
        <f>IF(VLOOKUP([Field],Columns[],4,0)&lt;&gt;0,", "&amp;VLOOKUP([Field],Columns[],4,0)&amp;")",")")</f>
        <v>)</v>
      </c>
      <c r="F366" s="4" t="str">
        <f>IF(VLOOKUP([Field],Columns[],5,0)=0,"","-&gt;"&amp;VLOOKUP([Field],Columns[],5,0))</f>
        <v>-&gt;default(12)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$table-&gt;unsignedTinyInteger('size')-&gt;default(12);</v>
      </c>
    </row>
    <row r="367" spans="1:11">
      <c r="A367" s="4" t="s">
        <v>591</v>
      </c>
      <c r="B367" s="4" t="s">
        <v>30</v>
      </c>
      <c r="C367" s="4" t="str">
        <f>VLOOKUP([Field],Columns[],2,0)&amp;"("</f>
        <v>string(</v>
      </c>
      <c r="D367" s="4" t="str">
        <f>IF(VLOOKUP([Field],Columns[],3,0)&lt;&gt;"","'"&amp;VLOOKUP([Field],Columns[],3,0)&amp;"'","")</f>
        <v>'title'</v>
      </c>
      <c r="E367" s="7" t="str">
        <f>IF(VLOOKUP([Field],Columns[],4,0)&lt;&gt;0,", "&amp;VLOOKUP([Field],Columns[],4,0)&amp;")",")")</f>
        <v>, 128)</v>
      </c>
      <c r="F367" s="4" t="str">
        <f>IF(VLOOKUP([Field],Columns[],5,0)=0,"","-&gt;"&amp;VLOOKUP([Field],Columns[],5,0))</f>
        <v>-&gt;nullable()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$table-&gt;string('title', 128)-&gt;nullable();</v>
      </c>
    </row>
    <row r="368" spans="1:11">
      <c r="A368" s="4" t="s">
        <v>591</v>
      </c>
      <c r="B368" s="4" t="s">
        <v>596</v>
      </c>
      <c r="C368" s="4" t="str">
        <f>VLOOKUP([Field],Columns[],2,0)&amp;"("</f>
        <v>enum(</v>
      </c>
      <c r="D368" s="4" t="str">
        <f>IF(VLOOKUP([Field],Columns[],3,0)&lt;&gt;"","'"&amp;VLOOKUP([Field],Columns[],3,0)&amp;"'","")</f>
        <v>'item'</v>
      </c>
      <c r="E368" s="7" t="str">
        <f>IF(VLOOKUP([Field],Columns[],4,0)&lt;&gt;0,", "&amp;VLOOKUP([Field],Columns[],4,0)&amp;")",")")</f>
        <v>, ['Metric','List','ListRelation'])</v>
      </c>
      <c r="F368" s="4" t="str">
        <f>IF(VLOOKUP([Field],Columns[],5,0)=0,"","-&gt;"&amp;VLOOKUP([Field],Columns[],5,0))</f>
        <v>-&gt;default('Metric')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69" spans="1:11">
      <c r="A369" s="4" t="s">
        <v>591</v>
      </c>
      <c r="B369" s="4" t="s">
        <v>597</v>
      </c>
      <c r="C369" s="4" t="str">
        <f>VLOOKUP([Field],Columns[],2,0)&amp;"("</f>
        <v>string(</v>
      </c>
      <c r="D369" s="4" t="str">
        <f>IF(VLOOKUP([Field],Columns[],3,0)&lt;&gt;"","'"&amp;VLOOKUP([Field],Columns[],3,0)&amp;"'","")</f>
        <v>'item_id'</v>
      </c>
      <c r="E369" s="7" t="str">
        <f>IF(VLOOKUP([Field],Columns[],4,0)&lt;&gt;0,", "&amp;VLOOKUP([Field],Columns[],4,0)&amp;")",")")</f>
        <v>, 64)</v>
      </c>
      <c r="F369" s="4" t="str">
        <f>IF(VLOOKUP([Field],Columns[],5,0)=0,"","-&gt;"&amp;VLOOKUP([Field],Columns[],5,0))</f>
        <v>-&gt;nullable()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$table-&gt;string('item_id', 64)-&gt;nullable();</v>
      </c>
    </row>
    <row r="370" spans="1:11">
      <c r="A370" s="4" t="s">
        <v>591</v>
      </c>
      <c r="B370" s="4" t="s">
        <v>598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'item_id2'</v>
      </c>
      <c r="E370" s="7" t="str">
        <f>IF(VLOOKUP([Field],Columns[],4,0)&lt;&gt;0,", "&amp;VLOOKUP([Field],Columns[],4,0)&amp;")",")")</f>
        <v>, 64)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$table-&gt;string('item_id2', 64)-&gt;nullable();</v>
      </c>
    </row>
    <row r="371" spans="1:11">
      <c r="A371" s="4" t="s">
        <v>591</v>
      </c>
      <c r="B371" s="4" t="s">
        <v>747</v>
      </c>
      <c r="C371" s="4" t="str">
        <f>VLOOKUP([Field],Columns[],2,0)&amp;"("</f>
        <v>audit(</v>
      </c>
      <c r="D371" s="4" t="str">
        <f>IF(VLOOKUP([Field],Columns[],3,0)&lt;&gt;"","'"&amp;VLOOKUP([Field],Columns[],3,0)&amp;"'","")</f>
        <v/>
      </c>
      <c r="E371" s="7" t="str">
        <f>IF(VLOOKUP([Field],Columns[],4,0)&lt;&gt;0,", "&amp;VLOOKUP([Field],Columns[],4,0)&amp;")",")")</f>
        <v>)</v>
      </c>
      <c r="F371" s="4" t="str">
        <f>IF(VLOOKUP([Field],Columns[],5,0)=0,"","-&gt;"&amp;VLOOKUP([Field],Columns[],5,0))</f>
        <v/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$table-&gt;audit();</v>
      </c>
    </row>
    <row r="372" spans="1:11">
      <c r="A372" s="4" t="s">
        <v>591</v>
      </c>
      <c r="B372" s="4" t="s">
        <v>592</v>
      </c>
      <c r="C372" s="4" t="str">
        <f>VLOOKUP([Field],Columns[],2,0)&amp;"("</f>
        <v>foreign(</v>
      </c>
      <c r="D372" s="4" t="str">
        <f>IF(VLOOKUP([Field],Columns[],3,0)&lt;&gt;"","'"&amp;VLOOKUP([Field],Columns[],3,0)&amp;"'","")</f>
        <v>'section'</v>
      </c>
      <c r="E372" s="7" t="str">
        <f>IF(VLOOKUP([Field],Columns[],4,0)&lt;&gt;0,", "&amp;VLOOKUP([Field],Columns[],4,0)&amp;")",")")</f>
        <v>)</v>
      </c>
      <c r="F372" s="4" t="str">
        <f>IF(VLOOKUP([Field],Columns[],5,0)=0,"","-&gt;"&amp;VLOOKUP([Field],Columns[],5,0))</f>
        <v>-&gt;references('id')</v>
      </c>
      <c r="G372" s="4" t="str">
        <f>IF(VLOOKUP([Field],Columns[],6,0)=0,"","-&gt;"&amp;VLOOKUP([Field],Columns[],6,0))</f>
        <v>-&gt;on('__resource_dashboard_sections')</v>
      </c>
      <c r="H372" s="4" t="str">
        <f>IF(VLOOKUP([Field],Columns[],7,0)=0,"","-&gt;"&amp;VLOOKUP([Field],Columns[],7,0))</f>
        <v>-&gt;onUpdate('cascade')</v>
      </c>
      <c r="I372" s="4" t="str">
        <f>IF(VLOOKUP([Field],Columns[],8,0)=0,"","-&gt;"&amp;VLOOKUP([Field],Columns[],8,0))</f>
        <v>-&gt;onDelete('cascade')</v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  <row r="373" spans="1:11">
      <c r="A373" s="4" t="s">
        <v>638</v>
      </c>
      <c r="B373" s="4" t="s">
        <v>21</v>
      </c>
      <c r="C373" s="4" t="str">
        <f>VLOOKUP([Field],Columns[],2,0)&amp;"("</f>
        <v>increments(</v>
      </c>
      <c r="D373" s="4" t="str">
        <f>IF(VLOOKUP([Field],Columns[],3,0)&lt;&gt;"","'"&amp;VLOOKUP([Field],Columns[],3,0)&amp;"'","")</f>
        <v>'id'</v>
      </c>
      <c r="E373" s="7" t="str">
        <f>IF(VLOOKUP([Field],Columns[],4,0)&lt;&gt;0,", "&amp;VLOOKUP([Field],Columns[],4,0)&amp;")",")")</f>
        <v>)</v>
      </c>
      <c r="F373" s="4" t="str">
        <f>IF(VLOOKUP([Field],Columns[],5,0)=0,"","-&gt;"&amp;VLOOKUP([Field],Columns[],5,0))</f>
        <v/>
      </c>
      <c r="G373" s="4" t="str">
        <f>IF(VLOOKUP([Field],Columns[],6,0)=0,"","-&gt;"&amp;VLOOKUP([Field],Columns[],6,0))</f>
        <v/>
      </c>
      <c r="H373" s="4" t="str">
        <f>IF(VLOOKUP([Field],Columns[],7,0)=0,"","-&gt;"&amp;VLOOKUP([Field],Columns[],7,0))</f>
        <v/>
      </c>
      <c r="I373" s="4" t="str">
        <f>IF(VLOOKUP([Field],Columns[],8,0)=0,"","-&gt;"&amp;VLOOKUP([Field],Columns[],8,0))</f>
        <v/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$table-&gt;increments('id');</v>
      </c>
    </row>
    <row r="374" spans="1:11">
      <c r="A374" s="4" t="s">
        <v>638</v>
      </c>
      <c r="B374" s="4" t="s">
        <v>119</v>
      </c>
      <c r="C374" s="4" t="str">
        <f>VLOOKUP([Field],Columns[],2,0)&amp;"("</f>
        <v>unsignedInteger(</v>
      </c>
      <c r="D374" s="4" t="str">
        <f>IF(VLOOKUP([Field],Columns[],3,0)&lt;&gt;"","'"&amp;VLOOKUP([Field],Columns[],3,0)&amp;"'","")</f>
        <v>'form_field'</v>
      </c>
      <c r="E374" s="7" t="str">
        <f>IF(VLOOKUP([Field],Columns[],4,0)&lt;&gt;0,", "&amp;VLOOKUP([Field],Columns[],4,0)&amp;")",")")</f>
        <v>)</v>
      </c>
      <c r="F374" s="4" t="str">
        <f>IF(VLOOKUP([Field],Columns[],5,0)=0,"","-&gt;"&amp;VLOOKUP([Field],Columns[],5,0))</f>
        <v>-&gt;index()</v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$table-&gt;unsignedInteger('form_field')-&gt;index();</v>
      </c>
    </row>
    <row r="375" spans="1:11">
      <c r="A375" s="4" t="s">
        <v>638</v>
      </c>
      <c r="B375" s="4" t="s">
        <v>639</v>
      </c>
      <c r="C375" s="4" t="str">
        <f>VLOOKUP([Field],Columns[],2,0)&amp;"("</f>
        <v>enum(</v>
      </c>
      <c r="D375" s="4" t="str">
        <f>IF(VLOOKUP([Field],Columns[],3,0)&lt;&gt;"","'"&amp;VLOOKUP([Field],Columns[],3,0)&amp;"'","")</f>
        <v>'type'</v>
      </c>
      <c r="E375" s="7" t="str">
        <f>IF(VLOOKUP([Field],Columns[],4,0)&lt;&gt;0,", "&amp;VLOOKUP([Field],Columns[],4,0)&amp;")",")")</f>
        <v>, ['disabled-enabled','enabled-disabled','hidden-visible','visible-hidden','readonly-editable','editable-readonly'])</v>
      </c>
      <c r="F375" s="4" t="str">
        <f>IF(VLOOKUP([Field],Columns[],5,0)=0,"","-&gt;"&amp;VLOOKUP([Field],Columns[],5,0))</f>
        <v>-&gt;default('disabled-enabled')</v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$table-&gt;enum('type', ['disabled-enabled','enabled-disabled','hidden-visible','visible-hidden','readonly-editable','editable-readonly'])-&gt;default('disabled-enabled');</v>
      </c>
    </row>
    <row r="376" spans="1:11">
      <c r="A376" s="4" t="s">
        <v>638</v>
      </c>
      <c r="B376" s="4" t="s">
        <v>540</v>
      </c>
      <c r="C376" s="4" t="str">
        <f>VLOOKUP([Field],Columns[],2,0)&amp;"("</f>
        <v>string(</v>
      </c>
      <c r="D376" s="4" t="str">
        <f>IF(VLOOKUP([Field],Columns[],3,0)&lt;&gt;"","'"&amp;VLOOKUP([Field],Columns[],3,0)&amp;"'","")</f>
        <v>'depend_field'</v>
      </c>
      <c r="E376" s="7" t="str">
        <f>IF(VLOOKUP([Field],Columns[],4,0)&lt;&gt;0,", "&amp;VLOOKUP([Field],Columns[],4,0)&amp;")",")")</f>
        <v>, 64)</v>
      </c>
      <c r="F376" s="4" t="str">
        <f>IF(VLOOKUP([Field],Columns[],5,0)=0,"","-&gt;"&amp;VLOOKUP([Field],Columns[],5,0))</f>
        <v>-&gt;index()</v>
      </c>
      <c r="G376" s="4" t="str">
        <f>IF(VLOOKUP([Field],Columns[],6,0)=0,"","-&gt;"&amp;VLOOKUP([Field],Columns[],6,0))</f>
        <v>-&gt;nullable()</v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$table-&gt;string('depend_field', 64)-&gt;index()-&gt;nullable();</v>
      </c>
    </row>
    <row r="377" spans="1:11">
      <c r="A377" s="4" t="s">
        <v>638</v>
      </c>
      <c r="B377" s="4" t="s">
        <v>642</v>
      </c>
      <c r="C377" s="4" t="str">
        <f>VLOOKUP([Field],Columns[],2,0)&amp;"("</f>
        <v>enum(</v>
      </c>
      <c r="D377" s="4" t="str">
        <f>IF(VLOOKUP([Field],Columns[],3,0)&lt;&gt;"","'"&amp;VLOOKUP([Field],Columns[],3,0)&amp;"'","")</f>
        <v>'alter_on'</v>
      </c>
      <c r="E377" s="7" t="str">
        <f>IF(VLOOKUP([Field],Columns[],4,0)&lt;&gt;0,", "&amp;VLOOKUP([Field],Columns[],4,0)&amp;")",")")</f>
        <v>, ['not null','value','null'])</v>
      </c>
      <c r="F377" s="4" t="str">
        <f>IF(VLOOKUP([Field],Columns[],5,0)=0,"","-&gt;"&amp;VLOOKUP([Field],Columns[],5,0))</f>
        <v>-&gt;default('not null')</v>
      </c>
      <c r="G377" s="4" t="str">
        <f>IF(VLOOKUP([Field],Columns[],6,0)=0,"","-&gt;"&amp;VLOOKUP([Field],Columns[],6,0))</f>
        <v/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$table-&gt;enum('alter_on', ['not null','value','null'])-&gt;default('not null');</v>
      </c>
    </row>
    <row r="378" spans="1:11">
      <c r="A378" s="4" t="s">
        <v>638</v>
      </c>
      <c r="B378" s="4" t="s">
        <v>646</v>
      </c>
      <c r="C378" s="4" t="str">
        <f>VLOOKUP([Field],Columns[],2,0)&amp;"("</f>
        <v>string(</v>
      </c>
      <c r="D378" s="4" t="str">
        <f>IF(VLOOKUP([Field],Columns[],3,0)&lt;&gt;"","'"&amp;VLOOKUP([Field],Columns[],3,0)&amp;"'","")</f>
        <v>'value'</v>
      </c>
      <c r="E378" s="7" t="str">
        <f>IF(VLOOKUP([Field],Columns[],4,0)&lt;&gt;0,", "&amp;VLOOKUP([Field],Columns[],4,0)&amp;")",")")</f>
        <v>, 128)</v>
      </c>
      <c r="F378" s="4" t="str">
        <f>IF(VLOOKUP([Field],Columns[],5,0)=0,"","-&gt;"&amp;VLOOKUP([Field],Columns[],5,0))</f>
        <v>-&gt;nullable()</v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$table-&gt;string('value', 128)-&gt;nullable();</v>
      </c>
    </row>
    <row r="379" spans="1:11">
      <c r="A379" s="4" t="s">
        <v>638</v>
      </c>
      <c r="B379" s="5" t="s">
        <v>647</v>
      </c>
      <c r="C379" s="5" t="str">
        <f>VLOOKUP([Field],Columns[],2,0)&amp;"("</f>
        <v>string(</v>
      </c>
      <c r="D379" s="5" t="str">
        <f>IF(VLOOKUP([Field],Columns[],3,0)&lt;&gt;"","'"&amp;VLOOKUP([Field],Columns[],3,0)&amp;"'","")</f>
        <v>'values'</v>
      </c>
      <c r="E379" s="8" t="str">
        <f>IF(VLOOKUP([Field],Columns[],4,0)&lt;&gt;0,", "&amp;VLOOKUP([Field],Columns[],4,0)&amp;")",")")</f>
        <v>, 1024)</v>
      </c>
      <c r="F379" s="5" t="str">
        <f>IF(VLOOKUP([Field],Columns[],5,0)=0,"","-&gt;"&amp;VLOOKUP([Field],Columns[],5,0))</f>
        <v>-&gt;nullable()</v>
      </c>
      <c r="G379" s="5" t="str">
        <f>IF(VLOOKUP([Field],Columns[],6,0)=0,"","-&gt;"&amp;VLOOKUP([Field],Columns[],6,0))</f>
        <v/>
      </c>
      <c r="H379" s="5" t="str">
        <f>IF(VLOOKUP([Field],Columns[],7,0)=0,"","-&gt;"&amp;VLOOKUP([Field],Columns[],7,0))</f>
        <v/>
      </c>
      <c r="I379" s="5" t="str">
        <f>IF(VLOOKUP([Field],Columns[],8,0)=0,"","-&gt;"&amp;VLOOKUP([Field],Columns[],8,0))</f>
        <v/>
      </c>
      <c r="J379" s="5" t="str">
        <f>IF(VLOOKUP([Field],Columns[],9,0)=0,"","-&gt;"&amp;VLOOKUP([Field],Columns[],9,0))</f>
        <v/>
      </c>
      <c r="K379" s="5" t="str">
        <f>"$table-&gt;"&amp;[Type]&amp;[Name]&amp;[Arg2]&amp;[Method1]&amp;[Method2]&amp;[Method3]&amp;[Method4]&amp;[Method5]&amp;";"</f>
        <v>$table-&gt;string('values', 1024)-&gt;nullable();</v>
      </c>
    </row>
    <row r="380" spans="1:11">
      <c r="A380" s="4" t="s">
        <v>638</v>
      </c>
      <c r="B380" s="4" t="s">
        <v>544</v>
      </c>
      <c r="C380" s="4" t="str">
        <f>VLOOKUP([Field],Columns[],2,0)&amp;"("</f>
        <v>enum(</v>
      </c>
      <c r="D380" s="4" t="str">
        <f>IF(VLOOKUP([Field],Columns[],3,0)&lt;&gt;"","'"&amp;VLOOKUP([Field],Columns[],3,0)&amp;"'","")</f>
        <v>'operator'</v>
      </c>
      <c r="E380" s="7" t="str">
        <f>IF(VLOOKUP([Field],Columns[],4,0)&lt;&gt;0,", "&amp;VLOOKUP([Field],Columns[],4,0)&amp;")",")")</f>
        <v>, ['=','&lt;','&gt;','&lt;=','&gt;=','&lt;&gt;','In','NotIn','like'])</v>
      </c>
      <c r="F380" s="4" t="str">
        <f>IF(VLOOKUP([Field],Columns[],5,0)=0,"","-&gt;"&amp;VLOOKUP([Field],Columns[],5,0))</f>
        <v>-&gt;default('=')</v>
      </c>
      <c r="G380" s="4" t="str">
        <f>IF(VLOOKUP([Field],Columns[],6,0)=0,"","-&gt;"&amp;VLOOKUP([Field],Columns[],6,0))</f>
        <v/>
      </c>
      <c r="H380" s="4" t="str">
        <f>IF(VLOOKUP([Field],Columns[],7,0)=0,"","-&gt;"&amp;VLOOKUP([Field],Columns[],7,0))</f>
        <v/>
      </c>
      <c r="I380" s="4" t="str">
        <f>IF(VLOOKUP([Field],Columns[],8,0)=0,"","-&gt;"&amp;VLOOKUP([Field],Columns[],8,0))</f>
        <v/>
      </c>
      <c r="J380" s="4" t="str">
        <f>IF(VLOOKUP([Field],Columns[],9,0)=0,"","-&gt;"&amp;VLOOKUP([Field],Columns[],9,0))</f>
        <v/>
      </c>
      <c r="K380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81" spans="1:11">
      <c r="A381" s="4" t="s">
        <v>638</v>
      </c>
      <c r="B381" s="4" t="s">
        <v>648</v>
      </c>
      <c r="C381" s="4" t="str">
        <f>VLOOKUP([Field],Columns[],2,0)&amp;"("</f>
        <v>enum(</v>
      </c>
      <c r="D381" s="4" t="str">
        <f>IF(VLOOKUP([Field],Columns[],3,0)&lt;&gt;"","'"&amp;VLOOKUP([Field],Columns[],3,0)&amp;"'","")</f>
        <v>'on_multiple'</v>
      </c>
      <c r="E381" s="7" t="str">
        <f>IF(VLOOKUP([Field],Columns[],4,0)&lt;&gt;0,", "&amp;VLOOKUP([Field],Columns[],4,0)&amp;")",")")</f>
        <v>, ['and','or'])</v>
      </c>
      <c r="F381" s="4" t="str">
        <f>IF(VLOOKUP([Field],Columns[],5,0)=0,"","-&gt;"&amp;VLOOKUP([Field],Columns[],5,0))</f>
        <v>-&gt;default('and')</v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$table-&gt;enum('on_multiple', ['and','or'])-&gt;default('and');</v>
      </c>
    </row>
    <row r="382" spans="1:11">
      <c r="A382" s="4" t="s">
        <v>638</v>
      </c>
      <c r="B382" s="4" t="s">
        <v>747</v>
      </c>
      <c r="C382" s="4" t="str">
        <f>VLOOKUP([Field],Columns[],2,0)&amp;"("</f>
        <v>audit(</v>
      </c>
      <c r="D382" s="4" t="str">
        <f>IF(VLOOKUP([Field],Columns[],3,0)&lt;&gt;"","'"&amp;VLOOKUP([Field],Columns[],3,0)&amp;"'","")</f>
        <v/>
      </c>
      <c r="E382" s="7" t="str">
        <f>IF(VLOOKUP([Field],Columns[],4,0)&lt;&gt;0,", "&amp;VLOOKUP([Field],Columns[],4,0)&amp;")",")")</f>
        <v>)</v>
      </c>
      <c r="F382" s="4" t="str">
        <f>IF(VLOOKUP([Field],Columns[],5,0)=0,"","-&gt;"&amp;VLOOKUP([Field],Columns[],5,0))</f>
        <v/>
      </c>
      <c r="G382" s="4" t="str">
        <f>IF(VLOOKUP([Field],Columns[],6,0)=0,"","-&gt;"&amp;VLOOKUP([Field],Columns[],6,0))</f>
        <v/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$table-&gt;audit();</v>
      </c>
    </row>
    <row r="383" spans="1:11">
      <c r="A383" s="4" t="s">
        <v>638</v>
      </c>
      <c r="B383" s="4" t="s">
        <v>120</v>
      </c>
      <c r="C383" s="4" t="str">
        <f>VLOOKUP([Field],Columns[],2,0)&amp;"("</f>
        <v>foreign(</v>
      </c>
      <c r="D383" s="4" t="str">
        <f>IF(VLOOKUP([Field],Columns[],3,0)&lt;&gt;"","'"&amp;VLOOKUP([Field],Columns[],3,0)&amp;"'","")</f>
        <v>'form_field'</v>
      </c>
      <c r="E383" s="7" t="str">
        <f>IF(VLOOKUP([Field],Columns[],4,0)&lt;&gt;0,", "&amp;VLOOKUP([Field],Columns[],4,0)&amp;")",")")</f>
        <v>)</v>
      </c>
      <c r="F383" s="4" t="str">
        <f>IF(VLOOKUP([Field],Columns[],5,0)=0,"","-&gt;"&amp;VLOOKUP([Field],Columns[],5,0))</f>
        <v>-&gt;references('id')</v>
      </c>
      <c r="G383" s="4" t="str">
        <f>IF(VLOOKUP([Field],Columns[],6,0)=0,"","-&gt;"&amp;VLOOKUP([Field],Columns[],6,0))</f>
        <v>-&gt;on('__resource_form_fields')</v>
      </c>
      <c r="H383" s="4" t="str">
        <f>IF(VLOOKUP([Field],Columns[],7,0)=0,"","-&gt;"&amp;VLOOKUP([Field],Columns[],7,0))</f>
        <v>-&gt;onUpdate('cascade')</v>
      </c>
      <c r="I383" s="4" t="str">
        <f>IF(VLOOKUP([Field],Columns[],8,0)=0,"","-&gt;"&amp;VLOOKUP([Field],Columns[],8,0))</f>
        <v>-&gt;onDelete('cascade')</v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84" spans="1:11">
      <c r="A384" s="4" t="s">
        <v>727</v>
      </c>
      <c r="B384" s="5" t="s">
        <v>21</v>
      </c>
      <c r="C384" s="5" t="str">
        <f>VLOOKUP([Field],Columns[],2,0)&amp;"("</f>
        <v>increments(</v>
      </c>
      <c r="D384" s="5" t="str">
        <f>IF(VLOOKUP([Field],Columns[],3,0)&lt;&gt;"","'"&amp;VLOOKUP([Field],Columns[],3,0)&amp;"'","")</f>
        <v>'id'</v>
      </c>
      <c r="E384" s="8" t="str">
        <f>IF(VLOOKUP([Field],Columns[],4,0)&lt;&gt;0,", "&amp;VLOOKUP([Field],Columns[],4,0)&amp;")",")")</f>
        <v>)</v>
      </c>
      <c r="F384" s="5" t="str">
        <f>IF(VLOOKUP([Field],Columns[],5,0)=0,"","-&gt;"&amp;VLOOKUP([Field],Columns[],5,0))</f>
        <v/>
      </c>
      <c r="G384" s="5" t="str">
        <f>IF(VLOOKUP([Field],Columns[],6,0)=0,"","-&gt;"&amp;VLOOKUP([Field],Columns[],6,0))</f>
        <v/>
      </c>
      <c r="H384" s="5" t="str">
        <f>IF(VLOOKUP([Field],Columns[],7,0)=0,"","-&gt;"&amp;VLOOKUP([Field],Columns[],7,0))</f>
        <v/>
      </c>
      <c r="I384" s="5" t="str">
        <f>IF(VLOOKUP([Field],Columns[],8,0)=0,"","-&gt;"&amp;VLOOKUP([Field],Columns[],8,0))</f>
        <v/>
      </c>
      <c r="J384" s="5" t="str">
        <f>IF(VLOOKUP([Field],Columns[],9,0)=0,"","-&gt;"&amp;VLOOKUP([Field],Columns[],9,0))</f>
        <v/>
      </c>
      <c r="K384" s="5" t="str">
        <f>"$table-&gt;"&amp;[Type]&amp;[Name]&amp;[Arg2]&amp;[Method1]&amp;[Method2]&amp;[Method3]&amp;[Method4]&amp;[Method5]&amp;";"</f>
        <v>$table-&gt;increments('id');</v>
      </c>
    </row>
    <row r="385" spans="1:11">
      <c r="A385" s="4" t="s">
        <v>727</v>
      </c>
      <c r="B385" s="5" t="s">
        <v>730</v>
      </c>
      <c r="C385" s="5" t="str">
        <f>VLOOKUP([Field],Columns[],2,0)&amp;"("</f>
        <v>string(</v>
      </c>
      <c r="D385" s="5" t="str">
        <f>IF(VLOOKUP([Field],Columns[],3,0)&lt;&gt;"","'"&amp;VLOOKUP([Field],Columns[],3,0)&amp;"'","")</f>
        <v>'name'</v>
      </c>
      <c r="E385" s="8" t="str">
        <f>IF(VLOOKUP([Field],Columns[],4,0)&lt;&gt;0,", "&amp;VLOOKUP([Field],Columns[],4,0)&amp;")",")")</f>
        <v>, 256)</v>
      </c>
      <c r="F385" s="5" t="str">
        <f>IF(VLOOKUP([Field],Columns[],5,0)=0,"","-&gt;"&amp;VLOOKUP([Field],Columns[],5,0))</f>
        <v>-&gt;nullable()</v>
      </c>
      <c r="G385" s="5" t="str">
        <f>IF(VLOOKUP([Field],Columns[],6,0)=0,"","-&gt;"&amp;VLOOKUP([Field],Columns[],6,0))</f>
        <v/>
      </c>
      <c r="H385" s="5" t="str">
        <f>IF(VLOOKUP([Field],Columns[],7,0)=0,"","-&gt;"&amp;VLOOKUP([Field],Columns[],7,0))</f>
        <v/>
      </c>
      <c r="I385" s="5" t="str">
        <f>IF(VLOOKUP([Field],Columns[],8,0)=0,"","-&gt;"&amp;VLOOKUP([Field],Columns[],8,0))</f>
        <v/>
      </c>
      <c r="J385" s="5" t="str">
        <f>IF(VLOOKUP([Field],Columns[],9,0)=0,"","-&gt;"&amp;VLOOKUP([Field],Columns[],9,0))</f>
        <v/>
      </c>
      <c r="K385" s="5" t="str">
        <f>"$table-&gt;"&amp;[Type]&amp;[Name]&amp;[Arg2]&amp;[Method1]&amp;[Method2]&amp;[Method3]&amp;[Method4]&amp;[Method5]&amp;";"</f>
        <v>$table-&gt;string('name', 256)-&gt;nullable();</v>
      </c>
    </row>
    <row r="386" spans="1:11">
      <c r="A386" s="4" t="s">
        <v>727</v>
      </c>
      <c r="B386" s="5" t="s">
        <v>731</v>
      </c>
      <c r="C386" s="5" t="str">
        <f>VLOOKUP([Field],Columns[],2,0)&amp;"("</f>
        <v>string(</v>
      </c>
      <c r="D386" s="5" t="str">
        <f>IF(VLOOKUP([Field],Columns[],3,0)&lt;&gt;"","'"&amp;VLOOKUP([Field],Columns[],3,0)&amp;"'","")</f>
        <v>'name_client'</v>
      </c>
      <c r="E386" s="8" t="str">
        <f>IF(VLOOKUP([Field],Columns[],4,0)&lt;&gt;0,", "&amp;VLOOKUP([Field],Columns[],4,0)&amp;")",")")</f>
        <v>, 1024)</v>
      </c>
      <c r="F386" s="5" t="str">
        <f>IF(VLOOKUP([Field],Columns[],5,0)=0,"","-&gt;"&amp;VLOOKUP([Field],Columns[],5,0))</f>
        <v>-&gt;nullable()</v>
      </c>
      <c r="G386" s="5" t="str">
        <f>IF(VLOOKUP([Field],Columns[],6,0)=0,"","-&gt;"&amp;VLOOKUP([Field],Columns[],6,0))</f>
        <v/>
      </c>
      <c r="H386" s="5" t="str">
        <f>IF(VLOOKUP([Field],Columns[],7,0)=0,"","-&gt;"&amp;VLOOKUP([Field],Columns[],7,0))</f>
        <v/>
      </c>
      <c r="I386" s="5" t="str">
        <f>IF(VLOOKUP([Field],Columns[],8,0)=0,"","-&gt;"&amp;VLOOKUP([Field],Columns[],8,0))</f>
        <v/>
      </c>
      <c r="J386" s="5" t="str">
        <f>IF(VLOOKUP([Field],Columns[],9,0)=0,"","-&gt;"&amp;VLOOKUP([Field],Columns[],9,0))</f>
        <v/>
      </c>
      <c r="K386" s="5" t="str">
        <f>"$table-&gt;"&amp;[Type]&amp;[Name]&amp;[Arg2]&amp;[Method1]&amp;[Method2]&amp;[Method3]&amp;[Method4]&amp;[Method5]&amp;";"</f>
        <v>$table-&gt;string('name_client', 1024)-&gt;nullable();</v>
      </c>
    </row>
    <row r="387" spans="1:11">
      <c r="A387" s="4" t="s">
        <v>727</v>
      </c>
      <c r="B387" s="5" t="s">
        <v>733</v>
      </c>
      <c r="C387" s="5" t="str">
        <f>VLOOKUP([Field],Columns[],2,0)&amp;"("</f>
        <v>string(</v>
      </c>
      <c r="D387" s="5" t="str">
        <f>IF(VLOOKUP([Field],Columns[],3,0)&lt;&gt;"","'"&amp;VLOOKUP([Field],Columns[],3,0)&amp;"'","")</f>
        <v>'mime'</v>
      </c>
      <c r="E387" s="8" t="str">
        <f>IF(VLOOKUP([Field],Columns[],4,0)&lt;&gt;0,", "&amp;VLOOKUP([Field],Columns[],4,0)&amp;")",")")</f>
        <v>, 64)</v>
      </c>
      <c r="F387" s="5" t="str">
        <f>IF(VLOOKUP([Field],Columns[],5,0)=0,"","-&gt;"&amp;VLOOKUP([Field],Columns[],5,0))</f>
        <v>-&gt;nullable()</v>
      </c>
      <c r="G387" s="5" t="str">
        <f>IF(VLOOKUP([Field],Columns[],6,0)=0,"","-&gt;"&amp;VLOOKUP([Field],Columns[],6,0))</f>
        <v/>
      </c>
      <c r="H387" s="5" t="str">
        <f>IF(VLOOKUP([Field],Columns[],7,0)=0,"","-&gt;"&amp;VLOOKUP([Field],Columns[],7,0))</f>
        <v/>
      </c>
      <c r="I387" s="5" t="str">
        <f>IF(VLOOKUP([Field],Columns[],8,0)=0,"","-&gt;"&amp;VLOOKUP([Field],Columns[],8,0))</f>
        <v/>
      </c>
      <c r="J387" s="5" t="str">
        <f>IF(VLOOKUP([Field],Columns[],9,0)=0,"","-&gt;"&amp;VLOOKUP([Field],Columns[],9,0))</f>
        <v/>
      </c>
      <c r="K387" s="5" t="str">
        <f>"$table-&gt;"&amp;[Type]&amp;[Name]&amp;[Arg2]&amp;[Method1]&amp;[Method2]&amp;[Method3]&amp;[Method4]&amp;[Method5]&amp;";"</f>
        <v>$table-&gt;string('mime', 64)-&gt;nullable();</v>
      </c>
    </row>
    <row r="388" spans="1:11">
      <c r="A388" s="4" t="s">
        <v>727</v>
      </c>
      <c r="B388" s="5" t="s">
        <v>734</v>
      </c>
      <c r="C388" s="5" t="str">
        <f>VLOOKUP([Field],Columns[],2,0)&amp;"("</f>
        <v>string(</v>
      </c>
      <c r="D388" s="5" t="str">
        <f>IF(VLOOKUP([Field],Columns[],3,0)&lt;&gt;"","'"&amp;VLOOKUP([Field],Columns[],3,0)&amp;"'","")</f>
        <v>'mime_client'</v>
      </c>
      <c r="E388" s="8" t="str">
        <f>IF(VLOOKUP([Field],Columns[],4,0)&lt;&gt;0,", "&amp;VLOOKUP([Field],Columns[],4,0)&amp;")",")")</f>
        <v>, 256)</v>
      </c>
      <c r="F388" s="5" t="str">
        <f>IF(VLOOKUP([Field],Columns[],5,0)=0,"","-&gt;"&amp;VLOOKUP([Field],Columns[],5,0))</f>
        <v>-&gt;nullable()</v>
      </c>
      <c r="G388" s="5" t="str">
        <f>IF(VLOOKUP([Field],Columns[],6,0)=0,"","-&gt;"&amp;VLOOKUP([Field],Columns[],6,0))</f>
        <v/>
      </c>
      <c r="H388" s="5" t="str">
        <f>IF(VLOOKUP([Field],Columns[],7,0)=0,"","-&gt;"&amp;VLOOKUP([Field],Columns[],7,0))</f>
        <v/>
      </c>
      <c r="I388" s="5" t="str">
        <f>IF(VLOOKUP([Field],Columns[],8,0)=0,"","-&gt;"&amp;VLOOKUP([Field],Columns[],8,0))</f>
        <v/>
      </c>
      <c r="J388" s="5" t="str">
        <f>IF(VLOOKUP([Field],Columns[],9,0)=0,"","-&gt;"&amp;VLOOKUP([Field],Columns[],9,0))</f>
        <v/>
      </c>
      <c r="K388" s="5" t="str">
        <f>"$table-&gt;"&amp;[Type]&amp;[Name]&amp;[Arg2]&amp;[Method1]&amp;[Method2]&amp;[Method3]&amp;[Method4]&amp;[Method5]&amp;";"</f>
        <v>$table-&gt;string('mime_client', 256)-&gt;nullable();</v>
      </c>
    </row>
    <row r="389" spans="1:11">
      <c r="A389" s="4" t="s">
        <v>727</v>
      </c>
      <c r="B389" s="5" t="s">
        <v>736</v>
      </c>
      <c r="C389" s="5" t="str">
        <f>VLOOKUP([Field],Columns[],2,0)&amp;"("</f>
        <v>unsignedInteger(</v>
      </c>
      <c r="D389" s="5" t="str">
        <f>IF(VLOOKUP([Field],Columns[],3,0)&lt;&gt;"","'"&amp;VLOOKUP([Field],Columns[],3,0)&amp;"'","")</f>
        <v>'size'</v>
      </c>
      <c r="E389" s="8" t="str">
        <f>IF(VLOOKUP([Field],Columns[],4,0)&lt;&gt;0,", "&amp;VLOOKUP([Field],Columns[],4,0)&amp;")",")")</f>
        <v>)</v>
      </c>
      <c r="F389" s="5" t="str">
        <f>IF(VLOOKUP([Field],Columns[],5,0)=0,"","-&gt;"&amp;VLOOKUP([Field],Columns[],5,0))</f>
        <v>-&gt;default(1)</v>
      </c>
      <c r="G389" s="5" t="str">
        <f>IF(VLOOKUP([Field],Columns[],6,0)=0,"","-&gt;"&amp;VLOOKUP([Field],Columns[],6,0))</f>
        <v/>
      </c>
      <c r="H389" s="5" t="str">
        <f>IF(VLOOKUP([Field],Columns[],7,0)=0,"","-&gt;"&amp;VLOOKUP([Field],Columns[],7,0))</f>
        <v/>
      </c>
      <c r="I389" s="5" t="str">
        <f>IF(VLOOKUP([Field],Columns[],8,0)=0,"","-&gt;"&amp;VLOOKUP([Field],Columns[],8,0))</f>
        <v/>
      </c>
      <c r="J389" s="5" t="str">
        <f>IF(VLOOKUP([Field],Columns[],9,0)=0,"","-&gt;"&amp;VLOOKUP([Field],Columns[],9,0))</f>
        <v/>
      </c>
      <c r="K389" s="5" t="str">
        <f>"$table-&gt;"&amp;[Type]&amp;[Name]&amp;[Arg2]&amp;[Method1]&amp;[Method2]&amp;[Method3]&amp;[Method4]&amp;[Method5]&amp;";"</f>
        <v>$table-&gt;unsignedInteger('size')-&gt;default(1);</v>
      </c>
    </row>
    <row r="390" spans="1:11">
      <c r="A390" s="4" t="s">
        <v>727</v>
      </c>
      <c r="B390" s="5" t="s">
        <v>737</v>
      </c>
      <c r="C390" s="5" t="str">
        <f>VLOOKUP([Field],Columns[],2,0)&amp;"("</f>
        <v>string(</v>
      </c>
      <c r="D390" s="5" t="str">
        <f>IF(VLOOKUP([Field],Columns[],3,0)&lt;&gt;"","'"&amp;VLOOKUP([Field],Columns[],3,0)&amp;"'","")</f>
        <v>'disk'</v>
      </c>
      <c r="E390" s="8" t="str">
        <f>IF(VLOOKUP([Field],Columns[],4,0)&lt;&gt;0,", "&amp;VLOOKUP([Field],Columns[],4,0)&amp;")",")")</f>
        <v>, 64)</v>
      </c>
      <c r="F390" s="5" t="str">
        <f>IF(VLOOKUP([Field],Columns[],5,0)=0,"","-&gt;"&amp;VLOOKUP([Field],Columns[],5,0))</f>
        <v>-&gt;nullable()</v>
      </c>
      <c r="G390" s="5" t="str">
        <f>IF(VLOOKUP([Field],Columns[],6,0)=0,"","-&gt;"&amp;VLOOKUP([Field],Columns[],6,0))</f>
        <v/>
      </c>
      <c r="H390" s="5" t="str">
        <f>IF(VLOOKUP([Field],Columns[],7,0)=0,"","-&gt;"&amp;VLOOKUP([Field],Columns[],7,0))</f>
        <v/>
      </c>
      <c r="I390" s="5" t="str">
        <f>IF(VLOOKUP([Field],Columns[],8,0)=0,"","-&gt;"&amp;VLOOKUP([Field],Columns[],8,0))</f>
        <v/>
      </c>
      <c r="J390" s="5" t="str">
        <f>IF(VLOOKUP([Field],Columns[],9,0)=0,"","-&gt;"&amp;VLOOKUP([Field],Columns[],9,0))</f>
        <v/>
      </c>
      <c r="K390" s="5" t="str">
        <f>"$table-&gt;"&amp;[Type]&amp;[Name]&amp;[Arg2]&amp;[Method1]&amp;[Method2]&amp;[Method3]&amp;[Method4]&amp;[Method5]&amp;";"</f>
        <v>$table-&gt;string('disk', 64)-&gt;nullable();</v>
      </c>
    </row>
    <row r="391" spans="1:11">
      <c r="A391" s="4" t="s">
        <v>727</v>
      </c>
      <c r="B391" s="5" t="s">
        <v>738</v>
      </c>
      <c r="C391" s="5" t="str">
        <f>VLOOKUP([Field],Columns[],2,0)&amp;"("</f>
        <v>string(</v>
      </c>
      <c r="D391" s="5" t="str">
        <f>IF(VLOOKUP([Field],Columns[],3,0)&lt;&gt;"","'"&amp;VLOOKUP([Field],Columns[],3,0)&amp;"'","")</f>
        <v>'path'</v>
      </c>
      <c r="E391" s="8" t="str">
        <f>IF(VLOOKUP([Field],Columns[],4,0)&lt;&gt;0,", "&amp;VLOOKUP([Field],Columns[],4,0)&amp;")",")")</f>
        <v>, 512)</v>
      </c>
      <c r="F391" s="5" t="str">
        <f>IF(VLOOKUP([Field],Columns[],5,0)=0,"","-&gt;"&amp;VLOOKUP([Field],Columns[],5,0))</f>
        <v>-&gt;nullable()</v>
      </c>
      <c r="G391" s="5" t="str">
        <f>IF(VLOOKUP([Field],Columns[],6,0)=0,"","-&gt;"&amp;VLOOKUP([Field],Columns[],6,0))</f>
        <v/>
      </c>
      <c r="H391" s="5" t="str">
        <f>IF(VLOOKUP([Field],Columns[],7,0)=0,"","-&gt;"&amp;VLOOKUP([Field],Columns[],7,0))</f>
        <v/>
      </c>
      <c r="I391" s="5" t="str">
        <f>IF(VLOOKUP([Field],Columns[],8,0)=0,"","-&gt;"&amp;VLOOKUP([Field],Columns[],8,0))</f>
        <v/>
      </c>
      <c r="J391" s="5" t="str">
        <f>IF(VLOOKUP([Field],Columns[],9,0)=0,"","-&gt;"&amp;VLOOKUP([Field],Columns[],9,0))</f>
        <v/>
      </c>
      <c r="K391" s="5" t="str">
        <f>"$table-&gt;"&amp;[Type]&amp;[Name]&amp;[Arg2]&amp;[Method1]&amp;[Method2]&amp;[Method3]&amp;[Method4]&amp;[Method5]&amp;";"</f>
        <v>$table-&gt;string('path', 512)-&gt;nullable();</v>
      </c>
    </row>
    <row r="392" spans="1:11">
      <c r="A392" s="4" t="s">
        <v>727</v>
      </c>
      <c r="B392" s="5" t="s">
        <v>740</v>
      </c>
      <c r="C392" s="5" t="str">
        <f>VLOOKUP([Field],Columns[],2,0)&amp;"("</f>
        <v>string(</v>
      </c>
      <c r="D392" s="5" t="str">
        <f>IF(VLOOKUP([Field],Columns[],3,0)&lt;&gt;"","'"&amp;VLOOKUP([Field],Columns[],3,0)&amp;"'","")</f>
        <v>'file'</v>
      </c>
      <c r="E392" s="8" t="str">
        <f>IF(VLOOKUP([Field],Columns[],4,0)&lt;&gt;0,", "&amp;VLOOKUP([Field],Columns[],4,0)&amp;")",")")</f>
        <v>, 2048)</v>
      </c>
      <c r="F392" s="5" t="str">
        <f>IF(VLOOKUP([Field],Columns[],5,0)=0,"","-&gt;"&amp;VLOOKUP([Field],Columns[],5,0))</f>
        <v>-&gt;nullable()</v>
      </c>
      <c r="G392" s="5" t="str">
        <f>IF(VLOOKUP([Field],Columns[],6,0)=0,"","-&gt;"&amp;VLOOKUP([Field],Columns[],6,0))</f>
        <v/>
      </c>
      <c r="H392" s="5" t="str">
        <f>IF(VLOOKUP([Field],Columns[],7,0)=0,"","-&gt;"&amp;VLOOKUP([Field],Columns[],7,0))</f>
        <v/>
      </c>
      <c r="I392" s="5" t="str">
        <f>IF(VLOOKUP([Field],Columns[],8,0)=0,"","-&gt;"&amp;VLOOKUP([Field],Columns[],8,0))</f>
        <v/>
      </c>
      <c r="J392" s="5" t="str">
        <f>IF(VLOOKUP([Field],Columns[],9,0)=0,"","-&gt;"&amp;VLOOKUP([Field],Columns[],9,0))</f>
        <v/>
      </c>
      <c r="K392" s="5" t="str">
        <f>"$table-&gt;"&amp;[Type]&amp;[Name]&amp;[Arg2]&amp;[Method1]&amp;[Method2]&amp;[Method3]&amp;[Method4]&amp;[Method5]&amp;";"</f>
        <v>$table-&gt;string('file', 2048)-&gt;nullable();</v>
      </c>
    </row>
    <row r="393" spans="1:11">
      <c r="A393" s="4" t="s">
        <v>727</v>
      </c>
      <c r="B393" s="5" t="s">
        <v>743</v>
      </c>
      <c r="C393" s="5" t="str">
        <f>VLOOKUP([Field],Columns[],2,0)&amp;"("</f>
        <v>string(</v>
      </c>
      <c r="D393" s="5" t="str">
        <f>IF(VLOOKUP([Field],Columns[],3,0)&lt;&gt;"","'"&amp;VLOOKUP([Field],Columns[],3,0)&amp;"'","")</f>
        <v>'extension'</v>
      </c>
      <c r="E393" s="8" t="str">
        <f>IF(VLOOKUP([Field],Columns[],4,0)&lt;&gt;0,", "&amp;VLOOKUP([Field],Columns[],4,0)&amp;")",")")</f>
        <v>, 32)</v>
      </c>
      <c r="F393" s="5" t="str">
        <f>IF(VLOOKUP([Field],Columns[],5,0)=0,"","-&gt;"&amp;VLOOKUP([Field],Columns[],5,0))</f>
        <v>-&gt;nullable()</v>
      </c>
      <c r="G393" s="5" t="str">
        <f>IF(VLOOKUP([Field],Columns[],6,0)=0,"","-&gt;"&amp;VLOOKUP([Field],Columns[],6,0))</f>
        <v/>
      </c>
      <c r="H393" s="5" t="str">
        <f>IF(VLOOKUP([Field],Columns[],7,0)=0,"","-&gt;"&amp;VLOOKUP([Field],Columns[],7,0))</f>
        <v/>
      </c>
      <c r="I393" s="5" t="str">
        <f>IF(VLOOKUP([Field],Columns[],8,0)=0,"","-&gt;"&amp;VLOOKUP([Field],Columns[],8,0))</f>
        <v/>
      </c>
      <c r="J393" s="5" t="str">
        <f>IF(VLOOKUP([Field],Columns[],9,0)=0,"","-&gt;"&amp;VLOOKUP([Field],Columns[],9,0))</f>
        <v/>
      </c>
      <c r="K393" s="5" t="str">
        <f>"$table-&gt;"&amp;[Type]&amp;[Name]&amp;[Arg2]&amp;[Method1]&amp;[Method2]&amp;[Method3]&amp;[Method4]&amp;[Method5]&amp;";"</f>
        <v>$table-&gt;string('extension', 32)-&gt;nullable();</v>
      </c>
    </row>
    <row r="394" spans="1:11">
      <c r="A394" s="4" t="s">
        <v>727</v>
      </c>
      <c r="B394" s="4" t="s">
        <v>747</v>
      </c>
      <c r="C394" s="5" t="str">
        <f>VLOOKUP([Field],Columns[],2,0)&amp;"("</f>
        <v>audit(</v>
      </c>
      <c r="D394" s="5" t="str">
        <f>IF(VLOOKUP([Field],Columns[],3,0)&lt;&gt;"","'"&amp;VLOOKUP([Field],Columns[],3,0)&amp;"'","")</f>
        <v/>
      </c>
      <c r="E394" s="8" t="str">
        <f>IF(VLOOKUP([Field],Columns[],4,0)&lt;&gt;0,", "&amp;VLOOKUP([Field],Columns[],4,0)&amp;")",")")</f>
        <v>)</v>
      </c>
      <c r="F394" s="5" t="str">
        <f>IF(VLOOKUP([Field],Columns[],5,0)=0,"","-&gt;"&amp;VLOOKUP([Field],Columns[],5,0))</f>
        <v/>
      </c>
      <c r="G394" s="5" t="str">
        <f>IF(VLOOKUP([Field],Columns[],6,0)=0,"","-&gt;"&amp;VLOOKUP([Field],Columns[],6,0))</f>
        <v/>
      </c>
      <c r="H394" s="5" t="str">
        <f>IF(VLOOKUP([Field],Columns[],7,0)=0,"","-&gt;"&amp;VLOOKUP([Field],Columns[],7,0))</f>
        <v/>
      </c>
      <c r="I394" s="5" t="str">
        <f>IF(VLOOKUP([Field],Columns[],8,0)=0,"","-&gt;"&amp;VLOOKUP([Field],Columns[],8,0))</f>
        <v/>
      </c>
      <c r="J394" s="5" t="str">
        <f>IF(VLOOKUP([Field],Columns[],9,0)=0,"","-&gt;"&amp;VLOOKUP([Field],Columns[],9,0))</f>
        <v/>
      </c>
      <c r="K394" s="5" t="str">
        <f>"$table-&gt;"&amp;[Type]&amp;[Name]&amp;[Arg2]&amp;[Method1]&amp;[Method2]&amp;[Method3]&amp;[Method4]&amp;[Method5]&amp;";"</f>
        <v>$table-&gt;audit();</v>
      </c>
    </row>
  </sheetData>
  <dataConsolidate/>
  <dataValidations count="2">
    <dataValidation type="list" allowBlank="1" showInputMessage="1" showErrorMessage="1" sqref="B2:B394">
      <formula1>AvailableFields</formula1>
    </dataValidation>
    <dataValidation type="list" allowBlank="1" showInputMessage="1" showErrorMessage="1" sqref="A2:A39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30"/>
  <sheetViews>
    <sheetView topLeftCell="B1" workbookViewId="0">
      <selection activeCell="B196" sqref="B196:B230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1" bestFit="1" customWidth="1"/>
    <col min="4" max="18" width="32.5703125" customWidth="1"/>
  </cols>
  <sheetData>
    <row r="1" spans="1:18">
      <c r="A1" s="27" t="s">
        <v>345</v>
      </c>
      <c r="B1" s="27" t="s">
        <v>343</v>
      </c>
      <c r="C1" s="27" t="s">
        <v>157</v>
      </c>
      <c r="D1" s="28" t="s">
        <v>322</v>
      </c>
      <c r="E1" s="28" t="s">
        <v>323</v>
      </c>
      <c r="F1" s="28" t="s">
        <v>324</v>
      </c>
      <c r="G1" s="28" t="s">
        <v>325</v>
      </c>
      <c r="H1" s="28" t="s">
        <v>326</v>
      </c>
      <c r="I1" s="28" t="s">
        <v>327</v>
      </c>
      <c r="J1" s="28" t="s">
        <v>328</v>
      </c>
      <c r="K1" s="28" t="s">
        <v>329</v>
      </c>
      <c r="L1" s="28" t="s">
        <v>330</v>
      </c>
      <c r="M1" s="28" t="s">
        <v>331</v>
      </c>
      <c r="N1" s="28" t="s">
        <v>332</v>
      </c>
      <c r="O1" s="28" t="s">
        <v>333</v>
      </c>
      <c r="P1" s="28" t="s">
        <v>334</v>
      </c>
      <c r="Q1" s="28" t="s">
        <v>335</v>
      </c>
      <c r="R1" s="28" t="s">
        <v>336</v>
      </c>
    </row>
    <row r="2" spans="1:18" hidden="1">
      <c r="A2" s="15" t="str">
        <f>[Table Name]&amp;"-"&amp;(COUNTIF($B$1:TableData[[#This Row],[Table Name]],TableData[[#This Row],[Table Name]])-1)</f>
        <v>Groups-0</v>
      </c>
      <c r="B2" s="13" t="s">
        <v>177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26</v>
      </c>
      <c r="E2" s="13" t="s">
        <v>28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idden="1">
      <c r="A3" s="32" t="str">
        <f>[Table Name]&amp;"-"&amp;(COUNTIF($B$1:TableData[[#This Row],[Table Name]],TableData[[#This Row],[Table Name]])-1)</f>
        <v>Roles-0</v>
      </c>
      <c r="B3" s="33" t="s">
        <v>181</v>
      </c>
      <c r="C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" s="14" t="s">
        <v>26</v>
      </c>
      <c r="E3" s="14" t="s">
        <v>28</v>
      </c>
      <c r="F3" s="14" t="s">
        <v>30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hidden="1">
      <c r="A4" s="32" t="str">
        <f>[Table Name]&amp;"-"&amp;(COUNTIF($B$1:TableData[[#This Row],[Table Name]],TableData[[#This Row],[Table Name]])-1)</f>
        <v>Group Roles-0</v>
      </c>
      <c r="B4" s="14" t="s">
        <v>220</v>
      </c>
      <c r="C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14" t="s">
        <v>138</v>
      </c>
      <c r="E4" s="14" t="s">
        <v>144</v>
      </c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8" hidden="1">
      <c r="A5" s="32" t="str">
        <f>[Table Name]&amp;"-"&amp;(COUNTIF($B$1:TableData[[#This Row],[Table Name]],TableData[[#This Row],[Table Name]])-1)</f>
        <v>Resources-0</v>
      </c>
      <c r="B5" s="14" t="s">
        <v>216</v>
      </c>
      <c r="C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5" s="14" t="s">
        <v>26</v>
      </c>
      <c r="E5" s="14" t="s">
        <v>28</v>
      </c>
      <c r="F5" s="14" t="s">
        <v>30</v>
      </c>
      <c r="G5" s="14" t="s">
        <v>31</v>
      </c>
      <c r="H5" s="14" t="s">
        <v>32</v>
      </c>
      <c r="I5" s="14" t="s">
        <v>33</v>
      </c>
      <c r="J5" s="31" t="s">
        <v>34</v>
      </c>
      <c r="K5" s="33" t="s">
        <v>748</v>
      </c>
      <c r="L5" s="33"/>
      <c r="M5" s="33"/>
      <c r="N5" s="33"/>
      <c r="O5" s="33"/>
      <c r="P5" s="33"/>
      <c r="Q5" s="33"/>
      <c r="R5" s="33"/>
    </row>
    <row r="6" spans="1:18">
      <c r="A6" s="32" t="str">
        <f>[Table Name]&amp;"-"&amp;(COUNTIF($B$1:TableData[[#This Row],[Table Name]],TableData[[#This Row],[Table Name]])-1)</f>
        <v>Resource Roles-0</v>
      </c>
      <c r="B6" s="14" t="s">
        <v>223</v>
      </c>
      <c r="C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14" t="s">
        <v>23</v>
      </c>
      <c r="E6" s="14" t="s">
        <v>144</v>
      </c>
      <c r="F6" s="14" t="s">
        <v>290</v>
      </c>
      <c r="G6" s="14" t="s">
        <v>288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</row>
    <row r="7" spans="1:18" hidden="1">
      <c r="A7" s="32" t="str">
        <f>[Table Name]&amp;"-"&amp;(COUNTIF($B$1:TableData[[#This Row],[Table Name]],TableData[[#This Row],[Table Name]])-1)</f>
        <v>Resource Relations-0</v>
      </c>
      <c r="B7" s="14" t="s">
        <v>348</v>
      </c>
      <c r="C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7" s="14" t="s">
        <v>23</v>
      </c>
      <c r="E7" s="14" t="s">
        <v>26</v>
      </c>
      <c r="F7" s="14" t="s">
        <v>28</v>
      </c>
      <c r="G7" s="14" t="s">
        <v>35</v>
      </c>
      <c r="H7" s="14" t="s">
        <v>48</v>
      </c>
      <c r="I7" s="14" t="s">
        <v>51</v>
      </c>
      <c r="J7" s="14"/>
      <c r="K7" s="14"/>
      <c r="L7" s="14"/>
      <c r="M7" s="33"/>
      <c r="N7" s="33"/>
      <c r="O7" s="33"/>
      <c r="P7" s="33"/>
      <c r="Q7" s="33"/>
      <c r="R7" s="33"/>
    </row>
    <row r="8" spans="1:18" hidden="1">
      <c r="A8" s="32" t="str">
        <f>[Table Name]&amp;"-"&amp;(COUNTIF($B$1:TableData[[#This Row],[Table Name]],TableData[[#This Row],[Table Name]])-1)</f>
        <v>Resource Scopes-0</v>
      </c>
      <c r="B8" s="14" t="s">
        <v>346</v>
      </c>
      <c r="C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8" s="14" t="s">
        <v>23</v>
      </c>
      <c r="E8" s="14" t="s">
        <v>26</v>
      </c>
      <c r="F8" s="14" t="s">
        <v>28</v>
      </c>
      <c r="G8" s="14" t="s">
        <v>35</v>
      </c>
      <c r="H8" s="14"/>
      <c r="I8" s="14"/>
      <c r="J8" s="14"/>
      <c r="K8" s="14"/>
      <c r="L8" s="14"/>
      <c r="M8" s="33"/>
      <c r="N8" s="33"/>
      <c r="O8" s="33"/>
      <c r="P8" s="33"/>
      <c r="Q8" s="33"/>
      <c r="R8" s="33"/>
    </row>
    <row r="9" spans="1:18" hidden="1">
      <c r="A9" s="32" t="str">
        <f>[Table Name]&amp;"-"&amp;(COUNTIF($B$1:TableData[[#This Row],[Table Name]],TableData[[#This Row],[Table Name]])-1)</f>
        <v>Resource Lists-0</v>
      </c>
      <c r="B9" s="14" t="s">
        <v>347</v>
      </c>
      <c r="C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9" s="14" t="s">
        <v>23</v>
      </c>
      <c r="E9" s="14" t="s">
        <v>26</v>
      </c>
      <c r="F9" s="14" t="s">
        <v>28</v>
      </c>
      <c r="G9" s="14" t="s">
        <v>30</v>
      </c>
      <c r="H9" s="14"/>
      <c r="I9" s="14"/>
      <c r="J9" s="14"/>
      <c r="K9" s="14"/>
      <c r="L9" s="14"/>
      <c r="M9" s="33"/>
      <c r="N9" s="33"/>
      <c r="O9" s="33"/>
      <c r="P9" s="33"/>
      <c r="Q9" s="33"/>
      <c r="R9" s="33"/>
    </row>
    <row r="10" spans="1:18" hidden="1">
      <c r="A10" s="32" t="str">
        <f>[Table Name]&amp;"-"&amp;(COUNTIF($B$1:TableData[[#This Row],[Table Name]],TableData[[#This Row],[Table Name]])-1)</f>
        <v>List Scopes-0</v>
      </c>
      <c r="B10" s="14" t="s">
        <v>419</v>
      </c>
      <c r="C1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0" s="14" t="s">
        <v>93</v>
      </c>
      <c r="E10" s="14" t="s">
        <v>56</v>
      </c>
      <c r="F10" s="14"/>
      <c r="G10" s="14"/>
      <c r="H10" s="14"/>
      <c r="I10" s="14"/>
      <c r="J10" s="14"/>
      <c r="K10" s="14"/>
      <c r="L10" s="14"/>
      <c r="M10" s="33"/>
      <c r="N10" s="33"/>
      <c r="O10" s="33"/>
      <c r="P10" s="33"/>
      <c r="Q10" s="33"/>
      <c r="R10" s="33"/>
    </row>
    <row r="11" spans="1:18" hidden="1">
      <c r="A11" s="15" t="str">
        <f>[Table Name]&amp;"-"&amp;(COUNTIF($B$1:TableData[[#This Row],[Table Name]],TableData[[#This Row],[Table Name]])-1)</f>
        <v>List Relation-0</v>
      </c>
      <c r="B11" s="14" t="s">
        <v>815</v>
      </c>
      <c r="C1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1" s="14" t="s">
        <v>93</v>
      </c>
      <c r="E11" s="14" t="s">
        <v>55</v>
      </c>
      <c r="F11" s="14" t="s">
        <v>455</v>
      </c>
      <c r="G11" s="14" t="s">
        <v>456</v>
      </c>
      <c r="H11" s="14" t="s">
        <v>457</v>
      </c>
      <c r="I11" s="14"/>
      <c r="J11" s="14"/>
      <c r="K11" s="14"/>
      <c r="L11" s="14"/>
      <c r="M11" s="13"/>
      <c r="N11" s="13"/>
      <c r="O11" s="13"/>
      <c r="P11" s="13"/>
      <c r="Q11" s="13"/>
      <c r="R11" s="13"/>
    </row>
    <row r="12" spans="1:18" hidden="1">
      <c r="A12" s="32" t="str">
        <f>[Table Name]&amp;"-"&amp;(COUNTIF($B$1:TableData[[#This Row],[Table Name]],TableData[[#This Row],[Table Name]])-1)</f>
        <v>Resource Forms-0</v>
      </c>
      <c r="B12" s="14" t="s">
        <v>339</v>
      </c>
      <c r="C1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2" s="14" t="s">
        <v>23</v>
      </c>
      <c r="E12" s="14" t="s">
        <v>26</v>
      </c>
      <c r="F12" s="14" t="s">
        <v>28</v>
      </c>
      <c r="G12" s="14" t="s">
        <v>30</v>
      </c>
      <c r="H12" s="14" t="s">
        <v>63</v>
      </c>
      <c r="I12" s="14"/>
      <c r="J12" s="14"/>
      <c r="K12" s="14"/>
      <c r="L12" s="14"/>
      <c r="M12" s="33"/>
      <c r="N12" s="33"/>
      <c r="O12" s="33"/>
      <c r="P12" s="33"/>
      <c r="Q12" s="33"/>
      <c r="R12" s="33"/>
    </row>
    <row r="13" spans="1:18" hidden="1">
      <c r="A13" s="32" t="str">
        <f>[Table Name]&amp;"-"&amp;(COUNTIF($B$1:TableData[[#This Row],[Table Name]],TableData[[#This Row],[Table Name]])-1)</f>
        <v>Form Fields-0</v>
      </c>
      <c r="B13" s="14" t="s">
        <v>317</v>
      </c>
      <c r="C1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3" s="14" t="s">
        <v>116</v>
      </c>
      <c r="E13" s="14" t="s">
        <v>26</v>
      </c>
      <c r="F13" s="14" t="s">
        <v>48</v>
      </c>
      <c r="G13" s="14" t="s">
        <v>230</v>
      </c>
      <c r="H13" s="14"/>
      <c r="I13" s="14"/>
      <c r="J13" s="14"/>
      <c r="K13" s="14"/>
      <c r="L13" s="14"/>
      <c r="M13" s="33"/>
      <c r="N13" s="33"/>
      <c r="O13" s="33"/>
      <c r="P13" s="33"/>
      <c r="Q13" s="33"/>
      <c r="R13" s="33"/>
    </row>
    <row r="14" spans="1:18" hidden="1">
      <c r="A14" s="32" t="str">
        <f>[Table Name]&amp;"-"&amp;(COUNTIF($B$1:TableData[[#This Row],[Table Name]],TableData[[#This Row],[Table Name]])-1)</f>
        <v>Field Data-0</v>
      </c>
      <c r="B14" s="14" t="s">
        <v>387</v>
      </c>
      <c r="C1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4" s="14" t="s">
        <v>119</v>
      </c>
      <c r="E14" s="14" t="s">
        <v>124</v>
      </c>
      <c r="F14" s="14" t="s">
        <v>55</v>
      </c>
      <c r="G14" s="14" t="s">
        <v>455</v>
      </c>
      <c r="H14" s="14" t="s">
        <v>456</v>
      </c>
      <c r="I14" s="14" t="s">
        <v>457</v>
      </c>
      <c r="J14" s="14"/>
      <c r="K14" s="14"/>
      <c r="L14" s="14"/>
      <c r="M14" s="33"/>
      <c r="N14" s="33"/>
      <c r="O14" s="33"/>
      <c r="P14" s="33"/>
      <c r="Q14" s="33"/>
      <c r="R14" s="33"/>
    </row>
    <row r="15" spans="1:18" hidden="1">
      <c r="A15" s="32" t="str">
        <f>[Table Name]&amp;"-"&amp;(COUNTIF($B$1:TableData[[#This Row],[Table Name]],TableData[[#This Row],[Table Name]])-1)</f>
        <v>Resource Actions-0</v>
      </c>
      <c r="B15" s="14" t="s">
        <v>255</v>
      </c>
      <c r="C1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5" s="14" t="s">
        <v>23</v>
      </c>
      <c r="E15" s="14" t="s">
        <v>26</v>
      </c>
      <c r="F15" s="14" t="s">
        <v>28</v>
      </c>
      <c r="G15" s="14" t="s">
        <v>30</v>
      </c>
      <c r="H15" s="14" t="s">
        <v>48</v>
      </c>
      <c r="I15" s="14" t="s">
        <v>266</v>
      </c>
      <c r="J15" s="14" t="s">
        <v>76</v>
      </c>
      <c r="K15" s="14" t="s">
        <v>263</v>
      </c>
      <c r="L15" s="14"/>
      <c r="M15" s="33"/>
      <c r="N15" s="33"/>
      <c r="O15" s="33"/>
      <c r="P15" s="33"/>
      <c r="Q15" s="33"/>
      <c r="R15" s="33"/>
    </row>
    <row r="16" spans="1:18" hidden="1">
      <c r="A16" s="32" t="str">
        <f>[Table Name]&amp;"-"&amp;(COUNTIF($B$1:TableData[[#This Row],[Table Name]],TableData[[#This Row],[Table Name]])-1)</f>
        <v>Action Method-0</v>
      </c>
      <c r="B16" s="14" t="s">
        <v>816</v>
      </c>
      <c r="C1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6" s="14" t="s">
        <v>96</v>
      </c>
      <c r="E16" s="14" t="s">
        <v>48</v>
      </c>
      <c r="F16" s="14" t="s">
        <v>111</v>
      </c>
      <c r="G16" s="14" t="s">
        <v>112</v>
      </c>
      <c r="H16" s="14" t="s">
        <v>35</v>
      </c>
      <c r="I16" s="14"/>
      <c r="J16" s="14"/>
      <c r="K16" s="14"/>
      <c r="L16" s="14"/>
      <c r="M16" s="33"/>
      <c r="N16" s="33"/>
      <c r="O16" s="33"/>
      <c r="P16" s="33"/>
      <c r="Q16" s="33"/>
      <c r="R16" s="33"/>
    </row>
    <row r="17" spans="1:18" hidden="1">
      <c r="A17" s="15" t="str">
        <f>[Table Name]&amp;"-"&amp;(COUNTIF($B$1:TableData[[#This Row],[Table Name]],TableData[[#This Row],[Table Name]])-1)</f>
        <v>Action Attrs-0</v>
      </c>
      <c r="B17" s="14" t="s">
        <v>817</v>
      </c>
      <c r="C1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7" s="14" t="s">
        <v>96</v>
      </c>
      <c r="E17" s="14" t="s">
        <v>26</v>
      </c>
      <c r="F17" s="14" t="s">
        <v>95</v>
      </c>
      <c r="G17" s="14"/>
      <c r="H17" s="14"/>
      <c r="I17" s="14"/>
      <c r="J17" s="14"/>
      <c r="K17" s="14"/>
      <c r="L17" s="14"/>
      <c r="M17" s="13"/>
      <c r="N17" s="13"/>
      <c r="O17" s="13"/>
      <c r="P17" s="13"/>
      <c r="Q17" s="13"/>
      <c r="R17" s="13"/>
    </row>
    <row r="18" spans="1:18" hidden="1">
      <c r="A18" s="32" t="str">
        <f>[Table Name]&amp;"-"&amp;(COUNTIF($B$1:TableData[[#This Row],[Table Name]],TableData[[#This Row],[Table Name]])-1)</f>
        <v>Field Attrs-0</v>
      </c>
      <c r="B18" s="14" t="s">
        <v>814</v>
      </c>
      <c r="C1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8" s="31" t="s">
        <v>119</v>
      </c>
      <c r="E18" s="31" t="s">
        <v>26</v>
      </c>
      <c r="F18" s="31" t="s">
        <v>95</v>
      </c>
      <c r="G18" s="31"/>
      <c r="H18" s="31"/>
      <c r="I18" s="31"/>
      <c r="J18" s="31"/>
      <c r="K18" s="31"/>
      <c r="L18" s="31"/>
      <c r="M18" s="33"/>
      <c r="N18" s="33"/>
      <c r="O18" s="33"/>
      <c r="P18" s="33"/>
      <c r="Q18" s="33"/>
      <c r="R18" s="33"/>
    </row>
    <row r="19" spans="1:18" hidden="1">
      <c r="A19" s="32" t="str">
        <f>[Table Name]&amp;"-"&amp;(COUNTIF($B$1:TableData[[#This Row],[Table Name]],TableData[[#This Row],[Table Name]])-1)</f>
        <v>Field Validations-0</v>
      </c>
      <c r="B19" s="14" t="s">
        <v>374</v>
      </c>
      <c r="C1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9" s="31" t="s">
        <v>119</v>
      </c>
      <c r="E19" s="31" t="s">
        <v>128</v>
      </c>
      <c r="F19" s="31" t="s">
        <v>129</v>
      </c>
      <c r="G19" s="31" t="s">
        <v>36</v>
      </c>
      <c r="H19" s="31" t="s">
        <v>37</v>
      </c>
      <c r="I19" s="31" t="s">
        <v>38</v>
      </c>
      <c r="J19" s="31" t="s">
        <v>130</v>
      </c>
      <c r="K19" s="31" t="s">
        <v>131</v>
      </c>
      <c r="L19" s="31"/>
      <c r="M19" s="33"/>
      <c r="N19" s="33"/>
      <c r="O19" s="33"/>
      <c r="P19" s="33"/>
      <c r="Q19" s="33"/>
      <c r="R19" s="33"/>
    </row>
    <row r="20" spans="1:18" hidden="1">
      <c r="A20" s="32" t="str">
        <f>[Table Name]&amp;"-"&amp;(COUNTIF($B$1:TableData[[#This Row],[Table Name]],TableData[[#This Row],[Table Name]])-1)</f>
        <v>Form Defaults-0</v>
      </c>
      <c r="B20" s="31" t="s">
        <v>381</v>
      </c>
      <c r="C2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0" s="31" t="s">
        <v>116</v>
      </c>
      <c r="E20" s="31" t="s">
        <v>26</v>
      </c>
      <c r="F20" s="31" t="s">
        <v>95</v>
      </c>
      <c r="G20" s="31" t="s">
        <v>55</v>
      </c>
      <c r="H20" s="31" t="s">
        <v>124</v>
      </c>
      <c r="I20" s="31" t="s">
        <v>455</v>
      </c>
      <c r="J20" s="31" t="s">
        <v>456</v>
      </c>
      <c r="K20" s="31" t="s">
        <v>457</v>
      </c>
      <c r="L20" s="31" t="s">
        <v>35</v>
      </c>
      <c r="M20" s="33"/>
      <c r="N20" s="33"/>
      <c r="O20" s="33"/>
      <c r="P20" s="33"/>
      <c r="Q20" s="33"/>
      <c r="R20" s="33"/>
    </row>
    <row r="21" spans="1:18" hidden="1">
      <c r="A21" s="32" t="str">
        <f>[Table Name]&amp;"-"&amp;(COUNTIF($B$1:TableData[[#This Row],[Table Name]],TableData[[#This Row],[Table Name]])-1)</f>
        <v>Action List-0</v>
      </c>
      <c r="B21" s="14" t="s">
        <v>818</v>
      </c>
      <c r="C2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1" s="31" t="s">
        <v>96</v>
      </c>
      <c r="E21" s="31" t="s">
        <v>93</v>
      </c>
      <c r="F21" s="31"/>
      <c r="G21" s="31"/>
      <c r="H21" s="31"/>
      <c r="I21" s="31"/>
      <c r="J21" s="31"/>
      <c r="K21" s="31"/>
      <c r="L21" s="31"/>
      <c r="M21" s="33"/>
      <c r="N21" s="33"/>
      <c r="O21" s="33"/>
      <c r="P21" s="33"/>
      <c r="Q21" s="33"/>
      <c r="R21" s="33"/>
    </row>
    <row r="22" spans="1:18" hidden="1">
      <c r="A22" s="32" t="str">
        <f>[Table Name]&amp;"-"&amp;(COUNTIF($B$1:TableData[[#This Row],[Table Name]],TableData[[#This Row],[Table Name]])-1)</f>
        <v>Resource Data-0</v>
      </c>
      <c r="B22" s="31" t="s">
        <v>439</v>
      </c>
      <c r="C2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2" s="31" t="s">
        <v>23</v>
      </c>
      <c r="E22" s="31" t="s">
        <v>26</v>
      </c>
      <c r="F22" s="31" t="s">
        <v>28</v>
      </c>
      <c r="G22" s="31" t="s">
        <v>54</v>
      </c>
      <c r="H22" s="31" t="s">
        <v>35</v>
      </c>
      <c r="I22" s="31"/>
      <c r="J22" s="31"/>
      <c r="K22" s="31"/>
      <c r="L22" s="31"/>
      <c r="M22" s="33"/>
      <c r="N22" s="33"/>
      <c r="O22" s="33"/>
      <c r="P22" s="33"/>
      <c r="Q22" s="33"/>
      <c r="R22" s="33"/>
    </row>
    <row r="23" spans="1:18" hidden="1">
      <c r="A23" s="15" t="str">
        <f>[Table Name]&amp;"-"&amp;(COUNTIF($B$1:TableData[[#This Row],[Table Name]],TableData[[#This Row],[Table Name]])-1)</f>
        <v>Data Relations-0</v>
      </c>
      <c r="B23" s="14" t="s">
        <v>434</v>
      </c>
      <c r="C2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3" s="14" t="s">
        <v>4</v>
      </c>
      <c r="E23" s="14" t="s">
        <v>55</v>
      </c>
      <c r="F23" s="14" t="s">
        <v>455</v>
      </c>
      <c r="G23" s="14" t="s">
        <v>456</v>
      </c>
      <c r="H23" s="14" t="s">
        <v>457</v>
      </c>
      <c r="I23" s="14"/>
      <c r="J23" s="14"/>
      <c r="K23" s="14"/>
      <c r="L23" s="14"/>
      <c r="M23" s="13"/>
      <c r="N23" s="13"/>
      <c r="O23" s="13"/>
      <c r="P23" s="13"/>
      <c r="Q23" s="13"/>
      <c r="R23" s="13"/>
    </row>
    <row r="24" spans="1:18" hidden="1">
      <c r="A24" s="32" t="str">
        <f>[Table Name]&amp;"-"&amp;(COUNTIF($B$1:TableData[[#This Row],[Table Name]],TableData[[#This Row],[Table Name]])-1)</f>
        <v>List Layout-0</v>
      </c>
      <c r="B24" s="14" t="s">
        <v>445</v>
      </c>
      <c r="C2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4" s="31" t="s">
        <v>93</v>
      </c>
      <c r="E24" s="31" t="s">
        <v>230</v>
      </c>
      <c r="F24" s="31" t="s">
        <v>442</v>
      </c>
      <c r="G24" s="31" t="s">
        <v>55</v>
      </c>
      <c r="H24" s="31" t="s">
        <v>455</v>
      </c>
      <c r="I24" s="31" t="s">
        <v>456</v>
      </c>
      <c r="J24" s="31"/>
      <c r="K24" s="31"/>
      <c r="L24" s="31"/>
      <c r="M24" s="33"/>
      <c r="N24" s="33"/>
      <c r="O24" s="33"/>
      <c r="P24" s="33"/>
      <c r="Q24" s="33"/>
      <c r="R24" s="33"/>
    </row>
    <row r="25" spans="1:18" hidden="1">
      <c r="A25" s="32" t="str">
        <f>[Table Name]&amp;"-"&amp;(COUNTIF($B$1:TableData[[#This Row],[Table Name]],TableData[[#This Row],[Table Name]])-1)</f>
        <v>Form Layout-0</v>
      </c>
      <c r="B25" s="14" t="s">
        <v>476</v>
      </c>
      <c r="C2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5" s="31" t="s">
        <v>116</v>
      </c>
      <c r="E25" s="31" t="s">
        <v>119</v>
      </c>
      <c r="F25" s="31" t="s">
        <v>472</v>
      </c>
      <c r="G25" s="31"/>
      <c r="H25" s="31"/>
      <c r="I25" s="31"/>
      <c r="J25" s="31"/>
      <c r="K25" s="31"/>
      <c r="L25" s="31"/>
      <c r="M25" s="33"/>
      <c r="N25" s="33"/>
      <c r="O25" s="33"/>
      <c r="P25" s="33"/>
      <c r="Q25" s="33"/>
      <c r="R25" s="33"/>
    </row>
    <row r="26" spans="1:18" hidden="1">
      <c r="A26" s="32" t="str">
        <f>[Table Name]&amp;"-"&amp;(COUNTIF($B$1:TableData[[#This Row],[Table Name]],TableData[[#This Row],[Table Name]])-1)</f>
        <v>Data View Section-0</v>
      </c>
      <c r="B26" s="31" t="s">
        <v>487</v>
      </c>
      <c r="C2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6" s="31" t="s">
        <v>4</v>
      </c>
      <c r="E26" s="31" t="s">
        <v>30</v>
      </c>
      <c r="F26" s="31" t="s">
        <v>54</v>
      </c>
      <c r="G26" s="31" t="s">
        <v>55</v>
      </c>
      <c r="H26" s="31" t="s">
        <v>472</v>
      </c>
      <c r="I26" s="31"/>
      <c r="J26" s="31"/>
      <c r="K26" s="31"/>
      <c r="L26" s="31"/>
      <c r="M26" s="33"/>
      <c r="N26" s="33"/>
      <c r="O26" s="33"/>
      <c r="P26" s="33"/>
      <c r="Q26" s="33"/>
      <c r="R26" s="33"/>
    </row>
    <row r="27" spans="1:18" hidden="1">
      <c r="A27" s="32" t="str">
        <f>[Table Name]&amp;"-"&amp;(COUNTIF($B$1:TableData[[#This Row],[Table Name]],TableData[[#This Row],[Table Name]])-1)</f>
        <v>Data View Section Items-0</v>
      </c>
      <c r="B27" s="31" t="s">
        <v>494</v>
      </c>
      <c r="C2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7" s="31" t="s">
        <v>482</v>
      </c>
      <c r="E27" s="31" t="s">
        <v>230</v>
      </c>
      <c r="F27" s="31" t="s">
        <v>124</v>
      </c>
      <c r="G27" s="31" t="s">
        <v>55</v>
      </c>
      <c r="H27" s="31"/>
      <c r="I27" s="31"/>
      <c r="J27" s="31"/>
      <c r="K27" s="31"/>
      <c r="L27" s="31"/>
      <c r="M27" s="33"/>
      <c r="N27" s="33"/>
      <c r="O27" s="33"/>
      <c r="P27" s="33"/>
      <c r="Q27" s="33"/>
      <c r="R27" s="33"/>
    </row>
    <row r="28" spans="1:18" hidden="1">
      <c r="A28" s="32" t="str">
        <f>[Table Name]&amp;"-"&amp;(COUNTIF($B$1:TableData[[#This Row],[Table Name]],TableData[[#This Row],[Table Name]])-1)</f>
        <v>Action Data-0</v>
      </c>
      <c r="B28" s="14" t="s">
        <v>819</v>
      </c>
      <c r="C2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8" s="31" t="s">
        <v>96</v>
      </c>
      <c r="E28" s="31" t="s">
        <v>4</v>
      </c>
      <c r="F28" s="31"/>
      <c r="G28" s="31"/>
      <c r="H28" s="31"/>
      <c r="I28" s="31"/>
      <c r="J28" s="31"/>
      <c r="K28" s="31"/>
      <c r="L28" s="31"/>
      <c r="M28" s="33"/>
      <c r="N28" s="33"/>
      <c r="O28" s="33"/>
      <c r="P28" s="33"/>
      <c r="Q28" s="33"/>
      <c r="R28" s="33"/>
    </row>
    <row r="29" spans="1:18" hidden="1">
      <c r="A29" s="32" t="str">
        <f>[Table Name]&amp;"-"&amp;(COUNTIF($B$1:TableData[[#This Row],[Table Name]],TableData[[#This Row],[Table Name]])-1)</f>
        <v>Users-0</v>
      </c>
      <c r="B29" s="31" t="s">
        <v>180</v>
      </c>
      <c r="C2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9" s="31" t="s">
        <v>26</v>
      </c>
      <c r="E29" s="31" t="s">
        <v>232</v>
      </c>
      <c r="F29" s="31" t="s">
        <v>405</v>
      </c>
      <c r="G29" s="31"/>
      <c r="H29" s="31"/>
      <c r="I29" s="31"/>
      <c r="J29" s="31"/>
      <c r="K29" s="31"/>
      <c r="L29" s="31"/>
      <c r="M29" s="33"/>
      <c r="N29" s="33"/>
      <c r="O29" s="33"/>
      <c r="P29" s="33"/>
      <c r="Q29" s="33"/>
      <c r="R29" s="33"/>
    </row>
    <row r="30" spans="1:18" hidden="1">
      <c r="A30" s="32" t="str">
        <f>[Table Name]&amp;"-"&amp;(COUNTIF($B$1:TableData[[#This Row],[Table Name]],TableData[[#This Row],[Table Name]])-1)</f>
        <v>Field Options-0</v>
      </c>
      <c r="B30" s="14" t="s">
        <v>366</v>
      </c>
      <c r="C3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0" s="31" t="s">
        <v>119</v>
      </c>
      <c r="E30" s="31" t="s">
        <v>48</v>
      </c>
      <c r="F30" s="31" t="s">
        <v>200</v>
      </c>
      <c r="G30" s="31" t="s">
        <v>357</v>
      </c>
      <c r="H30" s="31" t="s">
        <v>359</v>
      </c>
      <c r="I30" s="31" t="s">
        <v>361</v>
      </c>
      <c r="J30" s="31"/>
      <c r="K30" s="31"/>
      <c r="L30" s="31"/>
      <c r="M30" s="33"/>
      <c r="N30" s="33"/>
      <c r="O30" s="33"/>
      <c r="P30" s="33"/>
      <c r="Q30" s="33"/>
      <c r="R30" s="33"/>
    </row>
    <row r="31" spans="1:18" hidden="1">
      <c r="A31" s="32" t="str">
        <f>[Table Name]&amp;"-"&amp;(COUNTIF($B$1:TableData[[#This Row],[Table Name]],TableData[[#This Row],[Table Name]])-1)</f>
        <v>Form Collection-0</v>
      </c>
      <c r="B31" s="31" t="s">
        <v>517</v>
      </c>
      <c r="C3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1" s="31" t="s">
        <v>116</v>
      </c>
      <c r="E31" s="31" t="s">
        <v>510</v>
      </c>
      <c r="F31" s="31" t="s">
        <v>55</v>
      </c>
      <c r="G31" s="31" t="s">
        <v>528</v>
      </c>
      <c r="H31" s="31"/>
      <c r="I31" s="31"/>
      <c r="J31" s="31"/>
      <c r="K31" s="31"/>
      <c r="L31" s="31"/>
      <c r="M31" s="33"/>
      <c r="N31" s="33"/>
      <c r="O31" s="33"/>
      <c r="P31" s="33"/>
      <c r="Q31" s="33"/>
      <c r="R31" s="33"/>
    </row>
    <row r="32" spans="1:18" hidden="1">
      <c r="A32" s="32" t="str">
        <f>[Table Name]&amp;"-"&amp;(COUNTIF($B$1:TableData[[#This Row],[Table Name]],TableData[[#This Row],[Table Name]])-1)</f>
        <v>Data Scopes-0</v>
      </c>
      <c r="B32" s="31" t="s">
        <v>531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2" s="31" t="s">
        <v>4</v>
      </c>
      <c r="E32" s="31" t="s">
        <v>56</v>
      </c>
      <c r="F32" s="31"/>
      <c r="G32" s="31"/>
      <c r="H32" s="31"/>
      <c r="I32" s="31"/>
      <c r="J32" s="31"/>
      <c r="K32" s="31"/>
      <c r="L32" s="31"/>
      <c r="M32" s="33"/>
      <c r="N32" s="33"/>
      <c r="O32" s="33"/>
      <c r="P32" s="33"/>
      <c r="Q32" s="33"/>
      <c r="R32" s="33"/>
    </row>
    <row r="33" spans="1:18" hidden="1">
      <c r="A33" s="32" t="str">
        <f>[Table Name]&amp;"-"&amp;(COUNTIF($B$1:TableData[[#This Row],[Table Name]],TableData[[#This Row],[Table Name]])-1)</f>
        <v>List Search-0</v>
      </c>
      <c r="B33" s="14" t="s">
        <v>535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3" s="31" t="s">
        <v>93</v>
      </c>
      <c r="E33" s="31" t="s">
        <v>442</v>
      </c>
      <c r="F33" s="31" t="s">
        <v>55</v>
      </c>
      <c r="G33" s="31" t="s">
        <v>455</v>
      </c>
      <c r="H33" s="31" t="s">
        <v>456</v>
      </c>
      <c r="I33" s="31" t="s">
        <v>457</v>
      </c>
      <c r="J33" s="31"/>
      <c r="K33" s="31"/>
      <c r="L33" s="31"/>
      <c r="M33" s="31"/>
      <c r="N33" s="31"/>
      <c r="O33" s="33"/>
      <c r="P33" s="33"/>
      <c r="Q33" s="33"/>
      <c r="R33" s="33"/>
    </row>
    <row r="34" spans="1:18" hidden="1">
      <c r="A34" s="32" t="str">
        <f>[Table Name]&amp;"-"&amp;(COUNTIF($B$1:TableData[[#This Row],[Table Name]],TableData[[#This Row],[Table Name]])-1)</f>
        <v>Field Depends-0</v>
      </c>
      <c r="B34" s="31" t="s">
        <v>550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4" s="31" t="s">
        <v>119</v>
      </c>
      <c r="E34" s="31" t="s">
        <v>541</v>
      </c>
      <c r="F34" s="31" t="s">
        <v>543</v>
      </c>
      <c r="G34" s="31" t="s">
        <v>545</v>
      </c>
      <c r="H34" s="31" t="s">
        <v>549</v>
      </c>
      <c r="I34" s="31" t="s">
        <v>35</v>
      </c>
      <c r="J34" s="31" t="s">
        <v>561</v>
      </c>
      <c r="K34" s="31" t="s">
        <v>559</v>
      </c>
      <c r="L34" s="31"/>
      <c r="M34" s="31"/>
      <c r="N34" s="31"/>
      <c r="O34" s="33"/>
      <c r="P34" s="33"/>
      <c r="Q34" s="33"/>
      <c r="R34" s="33"/>
    </row>
    <row r="35" spans="1:18" hidden="1">
      <c r="A35" s="32" t="str">
        <f>[Table Name]&amp;"-"&amp;(COUNTIF($B$1:TableData[[#This Row],[Table Name]],TableData[[#This Row],[Table Name]])-1)</f>
        <v>Resource Dashboard-0</v>
      </c>
      <c r="B35" s="13" t="s">
        <v>613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5" s="33" t="s">
        <v>23</v>
      </c>
      <c r="E35" s="33" t="s">
        <v>26</v>
      </c>
      <c r="F35" s="33" t="s">
        <v>28</v>
      </c>
      <c r="G35" s="33" t="s">
        <v>30</v>
      </c>
      <c r="H35" s="33" t="s">
        <v>35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</row>
    <row r="36" spans="1:18" hidden="1">
      <c r="A36" s="32" t="str">
        <f>[Table Name]&amp;"-"&amp;(COUNTIF($B$1:TableData[[#This Row],[Table Name]],TableData[[#This Row],[Table Name]])-1)</f>
        <v>Dashboard Sections-0</v>
      </c>
      <c r="B36" s="33" t="s">
        <v>603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6" s="33" t="s">
        <v>584</v>
      </c>
      <c r="E36" s="33" t="s">
        <v>26</v>
      </c>
      <c r="F36" s="33" t="s">
        <v>30</v>
      </c>
      <c r="G36" s="33" t="s">
        <v>587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</row>
    <row r="37" spans="1:18" hidden="1">
      <c r="A37" s="32" t="str">
        <f>[Table Name]&amp;"-"&amp;(COUNTIF($B$1:TableData[[#This Row],[Table Name]],TableData[[#This Row],[Table Name]])-1)</f>
        <v>Dashboard Section Items-0</v>
      </c>
      <c r="B37" s="33" t="s">
        <v>604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7" s="33" t="s">
        <v>482</v>
      </c>
      <c r="E37" s="33" t="s">
        <v>80</v>
      </c>
      <c r="F37" s="33" t="s">
        <v>30</v>
      </c>
      <c r="G37" s="33" t="s">
        <v>595</v>
      </c>
      <c r="H37" s="33" t="s">
        <v>599</v>
      </c>
      <c r="I37" s="33" t="s">
        <v>600</v>
      </c>
      <c r="J37" s="33"/>
      <c r="K37" s="33"/>
      <c r="L37" s="33"/>
      <c r="M37" s="33"/>
      <c r="N37" s="33"/>
      <c r="O37" s="33"/>
      <c r="P37" s="33"/>
      <c r="Q37" s="33"/>
      <c r="R37" s="33"/>
    </row>
    <row r="38" spans="1:18" hidden="1">
      <c r="A38" s="32" t="str">
        <f>[Table Name]&amp;"-"&amp;(COUNTIF($B$1:TableData[[#This Row],[Table Name]],TableData[[#This Row],[Table Name]])-1)</f>
        <v>Resource Metrics-0</v>
      </c>
      <c r="B38" s="31" t="s">
        <v>605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8" s="31" t="s">
        <v>23</v>
      </c>
      <c r="E38" s="31" t="s">
        <v>26</v>
      </c>
      <c r="F38" s="33" t="s">
        <v>48</v>
      </c>
      <c r="G38" s="31" t="s">
        <v>93</v>
      </c>
      <c r="H38" s="31" t="s">
        <v>637</v>
      </c>
      <c r="I38" s="31" t="s">
        <v>566</v>
      </c>
      <c r="J38" s="31" t="s">
        <v>569</v>
      </c>
      <c r="K38" s="31" t="s">
        <v>442</v>
      </c>
      <c r="L38" s="31" t="s">
        <v>630</v>
      </c>
      <c r="M38" s="31" t="s">
        <v>632</v>
      </c>
      <c r="N38" s="31" t="s">
        <v>35</v>
      </c>
      <c r="O38" s="33"/>
      <c r="P38" s="33"/>
      <c r="Q38" s="33"/>
      <c r="R38" s="33"/>
    </row>
    <row r="39" spans="1:18" hidden="1">
      <c r="A39" s="32" t="str">
        <f>[Table Name]&amp;"-"&amp;(COUNTIF($B$1:TableData[[#This Row],[Table Name]],TableData[[#This Row],[Table Name]])-1)</f>
        <v>Field Dynamic-0</v>
      </c>
      <c r="B39" s="31" t="s">
        <v>652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9" s="31" t="s">
        <v>119</v>
      </c>
      <c r="E39" s="31" t="s">
        <v>48</v>
      </c>
      <c r="F39" s="31" t="s">
        <v>541</v>
      </c>
      <c r="G39" s="31" t="s">
        <v>643</v>
      </c>
      <c r="H39" s="31" t="s">
        <v>95</v>
      </c>
      <c r="I39" s="31" t="s">
        <v>659</v>
      </c>
      <c r="J39" s="31" t="s">
        <v>545</v>
      </c>
      <c r="K39" s="31" t="s">
        <v>649</v>
      </c>
      <c r="L39" s="31"/>
      <c r="M39" s="31"/>
      <c r="N39" s="31"/>
      <c r="O39" s="33"/>
      <c r="P39" s="33"/>
      <c r="Q39" s="33"/>
      <c r="R39" s="33"/>
    </row>
    <row r="40" spans="1:18" hidden="1">
      <c r="A40" s="15" t="str">
        <f>[Table Name]&amp;"-"&amp;(COUNTIF($B$1:TableData[[#This Row],[Table Name]],TableData[[#This Row],[Table Name]])-1)</f>
        <v>Form Upload-0</v>
      </c>
      <c r="B40" s="14" t="s">
        <v>754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0" s="14" t="s">
        <v>26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3"/>
      <c r="P40" s="13"/>
      <c r="Q40" s="13"/>
      <c r="R40" s="13"/>
    </row>
    <row r="41" spans="1:18" hidden="1">
      <c r="A41" s="15" t="str">
        <f>[Table Name]&amp;"-"&amp;(COUNTIF($B$1:TableData[[#This Row],[Table Name]],TableData[[#This Row],[Table Name]])-1)</f>
        <v>Groups-1</v>
      </c>
      <c r="B41" s="13" t="s">
        <v>177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1" s="14" t="s">
        <v>156</v>
      </c>
      <c r="E41" s="14" t="s">
        <v>155</v>
      </c>
      <c r="F41" s="14" t="s">
        <v>154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hidden="1">
      <c r="A42" s="15" t="str">
        <f>[Table Name]&amp;"-"&amp;(COUNTIF($B$1:TableData[[#This Row],[Table Name]],TableData[[#This Row],[Table Name]])-1)</f>
        <v>Groups-2</v>
      </c>
      <c r="B42" s="13" t="s">
        <v>177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42" s="14" t="s">
        <v>160</v>
      </c>
      <c r="E42" s="14" t="s">
        <v>159</v>
      </c>
      <c r="F42" s="14" t="s">
        <v>158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hidden="1">
      <c r="A43" s="15" t="str">
        <f>[Table Name]&amp;"-"&amp;(COUNTIF($B$1:TableData[[#This Row],[Table Name]],TableData[[#This Row],[Table Name]])-1)</f>
        <v>Groups-3</v>
      </c>
      <c r="B43" s="13" t="s">
        <v>177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43" s="14" t="s">
        <v>161</v>
      </c>
      <c r="E43" s="14" t="s">
        <v>162</v>
      </c>
      <c r="F43" s="14" t="s">
        <v>163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hidden="1">
      <c r="A44" s="15" t="str">
        <f>[Table Name]&amp;"-"&amp;(COUNTIF($B$1:TableData[[#This Row],[Table Name]],TableData[[#This Row],[Table Name]])-1)</f>
        <v>Roles-1</v>
      </c>
      <c r="B44" s="13" t="s">
        <v>181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4" s="14" t="s">
        <v>165</v>
      </c>
      <c r="E44" s="14" t="s">
        <v>166</v>
      </c>
      <c r="F44" s="14" t="s">
        <v>164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hidden="1">
      <c r="A45" s="15" t="str">
        <f>[Table Name]&amp;"-"&amp;(COUNTIF($B$1:TableData[[#This Row],[Table Name]],TableData[[#This Row],[Table Name]])-1)</f>
        <v>Roles-2</v>
      </c>
      <c r="B45" s="13" t="s">
        <v>181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45" s="14" t="s">
        <v>167</v>
      </c>
      <c r="E45" s="14" t="s">
        <v>168</v>
      </c>
      <c r="F45" s="14" t="s">
        <v>169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hidden="1">
      <c r="A46" s="15" t="str">
        <f>[Table Name]&amp;"-"&amp;(COUNTIF($B$1:TableData[[#This Row],[Table Name]],TableData[[#This Row],[Table Name]])-1)</f>
        <v>Roles-3</v>
      </c>
      <c r="B46" s="13" t="s">
        <v>181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46" s="14" t="s">
        <v>469</v>
      </c>
      <c r="E46" s="14" t="s">
        <v>171</v>
      </c>
      <c r="F46" s="14" t="s">
        <v>170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hidden="1">
      <c r="A47" s="15" t="str">
        <f>[Table Name]&amp;"-"&amp;(COUNTIF($B$1:TableData[[#This Row],[Table Name]],TableData[[#This Row],[Table Name]])-1)</f>
        <v>Group Roles-1</v>
      </c>
      <c r="B47" s="14" t="s">
        <v>220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7" s="14">
        <v>1</v>
      </c>
      <c r="E47" s="14">
        <v>1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hidden="1">
      <c r="A48" s="15" t="str">
        <f>[Table Name]&amp;"-"&amp;(COUNTIF($B$1:TableData[[#This Row],[Table Name]],TableData[[#This Row],[Table Name]])-1)</f>
        <v>Group Roles-2</v>
      </c>
      <c r="B48" s="14" t="s">
        <v>220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48" s="14">
        <v>2</v>
      </c>
      <c r="E48" s="14">
        <v>2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hidden="1">
      <c r="A49" s="15" t="str">
        <f>[Table Name]&amp;"-"&amp;(COUNTIF($B$1:TableData[[#This Row],[Table Name]],TableData[[#This Row],[Table Name]])-1)</f>
        <v>Group Roles-3</v>
      </c>
      <c r="B49" s="14" t="s">
        <v>220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49" s="14">
        <v>3</v>
      </c>
      <c r="E49" s="14">
        <v>3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hidden="1">
      <c r="A50" s="17" t="str">
        <f>[Table Name]&amp;"-"&amp;(COUNTIF($B$1:TableData[[#This Row],[Table Name]],TableData[[#This Row],[Table Name]])-1)</f>
        <v>Resources-1</v>
      </c>
      <c r="B50" s="31" t="s">
        <v>216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0" s="31" t="s">
        <v>174</v>
      </c>
      <c r="E50" s="31" t="s">
        <v>176</v>
      </c>
      <c r="F50" s="31" t="s">
        <v>180</v>
      </c>
      <c r="G50" s="31" t="s">
        <v>440</v>
      </c>
      <c r="H50" s="31" t="s">
        <v>175</v>
      </c>
      <c r="I50" s="31"/>
      <c r="J50" s="31"/>
      <c r="K50" s="31" t="s">
        <v>674</v>
      </c>
      <c r="L50" s="31"/>
      <c r="M50" s="31"/>
      <c r="N50" s="31"/>
      <c r="O50" s="31"/>
      <c r="P50" s="31"/>
      <c r="Q50" s="31"/>
      <c r="R50" s="31"/>
    </row>
    <row r="51" spans="1:18" hidden="1">
      <c r="A51" s="32" t="str">
        <f>[Table Name]&amp;"-"&amp;(COUNTIF($B$1:TableData[[#This Row],[Table Name]],TableData[[#This Row],[Table Name]])-1)</f>
        <v>Resources-2</v>
      </c>
      <c r="B51" s="31" t="s">
        <v>216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1" s="33" t="s">
        <v>235</v>
      </c>
      <c r="E51" s="33" t="s">
        <v>178</v>
      </c>
      <c r="F51" s="33" t="s">
        <v>177</v>
      </c>
      <c r="G51" s="33" t="s">
        <v>440</v>
      </c>
      <c r="H51" s="33" t="s">
        <v>179</v>
      </c>
      <c r="I51" s="33"/>
      <c r="J51" s="33"/>
      <c r="K51" s="33" t="s">
        <v>674</v>
      </c>
      <c r="L51" s="33"/>
      <c r="M51" s="33"/>
      <c r="N51" s="33"/>
      <c r="O51" s="33"/>
      <c r="P51" s="33"/>
      <c r="Q51" s="33"/>
      <c r="R51" s="33"/>
    </row>
    <row r="52" spans="1:18" hidden="1">
      <c r="A52" s="32" t="str">
        <f>[Table Name]&amp;"-"&amp;(COUNTIF($B$1:TableData[[#This Row],[Table Name]],TableData[[#This Row],[Table Name]])-1)</f>
        <v>Resources-3</v>
      </c>
      <c r="B52" s="31" t="s">
        <v>216</v>
      </c>
      <c r="C5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2" s="33" t="s">
        <v>258</v>
      </c>
      <c r="E52" s="33" t="s">
        <v>182</v>
      </c>
      <c r="F52" s="33" t="s">
        <v>181</v>
      </c>
      <c r="G52" s="33" t="s">
        <v>440</v>
      </c>
      <c r="H52" s="33" t="s">
        <v>183</v>
      </c>
      <c r="I52" s="33"/>
      <c r="J52" s="33"/>
      <c r="K52" s="33" t="s">
        <v>674</v>
      </c>
      <c r="L52" s="33"/>
      <c r="M52" s="33"/>
      <c r="N52" s="33"/>
      <c r="O52" s="33"/>
      <c r="P52" s="33"/>
      <c r="Q52" s="33"/>
      <c r="R52" s="33"/>
    </row>
    <row r="53" spans="1:18" hidden="1">
      <c r="A53" s="32" t="str">
        <f>[Table Name]&amp;"-"&amp;(COUNTIF($B$1:TableData[[#This Row],[Table Name]],TableData[[#This Row],[Table Name]])-1)</f>
        <v>Resources-4</v>
      </c>
      <c r="B53" s="31" t="s">
        <v>216</v>
      </c>
      <c r="C5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3" s="33" t="s">
        <v>204</v>
      </c>
      <c r="E53" s="33" t="s">
        <v>205</v>
      </c>
      <c r="F53" s="33" t="s">
        <v>204</v>
      </c>
      <c r="G53" s="33" t="s">
        <v>440</v>
      </c>
      <c r="H53" s="33" t="s">
        <v>206</v>
      </c>
      <c r="I53" s="33"/>
      <c r="J53" s="33"/>
      <c r="K53" s="33" t="s">
        <v>674</v>
      </c>
      <c r="L53" s="33"/>
      <c r="M53" s="33"/>
      <c r="N53" s="33"/>
      <c r="O53" s="33"/>
      <c r="P53" s="33"/>
      <c r="Q53" s="33"/>
      <c r="R53" s="33"/>
    </row>
    <row r="54" spans="1:18" hidden="1">
      <c r="A54" s="32" t="str">
        <f>[Table Name]&amp;"-"&amp;(COUNTIF($B$1:TableData[[#This Row],[Table Name]],TableData[[#This Row],[Table Name]])-1)</f>
        <v>Resources-5</v>
      </c>
      <c r="B54" s="31" t="s">
        <v>216</v>
      </c>
      <c r="C5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4" s="33" t="s">
        <v>304</v>
      </c>
      <c r="E54" s="33" t="s">
        <v>305</v>
      </c>
      <c r="F54" s="33" t="s">
        <v>306</v>
      </c>
      <c r="G54" s="33" t="s">
        <v>440</v>
      </c>
      <c r="H54" s="33" t="s">
        <v>307</v>
      </c>
      <c r="I54" s="33"/>
      <c r="J54" s="33"/>
      <c r="K54" s="33" t="s">
        <v>674</v>
      </c>
      <c r="L54" s="33"/>
      <c r="M54" s="33"/>
      <c r="N54" s="33"/>
      <c r="O54" s="33"/>
      <c r="P54" s="33"/>
      <c r="Q54" s="33"/>
      <c r="R54" s="33"/>
    </row>
    <row r="55" spans="1:18" hidden="1">
      <c r="A55" s="32" t="str">
        <f>[Table Name]&amp;"-"&amp;(COUNTIF($B$1:TableData[[#This Row],[Table Name]],TableData[[#This Row],[Table Name]])-1)</f>
        <v>Resources-6</v>
      </c>
      <c r="B55" s="31" t="s">
        <v>216</v>
      </c>
      <c r="C5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55" s="33" t="s">
        <v>449</v>
      </c>
      <c r="E55" s="33" t="s">
        <v>450</v>
      </c>
      <c r="F55" s="33" t="s">
        <v>348</v>
      </c>
      <c r="G55" s="33" t="s">
        <v>440</v>
      </c>
      <c r="H55" s="33" t="s">
        <v>451</v>
      </c>
      <c r="I55" s="33"/>
      <c r="J55" s="33"/>
      <c r="K55" s="33" t="s">
        <v>674</v>
      </c>
      <c r="L55" s="33"/>
      <c r="M55" s="33"/>
      <c r="N55" s="33"/>
      <c r="O55" s="33"/>
      <c r="P55" s="33"/>
      <c r="Q55" s="33"/>
      <c r="R55" s="33"/>
    </row>
    <row r="56" spans="1:18" hidden="1">
      <c r="A56" s="32" t="str">
        <f>[Table Name]&amp;"-"&amp;(COUNTIF($B$1:TableData[[#This Row],[Table Name]],TableData[[#This Row],[Table Name]])-1)</f>
        <v>Resources-7</v>
      </c>
      <c r="B56" s="31" t="s">
        <v>216</v>
      </c>
      <c r="C5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56" s="33" t="s">
        <v>415</v>
      </c>
      <c r="E56" s="33" t="s">
        <v>752</v>
      </c>
      <c r="F56" s="33" t="s">
        <v>346</v>
      </c>
      <c r="G56" s="33" t="s">
        <v>440</v>
      </c>
      <c r="H56" s="33" t="s">
        <v>416</v>
      </c>
      <c r="I56" s="33"/>
      <c r="J56" s="33"/>
      <c r="K56" s="33" t="s">
        <v>674</v>
      </c>
      <c r="L56" s="33"/>
      <c r="M56" s="33"/>
      <c r="N56" s="33"/>
      <c r="O56" s="33"/>
      <c r="P56" s="33"/>
      <c r="Q56" s="33"/>
      <c r="R56" s="33"/>
    </row>
    <row r="57" spans="1:18" hidden="1">
      <c r="A57" s="32" t="str">
        <f>[Table Name]&amp;"-"&amp;(COUNTIF($B$1:TableData[[#This Row],[Table Name]],TableData[[#This Row],[Table Name]])-1)</f>
        <v>Resources-8</v>
      </c>
      <c r="B57" s="31" t="s">
        <v>216</v>
      </c>
      <c r="C5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57" s="33" t="s">
        <v>311</v>
      </c>
      <c r="E57" s="33" t="s">
        <v>312</v>
      </c>
      <c r="F57" s="33" t="s">
        <v>313</v>
      </c>
      <c r="G57" s="33" t="s">
        <v>440</v>
      </c>
      <c r="H57" s="33" t="s">
        <v>314</v>
      </c>
      <c r="I57" s="33"/>
      <c r="J57" s="33"/>
      <c r="K57" s="33" t="s">
        <v>674</v>
      </c>
      <c r="L57" s="33"/>
      <c r="M57" s="33"/>
      <c r="N57" s="33"/>
      <c r="O57" s="33"/>
      <c r="P57" s="33"/>
      <c r="Q57" s="33"/>
      <c r="R57" s="33"/>
    </row>
    <row r="58" spans="1:18" hidden="1">
      <c r="A58" s="32" t="str">
        <f>[Table Name]&amp;"-"&amp;(COUNTIF($B$1:TableData[[#This Row],[Table Name]],TableData[[#This Row],[Table Name]])-1)</f>
        <v>Resources-9</v>
      </c>
      <c r="B58" s="31" t="s">
        <v>216</v>
      </c>
      <c r="C5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58" s="33" t="s">
        <v>315</v>
      </c>
      <c r="E58" s="33" t="s">
        <v>316</v>
      </c>
      <c r="F58" s="33" t="s">
        <v>317</v>
      </c>
      <c r="G58" s="33" t="s">
        <v>440</v>
      </c>
      <c r="H58" s="33" t="s">
        <v>318</v>
      </c>
      <c r="I58" s="33"/>
      <c r="J58" s="33"/>
      <c r="K58" s="33" t="s">
        <v>674</v>
      </c>
      <c r="L58" s="33"/>
      <c r="M58" s="33"/>
      <c r="N58" s="33"/>
      <c r="O58" s="33"/>
      <c r="P58" s="33"/>
      <c r="Q58" s="33"/>
      <c r="R58" s="33"/>
    </row>
    <row r="59" spans="1:18" hidden="1">
      <c r="A59" s="32" t="str">
        <f>[Table Name]&amp;"-"&amp;(COUNTIF($B$1:TableData[[#This Row],[Table Name]],TableData[[#This Row],[Table Name]])-1)</f>
        <v>Resources-10</v>
      </c>
      <c r="B59" s="31" t="s">
        <v>216</v>
      </c>
      <c r="C5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59" s="33" t="s">
        <v>385</v>
      </c>
      <c r="E59" s="33" t="s">
        <v>386</v>
      </c>
      <c r="F59" s="33" t="s">
        <v>387</v>
      </c>
      <c r="G59" s="33" t="s">
        <v>440</v>
      </c>
      <c r="H59" s="33" t="s">
        <v>388</v>
      </c>
      <c r="I59" s="33"/>
      <c r="J59" s="33"/>
      <c r="K59" s="33" t="s">
        <v>674</v>
      </c>
      <c r="L59" s="33"/>
      <c r="M59" s="33"/>
      <c r="N59" s="33"/>
      <c r="O59" s="33"/>
      <c r="P59" s="33"/>
      <c r="Q59" s="33"/>
      <c r="R59" s="33"/>
    </row>
    <row r="60" spans="1:18" hidden="1">
      <c r="A60" s="32" t="str">
        <f>[Table Name]&amp;"-"&amp;(COUNTIF($B$1:TableData[[#This Row],[Table Name]],TableData[[#This Row],[Table Name]])-1)</f>
        <v>Resources-11</v>
      </c>
      <c r="B60" s="31" t="s">
        <v>216</v>
      </c>
      <c r="C6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60" s="33" t="s">
        <v>349</v>
      </c>
      <c r="E60" s="33" t="s">
        <v>350</v>
      </c>
      <c r="F60" s="33" t="s">
        <v>351</v>
      </c>
      <c r="G60" s="33" t="s">
        <v>440</v>
      </c>
      <c r="H60" s="33" t="s">
        <v>352</v>
      </c>
      <c r="I60" s="33"/>
      <c r="J60" s="33"/>
      <c r="K60" s="33" t="s">
        <v>674</v>
      </c>
      <c r="L60" s="33"/>
      <c r="M60" s="33"/>
      <c r="N60" s="33"/>
      <c r="O60" s="33"/>
      <c r="P60" s="33"/>
      <c r="Q60" s="33"/>
      <c r="R60" s="33"/>
    </row>
    <row r="61" spans="1:18" hidden="1">
      <c r="A61" s="32" t="str">
        <f>[Table Name]&amp;"-"&amp;(COUNTIF($B$1:TableData[[#This Row],[Table Name]],TableData[[#This Row],[Table Name]])-1)</f>
        <v>Resources-12</v>
      </c>
      <c r="B61" s="31" t="s">
        <v>216</v>
      </c>
      <c r="C6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61" s="33" t="s">
        <v>364</v>
      </c>
      <c r="E61" s="33" t="s">
        <v>365</v>
      </c>
      <c r="F61" s="33" t="s">
        <v>366</v>
      </c>
      <c r="G61" s="33" t="s">
        <v>440</v>
      </c>
      <c r="H61" s="33" t="s">
        <v>367</v>
      </c>
      <c r="I61" s="33"/>
      <c r="J61" s="33"/>
      <c r="K61" s="33" t="s">
        <v>674</v>
      </c>
      <c r="L61" s="33"/>
      <c r="M61" s="33"/>
      <c r="N61" s="33"/>
      <c r="O61" s="33"/>
      <c r="P61" s="33"/>
      <c r="Q61" s="33"/>
      <c r="R61" s="33"/>
    </row>
    <row r="62" spans="1:18" hidden="1">
      <c r="A62" s="32" t="str">
        <f>[Table Name]&amp;"-"&amp;(COUNTIF($B$1:TableData[[#This Row],[Table Name]],TableData[[#This Row],[Table Name]])-1)</f>
        <v>Resources-13</v>
      </c>
      <c r="B62" s="31" t="s">
        <v>216</v>
      </c>
      <c r="C6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62" s="33" t="s">
        <v>370</v>
      </c>
      <c r="E62" s="33" t="s">
        <v>371</v>
      </c>
      <c r="F62" s="33" t="s">
        <v>372</v>
      </c>
      <c r="G62" s="33" t="s">
        <v>440</v>
      </c>
      <c r="H62" s="33" t="s">
        <v>373</v>
      </c>
      <c r="I62" s="33"/>
      <c r="J62" s="33"/>
      <c r="K62" s="33" t="s">
        <v>674</v>
      </c>
      <c r="L62" s="33"/>
      <c r="M62" s="33"/>
      <c r="N62" s="33"/>
      <c r="O62" s="33"/>
      <c r="P62" s="33"/>
      <c r="Q62" s="33"/>
      <c r="R62" s="33"/>
    </row>
    <row r="63" spans="1:18" hidden="1">
      <c r="A63" s="32" t="str">
        <f>[Table Name]&amp;"-"&amp;(COUNTIF($B$1:TableData[[#This Row],[Table Name]],TableData[[#This Row],[Table Name]])-1)</f>
        <v>Resources-14</v>
      </c>
      <c r="B63" s="31" t="s">
        <v>216</v>
      </c>
      <c r="C6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63" s="33" t="s">
        <v>551</v>
      </c>
      <c r="E63" s="33" t="s">
        <v>552</v>
      </c>
      <c r="F63" s="33" t="s">
        <v>553</v>
      </c>
      <c r="G63" s="33" t="s">
        <v>440</v>
      </c>
      <c r="H63" s="33" t="s">
        <v>554</v>
      </c>
      <c r="I63" s="33" t="s">
        <v>723</v>
      </c>
      <c r="J63" s="33" t="s">
        <v>675</v>
      </c>
      <c r="K63" s="33" t="s">
        <v>674</v>
      </c>
      <c r="L63" s="33"/>
      <c r="M63" s="33"/>
      <c r="N63" s="33"/>
      <c r="O63" s="33"/>
      <c r="P63" s="33"/>
      <c r="Q63" s="33"/>
      <c r="R63" s="33"/>
    </row>
    <row r="64" spans="1:18" hidden="1">
      <c r="A64" s="32" t="str">
        <f>[Table Name]&amp;"-"&amp;(COUNTIF($B$1:TableData[[#This Row],[Table Name]],TableData[[#This Row],[Table Name]])-1)</f>
        <v>Resources-15</v>
      </c>
      <c r="B64" s="31" t="s">
        <v>216</v>
      </c>
      <c r="C6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64" s="33" t="s">
        <v>653</v>
      </c>
      <c r="E64" s="33" t="s">
        <v>654</v>
      </c>
      <c r="F64" s="33" t="s">
        <v>655</v>
      </c>
      <c r="G64" s="33" t="s">
        <v>440</v>
      </c>
      <c r="H64" s="33" t="s">
        <v>656</v>
      </c>
      <c r="I64" s="33"/>
      <c r="J64" s="33"/>
      <c r="K64" s="33" t="s">
        <v>674</v>
      </c>
      <c r="L64" s="33"/>
      <c r="M64" s="33"/>
      <c r="N64" s="33"/>
      <c r="O64" s="33"/>
      <c r="P64" s="33"/>
      <c r="Q64" s="33"/>
      <c r="R64" s="33"/>
    </row>
    <row r="65" spans="1:18" hidden="1">
      <c r="A65" s="32" t="str">
        <f>[Table Name]&amp;"-"&amp;(COUNTIF($B$1:TableData[[#This Row],[Table Name]],TableData[[#This Row],[Table Name]])-1)</f>
        <v>Resources-16</v>
      </c>
      <c r="B65" s="31" t="s">
        <v>216</v>
      </c>
      <c r="C6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65" s="33" t="s">
        <v>474</v>
      </c>
      <c r="E65" s="33" t="s">
        <v>475</v>
      </c>
      <c r="F65" s="33" t="s">
        <v>476</v>
      </c>
      <c r="G65" s="33" t="s">
        <v>440</v>
      </c>
      <c r="H65" s="33" t="s">
        <v>477</v>
      </c>
      <c r="I65" s="33"/>
      <c r="J65" s="33"/>
      <c r="K65" s="33" t="s">
        <v>674</v>
      </c>
      <c r="L65" s="33"/>
      <c r="M65" s="33"/>
      <c r="N65" s="33"/>
      <c r="O65" s="33"/>
      <c r="P65" s="33"/>
      <c r="Q65" s="33"/>
      <c r="R65" s="33"/>
    </row>
    <row r="66" spans="1:18" hidden="1">
      <c r="A66" s="32" t="str">
        <f>[Table Name]&amp;"-"&amp;(COUNTIF($B$1:TableData[[#This Row],[Table Name]],TableData[[#This Row],[Table Name]])-1)</f>
        <v>Resources-17</v>
      </c>
      <c r="B66" s="31" t="s">
        <v>216</v>
      </c>
      <c r="C6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66" s="33" t="s">
        <v>511</v>
      </c>
      <c r="E66" s="33" t="s">
        <v>512</v>
      </c>
      <c r="F66" s="33" t="s">
        <v>513</v>
      </c>
      <c r="G66" s="33" t="s">
        <v>440</v>
      </c>
      <c r="H66" s="33" t="s">
        <v>514</v>
      </c>
      <c r="I66" s="33"/>
      <c r="J66" s="33"/>
      <c r="K66" s="33" t="s">
        <v>674</v>
      </c>
      <c r="L66" s="33"/>
      <c r="M66" s="33"/>
      <c r="N66" s="33"/>
      <c r="O66" s="33"/>
      <c r="P66" s="33"/>
      <c r="Q66" s="33"/>
      <c r="R66" s="33"/>
    </row>
    <row r="67" spans="1:18" hidden="1">
      <c r="A67" s="32" t="str">
        <f>[Table Name]&amp;"-"&amp;(COUNTIF($B$1:TableData[[#This Row],[Table Name]],TableData[[#This Row],[Table Name]])-1)</f>
        <v>Resources-18</v>
      </c>
      <c r="B67" s="31" t="s">
        <v>216</v>
      </c>
      <c r="C6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18</v>
      </c>
      <c r="D67" s="33" t="s">
        <v>753</v>
      </c>
      <c r="E67" s="33" t="s">
        <v>755</v>
      </c>
      <c r="F67" s="33" t="s">
        <v>754</v>
      </c>
      <c r="G67" s="33" t="s">
        <v>440</v>
      </c>
      <c r="H67" s="33" t="s">
        <v>756</v>
      </c>
      <c r="I67" s="33"/>
      <c r="J67" s="33"/>
      <c r="K67" s="33" t="s">
        <v>674</v>
      </c>
      <c r="L67" s="33"/>
      <c r="M67" s="33"/>
      <c r="N67" s="33"/>
      <c r="O67" s="33"/>
      <c r="P67" s="33"/>
      <c r="Q67" s="33"/>
      <c r="R67" s="33"/>
    </row>
    <row r="68" spans="1:18" hidden="1">
      <c r="A68" s="32" t="str">
        <f>[Table Name]&amp;"-"&amp;(COUNTIF($B$1:TableData[[#This Row],[Table Name]],TableData[[#This Row],[Table Name]])-1)</f>
        <v>Resources-19</v>
      </c>
      <c r="B68" s="31" t="s">
        <v>216</v>
      </c>
      <c r="C6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19</v>
      </c>
      <c r="D68" s="33" t="s">
        <v>379</v>
      </c>
      <c r="E68" s="33" t="s">
        <v>380</v>
      </c>
      <c r="F68" s="33" t="s">
        <v>381</v>
      </c>
      <c r="G68" s="33" t="s">
        <v>440</v>
      </c>
      <c r="H68" s="33" t="s">
        <v>382</v>
      </c>
      <c r="I68" s="33"/>
      <c r="J68" s="33"/>
      <c r="K68" s="33" t="s">
        <v>674</v>
      </c>
      <c r="L68" s="33"/>
      <c r="M68" s="33"/>
      <c r="N68" s="33"/>
      <c r="O68" s="33"/>
      <c r="P68" s="33"/>
      <c r="Q68" s="33"/>
      <c r="R68" s="33"/>
    </row>
    <row r="69" spans="1:18" hidden="1">
      <c r="A69" s="32" t="str">
        <f>[Table Name]&amp;"-"&amp;(COUNTIF($B$1:TableData[[#This Row],[Table Name]],TableData[[#This Row],[Table Name]])-1)</f>
        <v>Resources-20</v>
      </c>
      <c r="B69" s="31" t="s">
        <v>216</v>
      </c>
      <c r="C6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20</v>
      </c>
      <c r="D69" s="33" t="s">
        <v>407</v>
      </c>
      <c r="E69" s="33" t="s">
        <v>408</v>
      </c>
      <c r="F69" s="33" t="s">
        <v>300</v>
      </c>
      <c r="G69" s="33" t="s">
        <v>440</v>
      </c>
      <c r="H69" s="33" t="s">
        <v>409</v>
      </c>
      <c r="I69" s="33"/>
      <c r="J69" s="33"/>
      <c r="K69" s="33" t="s">
        <v>674</v>
      </c>
      <c r="L69" s="33"/>
      <c r="M69" s="33"/>
      <c r="N69" s="33"/>
      <c r="O69" s="33"/>
      <c r="P69" s="33"/>
      <c r="Q69" s="33"/>
      <c r="R69" s="33"/>
    </row>
    <row r="70" spans="1:18" hidden="1">
      <c r="A70" s="32" t="str">
        <f>[Table Name]&amp;"-"&amp;(COUNTIF($B$1:TableData[[#This Row],[Table Name]],TableData[[#This Row],[Table Name]])-1)</f>
        <v>Resources-21</v>
      </c>
      <c r="B70" s="31" t="s">
        <v>216</v>
      </c>
      <c r="C7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</v>
      </c>
      <c r="D70" s="33" t="s">
        <v>411</v>
      </c>
      <c r="E70" s="33" t="s">
        <v>412</v>
      </c>
      <c r="F70" s="33" t="s">
        <v>413</v>
      </c>
      <c r="G70" s="33" t="s">
        <v>440</v>
      </c>
      <c r="H70" s="33" t="s">
        <v>414</v>
      </c>
      <c r="I70" s="33"/>
      <c r="J70" s="33"/>
      <c r="K70" s="33" t="s">
        <v>674</v>
      </c>
      <c r="L70" s="33"/>
      <c r="M70" s="33"/>
      <c r="N70" s="33"/>
      <c r="O70" s="33"/>
      <c r="P70" s="33"/>
      <c r="Q70" s="33"/>
      <c r="R70" s="33"/>
    </row>
    <row r="71" spans="1:18" hidden="1">
      <c r="A71" s="32" t="str">
        <f>[Table Name]&amp;"-"&amp;(COUNTIF($B$1:TableData[[#This Row],[Table Name]],TableData[[#This Row],[Table Name]])-1)</f>
        <v>Resources-22</v>
      </c>
      <c r="B71" s="31" t="s">
        <v>216</v>
      </c>
      <c r="C7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22</v>
      </c>
      <c r="D71" s="33" t="s">
        <v>417</v>
      </c>
      <c r="E71" s="33" t="s">
        <v>418</v>
      </c>
      <c r="F71" s="33" t="s">
        <v>419</v>
      </c>
      <c r="G71" s="33" t="s">
        <v>440</v>
      </c>
      <c r="H71" s="33" t="s">
        <v>420</v>
      </c>
      <c r="I71" s="33"/>
      <c r="J71" s="33"/>
      <c r="K71" s="33" t="s">
        <v>674</v>
      </c>
      <c r="L71" s="33"/>
      <c r="M71" s="33"/>
      <c r="N71" s="33"/>
      <c r="O71" s="33"/>
      <c r="P71" s="33"/>
      <c r="Q71" s="33"/>
      <c r="R71" s="33"/>
    </row>
    <row r="72" spans="1:18" hidden="1">
      <c r="A72" s="32" t="str">
        <f>[Table Name]&amp;"-"&amp;(COUNTIF($B$1:TableData[[#This Row],[Table Name]],TableData[[#This Row],[Table Name]])-1)</f>
        <v>Resources-23</v>
      </c>
      <c r="B72" s="31" t="s">
        <v>216</v>
      </c>
      <c r="C7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23</v>
      </c>
      <c r="D72" s="33" t="s">
        <v>443</v>
      </c>
      <c r="E72" s="33" t="s">
        <v>444</v>
      </c>
      <c r="F72" s="33" t="s">
        <v>445</v>
      </c>
      <c r="G72" s="33" t="s">
        <v>440</v>
      </c>
      <c r="H72" s="33" t="s">
        <v>446</v>
      </c>
      <c r="I72" s="33"/>
      <c r="J72" s="33"/>
      <c r="K72" s="33" t="s">
        <v>674</v>
      </c>
      <c r="L72" s="33"/>
      <c r="M72" s="33"/>
      <c r="N72" s="33"/>
      <c r="O72" s="33"/>
      <c r="P72" s="33"/>
      <c r="Q72" s="33"/>
      <c r="R72" s="33"/>
    </row>
    <row r="73" spans="1:18" hidden="1">
      <c r="A73" s="32" t="str">
        <f>[Table Name]&amp;"-"&amp;(COUNTIF($B$1:TableData[[#This Row],[Table Name]],TableData[[#This Row],[Table Name]])-1)</f>
        <v>Resources-24</v>
      </c>
      <c r="B73" s="31" t="s">
        <v>216</v>
      </c>
      <c r="C7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24</v>
      </c>
      <c r="D73" s="33" t="s">
        <v>533</v>
      </c>
      <c r="E73" s="33" t="s">
        <v>534</v>
      </c>
      <c r="F73" s="33" t="s">
        <v>535</v>
      </c>
      <c r="G73" s="33" t="s">
        <v>440</v>
      </c>
      <c r="H73" s="33" t="s">
        <v>536</v>
      </c>
      <c r="I73" s="33"/>
      <c r="J73" s="33"/>
      <c r="K73" s="33" t="s">
        <v>674</v>
      </c>
      <c r="L73" s="33"/>
      <c r="M73" s="33"/>
      <c r="N73" s="33"/>
      <c r="O73" s="33"/>
      <c r="P73" s="33"/>
      <c r="Q73" s="33"/>
      <c r="R73" s="33"/>
    </row>
    <row r="74" spans="1:18" hidden="1">
      <c r="A74" s="32" t="str">
        <f>[Table Name]&amp;"-"&amp;(COUNTIF($B$1:TableData[[#This Row],[Table Name]],TableData[[#This Row],[Table Name]])-1)</f>
        <v>Resources-25</v>
      </c>
      <c r="B74" s="31" t="s">
        <v>216</v>
      </c>
      <c r="C7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25</v>
      </c>
      <c r="D74" s="33" t="s">
        <v>430</v>
      </c>
      <c r="E74" s="33" t="s">
        <v>452</v>
      </c>
      <c r="F74" s="33" t="s">
        <v>302</v>
      </c>
      <c r="G74" s="33" t="s">
        <v>440</v>
      </c>
      <c r="H74" s="33" t="s">
        <v>431</v>
      </c>
      <c r="I74" s="33"/>
      <c r="J74" s="33"/>
      <c r="K74" s="33" t="s">
        <v>674</v>
      </c>
      <c r="L74" s="33"/>
      <c r="M74" s="33"/>
      <c r="N74" s="33"/>
      <c r="O74" s="33"/>
      <c r="P74" s="33"/>
      <c r="Q74" s="33"/>
      <c r="R74" s="33"/>
    </row>
    <row r="75" spans="1:18" hidden="1">
      <c r="A75" s="32" t="str">
        <f>[Table Name]&amp;"-"&amp;(COUNTIF($B$1:TableData[[#This Row],[Table Name]],TableData[[#This Row],[Table Name]])-1)</f>
        <v>Resources-26</v>
      </c>
      <c r="B75" s="31" t="s">
        <v>216</v>
      </c>
      <c r="C7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26</v>
      </c>
      <c r="D75" s="33" t="s">
        <v>432</v>
      </c>
      <c r="E75" s="33" t="s">
        <v>433</v>
      </c>
      <c r="F75" s="33" t="s">
        <v>434</v>
      </c>
      <c r="G75" s="33" t="s">
        <v>440</v>
      </c>
      <c r="H75" s="33" t="s">
        <v>435</v>
      </c>
      <c r="I75" s="33"/>
      <c r="J75" s="33"/>
      <c r="K75" s="33" t="s">
        <v>674</v>
      </c>
      <c r="L75" s="33"/>
      <c r="M75" s="33"/>
      <c r="N75" s="33"/>
      <c r="O75" s="33"/>
      <c r="P75" s="33"/>
      <c r="Q75" s="33"/>
      <c r="R75" s="33"/>
    </row>
    <row r="76" spans="1:18" hidden="1">
      <c r="A76" s="32" t="str">
        <f>[Table Name]&amp;"-"&amp;(COUNTIF($B$1:TableData[[#This Row],[Table Name]],TableData[[#This Row],[Table Name]])-1)</f>
        <v>Resources-27</v>
      </c>
      <c r="B76" s="31" t="s">
        <v>216</v>
      </c>
      <c r="C7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27</v>
      </c>
      <c r="D76" s="33" t="s">
        <v>750</v>
      </c>
      <c r="E76" s="33" t="s">
        <v>751</v>
      </c>
      <c r="F76" s="33" t="s">
        <v>531</v>
      </c>
      <c r="G76" s="33" t="s">
        <v>440</v>
      </c>
      <c r="H76" s="33" t="s">
        <v>431</v>
      </c>
      <c r="I76" s="33"/>
      <c r="J76" s="33"/>
      <c r="K76" s="33" t="s">
        <v>674</v>
      </c>
      <c r="L76" s="33"/>
      <c r="M76" s="33"/>
      <c r="N76" s="33"/>
      <c r="O76" s="33"/>
      <c r="P76" s="33"/>
      <c r="Q76" s="33"/>
      <c r="R76" s="33"/>
    </row>
    <row r="77" spans="1:18" hidden="1">
      <c r="A77" s="32" t="str">
        <f>[Table Name]&amp;"-"&amp;(COUNTIF($B$1:TableData[[#This Row],[Table Name]],TableData[[#This Row],[Table Name]])-1)</f>
        <v>Resources-28</v>
      </c>
      <c r="B77" s="31" t="s">
        <v>216</v>
      </c>
      <c r="C7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28</v>
      </c>
      <c r="D77" s="33" t="s">
        <v>485</v>
      </c>
      <c r="E77" s="33" t="s">
        <v>486</v>
      </c>
      <c r="F77" s="33" t="s">
        <v>487</v>
      </c>
      <c r="G77" s="33" t="s">
        <v>440</v>
      </c>
      <c r="H77" s="33" t="s">
        <v>488</v>
      </c>
      <c r="I77" s="33"/>
      <c r="J77" s="33"/>
      <c r="K77" s="33" t="s">
        <v>674</v>
      </c>
      <c r="L77" s="33"/>
      <c r="M77" s="33"/>
      <c r="N77" s="33"/>
      <c r="O77" s="33"/>
      <c r="P77" s="33"/>
      <c r="Q77" s="33"/>
      <c r="R77" s="33"/>
    </row>
    <row r="78" spans="1:18" hidden="1">
      <c r="A78" s="32" t="str">
        <f>[Table Name]&amp;"-"&amp;(COUNTIF($B$1:TableData[[#This Row],[Table Name]],TableData[[#This Row],[Table Name]])-1)</f>
        <v>Resources-29</v>
      </c>
      <c r="B78" s="31" t="s">
        <v>216</v>
      </c>
      <c r="C7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29</v>
      </c>
      <c r="D78" s="33" t="s">
        <v>492</v>
      </c>
      <c r="E78" s="33" t="s">
        <v>493</v>
      </c>
      <c r="F78" s="33" t="s">
        <v>494</v>
      </c>
      <c r="G78" s="33" t="s">
        <v>440</v>
      </c>
      <c r="H78" s="33" t="s">
        <v>495</v>
      </c>
      <c r="I78" s="33"/>
      <c r="J78" s="33"/>
      <c r="K78" s="33" t="s">
        <v>674</v>
      </c>
      <c r="L78" s="33"/>
      <c r="M78" s="33"/>
      <c r="N78" s="33"/>
      <c r="O78" s="33"/>
      <c r="P78" s="33"/>
      <c r="Q78" s="33"/>
      <c r="R78" s="33"/>
    </row>
    <row r="79" spans="1:18" hidden="1">
      <c r="A79" s="32" t="str">
        <f>[Table Name]&amp;"-"&amp;(COUNTIF($B$1:TableData[[#This Row],[Table Name]],TableData[[#This Row],[Table Name]])-1)</f>
        <v>Resources-30</v>
      </c>
      <c r="B79" s="31" t="s">
        <v>216</v>
      </c>
      <c r="C7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</v>
      </c>
      <c r="D79" s="33" t="s">
        <v>256</v>
      </c>
      <c r="E79" s="33" t="s">
        <v>272</v>
      </c>
      <c r="F79" s="33" t="s">
        <v>255</v>
      </c>
      <c r="G79" s="33" t="s">
        <v>440</v>
      </c>
      <c r="H79" s="33" t="s">
        <v>257</v>
      </c>
      <c r="I79" s="33" t="s">
        <v>726</v>
      </c>
      <c r="J79" s="33" t="s">
        <v>675</v>
      </c>
      <c r="K79" s="33" t="s">
        <v>674</v>
      </c>
      <c r="L79" s="33"/>
      <c r="M79" s="33"/>
      <c r="N79" s="33"/>
      <c r="O79" s="33"/>
      <c r="P79" s="33"/>
      <c r="Q79" s="33"/>
      <c r="R79" s="33"/>
    </row>
    <row r="80" spans="1:18" hidden="1">
      <c r="A80" s="32" t="str">
        <f>[Table Name]&amp;"-"&amp;(COUNTIF($B$1:TableData[[#This Row],[Table Name]],TableData[[#This Row],[Table Name]])-1)</f>
        <v>Resources-31</v>
      </c>
      <c r="B80" s="31" t="s">
        <v>216</v>
      </c>
      <c r="C8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31</v>
      </c>
      <c r="D80" s="33" t="s">
        <v>279</v>
      </c>
      <c r="E80" s="33" t="s">
        <v>280</v>
      </c>
      <c r="F80" s="33" t="s">
        <v>281</v>
      </c>
      <c r="G80" s="33" t="s">
        <v>440</v>
      </c>
      <c r="H80" s="33" t="s">
        <v>282</v>
      </c>
      <c r="I80" s="33"/>
      <c r="J80" s="33"/>
      <c r="K80" s="33" t="s">
        <v>674</v>
      </c>
      <c r="L80" s="33"/>
      <c r="M80" s="33"/>
      <c r="N80" s="33"/>
      <c r="O80" s="33"/>
      <c r="P80" s="33"/>
      <c r="Q80" s="33"/>
      <c r="R80" s="33"/>
    </row>
    <row r="81" spans="1:18" hidden="1">
      <c r="A81" s="32" t="str">
        <f>[Table Name]&amp;"-"&amp;(COUNTIF($B$1:TableData[[#This Row],[Table Name]],TableData[[#This Row],[Table Name]])-1)</f>
        <v>Resources-32</v>
      </c>
      <c r="B81" s="31" t="s">
        <v>216</v>
      </c>
      <c r="C8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32</v>
      </c>
      <c r="D81" s="33" t="s">
        <v>757</v>
      </c>
      <c r="E81" s="33" t="s">
        <v>759</v>
      </c>
      <c r="F81" s="33" t="s">
        <v>760</v>
      </c>
      <c r="G81" s="33" t="s">
        <v>440</v>
      </c>
      <c r="H81" s="33" t="s">
        <v>758</v>
      </c>
      <c r="I81" s="33"/>
      <c r="J81" s="33"/>
      <c r="K81" s="33" t="s">
        <v>674</v>
      </c>
      <c r="L81" s="33"/>
      <c r="M81" s="33"/>
      <c r="N81" s="33"/>
      <c r="O81" s="33"/>
      <c r="P81" s="33"/>
      <c r="Q81" s="33"/>
      <c r="R81" s="33"/>
    </row>
    <row r="82" spans="1:18" hidden="1">
      <c r="A82" s="32" t="str">
        <f>[Table Name]&amp;"-"&amp;(COUNTIF($B$1:TableData[[#This Row],[Table Name]],TableData[[#This Row],[Table Name]])-1)</f>
        <v>Resources-33</v>
      </c>
      <c r="B82" s="31" t="s">
        <v>216</v>
      </c>
      <c r="C8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33</v>
      </c>
      <c r="D82" s="33" t="s">
        <v>291</v>
      </c>
      <c r="E82" s="33" t="s">
        <v>292</v>
      </c>
      <c r="F82" s="33" t="s">
        <v>293</v>
      </c>
      <c r="G82" s="33" t="s">
        <v>440</v>
      </c>
      <c r="H82" s="33" t="s">
        <v>294</v>
      </c>
      <c r="I82" s="33"/>
      <c r="J82" s="33"/>
      <c r="K82" s="33" t="s">
        <v>674</v>
      </c>
      <c r="L82" s="33"/>
      <c r="M82" s="33"/>
      <c r="N82" s="33"/>
      <c r="O82" s="33"/>
      <c r="P82" s="33"/>
      <c r="Q82" s="33"/>
      <c r="R82" s="33"/>
    </row>
    <row r="83" spans="1:18" hidden="1">
      <c r="A83" s="32" t="str">
        <f>[Table Name]&amp;"-"&amp;(COUNTIF($B$1:TableData[[#This Row],[Table Name]],TableData[[#This Row],[Table Name]])-1)</f>
        <v>Resources-34</v>
      </c>
      <c r="B83" s="31" t="s">
        <v>216</v>
      </c>
      <c r="C8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34</v>
      </c>
      <c r="D83" s="33" t="s">
        <v>298</v>
      </c>
      <c r="E83" s="33" t="s">
        <v>297</v>
      </c>
      <c r="F83" s="33" t="s">
        <v>296</v>
      </c>
      <c r="G83" s="33" t="s">
        <v>440</v>
      </c>
      <c r="H83" s="33" t="s">
        <v>295</v>
      </c>
      <c r="I83" s="33"/>
      <c r="J83" s="33"/>
      <c r="K83" s="33" t="s">
        <v>674</v>
      </c>
      <c r="L83" s="33"/>
      <c r="M83" s="33"/>
      <c r="N83" s="33"/>
      <c r="O83" s="33"/>
      <c r="P83" s="33"/>
      <c r="Q83" s="33"/>
      <c r="R83" s="33"/>
    </row>
    <row r="84" spans="1:18" hidden="1">
      <c r="A84" s="32" t="str">
        <f>[Table Name]&amp;"-"&amp;(COUNTIF($B$1:TableData[[#This Row],[Table Name]],TableData[[#This Row],[Table Name]])-1)</f>
        <v>Resources-35</v>
      </c>
      <c r="B84" s="31" t="s">
        <v>216</v>
      </c>
      <c r="C8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35</v>
      </c>
      <c r="D84" s="33" t="s">
        <v>761</v>
      </c>
      <c r="E84" s="33" t="s">
        <v>762</v>
      </c>
      <c r="F84" s="33" t="s">
        <v>763</v>
      </c>
      <c r="G84" s="33" t="s">
        <v>440</v>
      </c>
      <c r="H84" s="33" t="s">
        <v>764</v>
      </c>
      <c r="I84" s="33"/>
      <c r="J84" s="33"/>
      <c r="K84" s="33" t="s">
        <v>674</v>
      </c>
      <c r="L84" s="33"/>
      <c r="M84" s="33"/>
      <c r="N84" s="33"/>
      <c r="O84" s="33"/>
      <c r="P84" s="33"/>
      <c r="Q84" s="33"/>
      <c r="R84" s="33"/>
    </row>
    <row r="85" spans="1:18" hidden="1">
      <c r="A85" s="32" t="str">
        <f>[Table Name]&amp;"-"&amp;(COUNTIF($B$1:TableData[[#This Row],[Table Name]],TableData[[#This Row],[Table Name]])-1)</f>
        <v>Resources-36</v>
      </c>
      <c r="B85" s="31" t="s">
        <v>216</v>
      </c>
      <c r="C8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36</v>
      </c>
      <c r="D85" s="33" t="s">
        <v>609</v>
      </c>
      <c r="E85" s="33" t="s">
        <v>619</v>
      </c>
      <c r="F85" s="33" t="s">
        <v>605</v>
      </c>
      <c r="G85" s="33" t="s">
        <v>440</v>
      </c>
      <c r="H85" s="33" t="s">
        <v>617</v>
      </c>
      <c r="I85" s="33"/>
      <c r="J85" s="33"/>
      <c r="K85" s="33" t="s">
        <v>674</v>
      </c>
      <c r="L85" s="33"/>
      <c r="M85" s="33"/>
      <c r="N85" s="33"/>
      <c r="O85" s="33"/>
      <c r="P85" s="33"/>
      <c r="Q85" s="33"/>
      <c r="R85" s="33"/>
    </row>
    <row r="86" spans="1:18" hidden="1">
      <c r="A86" s="32" t="str">
        <f>[Table Name]&amp;"-"&amp;(COUNTIF($B$1:TableData[[#This Row],[Table Name]],TableData[[#This Row],[Table Name]])-1)</f>
        <v>Resources-37</v>
      </c>
      <c r="B86" s="31" t="s">
        <v>216</v>
      </c>
      <c r="C8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37</v>
      </c>
      <c r="D86" s="33" t="s">
        <v>606</v>
      </c>
      <c r="E86" s="33" t="s">
        <v>610</v>
      </c>
      <c r="F86" s="33" t="s">
        <v>613</v>
      </c>
      <c r="G86" s="33" t="s">
        <v>440</v>
      </c>
      <c r="H86" s="33" t="s">
        <v>614</v>
      </c>
      <c r="I86" s="33"/>
      <c r="J86" s="33"/>
      <c r="K86" s="33" t="s">
        <v>674</v>
      </c>
      <c r="L86" s="33"/>
      <c r="M86" s="33"/>
      <c r="N86" s="33"/>
      <c r="O86" s="33"/>
      <c r="P86" s="33"/>
      <c r="Q86" s="33"/>
      <c r="R86" s="33"/>
    </row>
    <row r="87" spans="1:18" hidden="1">
      <c r="A87" s="32" t="str">
        <f>[Table Name]&amp;"-"&amp;(COUNTIF($B$1:TableData[[#This Row],[Table Name]],TableData[[#This Row],[Table Name]])-1)</f>
        <v>Resources-38</v>
      </c>
      <c r="B87" s="31" t="s">
        <v>216</v>
      </c>
      <c r="C8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38</v>
      </c>
      <c r="D87" s="33" t="s">
        <v>607</v>
      </c>
      <c r="E87" s="33" t="s">
        <v>611</v>
      </c>
      <c r="F87" s="33" t="s">
        <v>618</v>
      </c>
      <c r="G87" s="33" t="s">
        <v>440</v>
      </c>
      <c r="H87" s="33" t="s">
        <v>615</v>
      </c>
      <c r="I87" s="33"/>
      <c r="J87" s="33"/>
      <c r="K87" s="33" t="s">
        <v>674</v>
      </c>
      <c r="L87" s="33"/>
      <c r="M87" s="33"/>
      <c r="N87" s="33"/>
      <c r="O87" s="33"/>
      <c r="P87" s="33"/>
      <c r="Q87" s="33"/>
      <c r="R87" s="33"/>
    </row>
    <row r="88" spans="1:18" hidden="1">
      <c r="A88" s="32" t="str">
        <f>[Table Name]&amp;"-"&amp;(COUNTIF($B$1:TableData[[#This Row],[Table Name]],TableData[[#This Row],[Table Name]])-1)</f>
        <v>Resources-39</v>
      </c>
      <c r="B88" s="31" t="s">
        <v>216</v>
      </c>
      <c r="C8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39</v>
      </c>
      <c r="D88" s="33" t="s">
        <v>608</v>
      </c>
      <c r="E88" s="33" t="s">
        <v>612</v>
      </c>
      <c r="F88" s="33" t="s">
        <v>604</v>
      </c>
      <c r="G88" s="33" t="s">
        <v>440</v>
      </c>
      <c r="H88" s="33" t="s">
        <v>616</v>
      </c>
      <c r="I88" s="33"/>
      <c r="J88" s="33"/>
      <c r="K88" s="33" t="s">
        <v>674</v>
      </c>
      <c r="L88" s="33"/>
      <c r="M88" s="33"/>
      <c r="N88" s="33"/>
      <c r="O88" s="33"/>
      <c r="P88" s="33"/>
      <c r="Q88" s="33"/>
      <c r="R88" s="33"/>
    </row>
    <row r="89" spans="1:18" hidden="1">
      <c r="A89" s="32" t="str">
        <f>[Table Name]&amp;"-"&amp;(COUNTIF($B$1:TableData[[#This Row],[Table Name]],TableData[[#This Row],[Table Name]])-1)</f>
        <v>Resources-40</v>
      </c>
      <c r="B89" s="31" t="s">
        <v>216</v>
      </c>
      <c r="C8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40</v>
      </c>
      <c r="D89" s="33" t="s">
        <v>201</v>
      </c>
      <c r="E89" s="33" t="s">
        <v>202</v>
      </c>
      <c r="F89" s="33" t="s">
        <v>201</v>
      </c>
      <c r="G89" s="33" t="s">
        <v>440</v>
      </c>
      <c r="H89" s="33" t="s">
        <v>203</v>
      </c>
      <c r="I89" s="33"/>
      <c r="J89" s="33"/>
      <c r="K89" s="33" t="s">
        <v>674</v>
      </c>
      <c r="L89" s="33"/>
      <c r="M89" s="33"/>
      <c r="N89" s="33"/>
      <c r="O89" s="33"/>
      <c r="P89" s="33"/>
      <c r="Q89" s="33"/>
      <c r="R89" s="33"/>
    </row>
    <row r="90" spans="1:18" hidden="1">
      <c r="A90" s="32" t="str">
        <f>[Table Name]&amp;"-"&amp;(COUNTIF($B$1:TableData[[#This Row],[Table Name]],TableData[[#This Row],[Table Name]])-1)</f>
        <v>Resources-41</v>
      </c>
      <c r="B90" s="31" t="s">
        <v>216</v>
      </c>
      <c r="C9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41</v>
      </c>
      <c r="D90" s="33" t="s">
        <v>259</v>
      </c>
      <c r="E90" s="33" t="s">
        <v>248</v>
      </c>
      <c r="F90" s="33" t="s">
        <v>237</v>
      </c>
      <c r="G90" s="33" t="s">
        <v>440</v>
      </c>
      <c r="H90" s="33" t="s">
        <v>249</v>
      </c>
      <c r="I90" s="33"/>
      <c r="J90" s="33"/>
      <c r="K90" s="33" t="s">
        <v>674</v>
      </c>
      <c r="L90" s="33"/>
      <c r="M90" s="33"/>
      <c r="N90" s="33"/>
      <c r="O90" s="33"/>
      <c r="P90" s="33"/>
      <c r="Q90" s="33"/>
      <c r="R90" s="33"/>
    </row>
    <row r="91" spans="1:18" hidden="1">
      <c r="A91" s="17" t="str">
        <f>[Table Name]&amp;"-"&amp;(COUNTIF($B$1:TableData[[#This Row],[Table Name]],TableData[[#This Row],[Table Name]])-1)</f>
        <v>Resource Relations-1</v>
      </c>
      <c r="B91" s="31" t="s">
        <v>348</v>
      </c>
      <c r="C9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91" s="31">
        <v>1</v>
      </c>
      <c r="E91" s="31" t="s">
        <v>218</v>
      </c>
      <c r="F91" s="31" t="s">
        <v>211</v>
      </c>
      <c r="G91" s="31" t="s">
        <v>177</v>
      </c>
      <c r="H91" s="31" t="s">
        <v>212</v>
      </c>
      <c r="I91" s="31">
        <v>2</v>
      </c>
      <c r="J91" s="31"/>
      <c r="K91" s="31"/>
      <c r="L91" s="31"/>
      <c r="M91" s="31"/>
      <c r="N91" s="31"/>
      <c r="O91" s="31"/>
      <c r="P91" s="31"/>
      <c r="Q91" s="31"/>
      <c r="R91" s="31"/>
    </row>
    <row r="92" spans="1:18" hidden="1">
      <c r="A92" s="32" t="str">
        <f>[Table Name]&amp;"-"&amp;(COUNTIF($B$1:TableData[[#This Row],[Table Name]],TableData[[#This Row],[Table Name]])-1)</f>
        <v>Resource Relations-2</v>
      </c>
      <c r="B92" s="31" t="s">
        <v>348</v>
      </c>
      <c r="C9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92" s="33">
        <v>2</v>
      </c>
      <c r="E92" s="33" t="s">
        <v>219</v>
      </c>
      <c r="F92" s="33" t="s">
        <v>213</v>
      </c>
      <c r="G92" s="33" t="s">
        <v>180</v>
      </c>
      <c r="H92" s="33" t="s">
        <v>212</v>
      </c>
      <c r="I92" s="33">
        <v>1</v>
      </c>
      <c r="J92" s="33"/>
      <c r="K92" s="33"/>
      <c r="L92" s="33"/>
      <c r="M92" s="33"/>
      <c r="N92" s="33"/>
      <c r="O92" s="33"/>
      <c r="P92" s="33"/>
      <c r="Q92" s="33"/>
      <c r="R92" s="33"/>
    </row>
    <row r="93" spans="1:18" hidden="1">
      <c r="A93" s="32" t="str">
        <f>[Table Name]&amp;"-"&amp;(COUNTIF($B$1:TableData[[#This Row],[Table Name]],TableData[[#This Row],[Table Name]])-1)</f>
        <v>Resource Relations-3</v>
      </c>
      <c r="B93" s="31" t="s">
        <v>348</v>
      </c>
      <c r="C9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93" s="33">
        <v>2</v>
      </c>
      <c r="E93" s="33" t="s">
        <v>220</v>
      </c>
      <c r="F93" s="33" t="s">
        <v>214</v>
      </c>
      <c r="G93" s="33" t="s">
        <v>181</v>
      </c>
      <c r="H93" s="33" t="s">
        <v>212</v>
      </c>
      <c r="I93" s="33">
        <v>3</v>
      </c>
      <c r="J93" s="33"/>
      <c r="K93" s="33"/>
      <c r="L93" s="33"/>
      <c r="M93" s="33"/>
      <c r="N93" s="33"/>
      <c r="O93" s="33"/>
      <c r="P93" s="33"/>
      <c r="Q93" s="33"/>
      <c r="R93" s="33"/>
    </row>
    <row r="94" spans="1:18" hidden="1">
      <c r="A94" s="32" t="str">
        <f>[Table Name]&amp;"-"&amp;(COUNTIF($B$1:TableData[[#This Row],[Table Name]],TableData[[#This Row],[Table Name]])-1)</f>
        <v>Resource Relations-4</v>
      </c>
      <c r="B94" s="31" t="s">
        <v>348</v>
      </c>
      <c r="C9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94" s="33">
        <v>3</v>
      </c>
      <c r="E94" s="33" t="s">
        <v>221</v>
      </c>
      <c r="F94" s="33" t="s">
        <v>215</v>
      </c>
      <c r="G94" s="33" t="s">
        <v>177</v>
      </c>
      <c r="H94" s="33" t="s">
        <v>212</v>
      </c>
      <c r="I94" s="33">
        <v>2</v>
      </c>
      <c r="J94" s="33"/>
      <c r="K94" s="33"/>
      <c r="L94" s="33"/>
      <c r="M94" s="33"/>
      <c r="N94" s="33"/>
      <c r="O94" s="33"/>
      <c r="P94" s="33"/>
      <c r="Q94" s="33"/>
      <c r="R94" s="33"/>
    </row>
    <row r="95" spans="1:18" hidden="1">
      <c r="A95" s="32" t="str">
        <f>[Table Name]&amp;"-"&amp;(COUNTIF($B$1:TableData[[#This Row],[Table Name]],TableData[[#This Row],[Table Name]])-1)</f>
        <v>Resource Relations-5</v>
      </c>
      <c r="B95" s="31" t="s">
        <v>348</v>
      </c>
      <c r="C9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95" s="33">
        <v>3</v>
      </c>
      <c r="E95" s="33" t="s">
        <v>222</v>
      </c>
      <c r="F95" s="33" t="s">
        <v>303</v>
      </c>
      <c r="G95" s="33" t="s">
        <v>216</v>
      </c>
      <c r="H95" s="33" t="s">
        <v>250</v>
      </c>
      <c r="I95" s="33">
        <v>5</v>
      </c>
      <c r="J95" s="33"/>
      <c r="K95" s="33"/>
      <c r="L95" s="33"/>
      <c r="M95" s="33"/>
      <c r="N95" s="33"/>
      <c r="O95" s="33"/>
      <c r="P95" s="33"/>
      <c r="Q95" s="33"/>
      <c r="R95" s="33"/>
    </row>
    <row r="96" spans="1:18" hidden="1">
      <c r="A96" s="32" t="str">
        <f>[Table Name]&amp;"-"&amp;(COUNTIF($B$1:TableData[[#This Row],[Table Name]],TableData[[#This Row],[Table Name]])-1)</f>
        <v>Resource Relations-6</v>
      </c>
      <c r="B96" s="31" t="s">
        <v>348</v>
      </c>
      <c r="C9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96" s="33">
        <v>4</v>
      </c>
      <c r="E96" s="33" t="s">
        <v>223</v>
      </c>
      <c r="F96" s="33" t="s">
        <v>217</v>
      </c>
      <c r="G96" s="33" t="s">
        <v>181</v>
      </c>
      <c r="H96" s="33" t="s">
        <v>212</v>
      </c>
      <c r="I96" s="33">
        <v>3</v>
      </c>
      <c r="J96" s="33"/>
      <c r="K96" s="33"/>
      <c r="L96" s="33"/>
      <c r="M96" s="33"/>
      <c r="N96" s="33"/>
      <c r="O96" s="33"/>
      <c r="P96" s="33"/>
      <c r="Q96" s="33"/>
      <c r="R96" s="33"/>
    </row>
    <row r="97" spans="1:18" hidden="1">
      <c r="A97" s="32" t="str">
        <f>[Table Name]&amp;"-"&amp;(COUNTIF($B$1:TableData[[#This Row],[Table Name]],TableData[[#This Row],[Table Name]])-1)</f>
        <v>Resource Relations-7</v>
      </c>
      <c r="B97" s="31" t="s">
        <v>348</v>
      </c>
      <c r="C9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97" s="33">
        <v>4</v>
      </c>
      <c r="E97" s="33" t="s">
        <v>255</v>
      </c>
      <c r="F97" s="33" t="s">
        <v>254</v>
      </c>
      <c r="G97" s="33" t="s">
        <v>253</v>
      </c>
      <c r="H97" s="33" t="s">
        <v>250</v>
      </c>
      <c r="I97" s="33">
        <v>30</v>
      </c>
      <c r="J97" s="33"/>
      <c r="K97" s="33"/>
      <c r="L97" s="33"/>
      <c r="M97" s="33"/>
      <c r="N97" s="33"/>
      <c r="O97" s="33"/>
      <c r="P97" s="33"/>
      <c r="Q97" s="33"/>
      <c r="R97" s="33"/>
    </row>
    <row r="98" spans="1:18" hidden="1">
      <c r="A98" s="32" t="str">
        <f>[Table Name]&amp;"-"&amp;(COUNTIF($B$1:TableData[[#This Row],[Table Name]],TableData[[#This Row],[Table Name]])-1)</f>
        <v>Resource Relations-8</v>
      </c>
      <c r="B98" s="31" t="s">
        <v>348</v>
      </c>
      <c r="C9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98" s="33">
        <v>30</v>
      </c>
      <c r="E98" s="33" t="s">
        <v>281</v>
      </c>
      <c r="F98" s="33" t="s">
        <v>284</v>
      </c>
      <c r="G98" s="33" t="s">
        <v>275</v>
      </c>
      <c r="H98" s="33" t="s">
        <v>283</v>
      </c>
      <c r="I98" s="33">
        <v>31</v>
      </c>
      <c r="J98" s="33"/>
      <c r="K98" s="33"/>
      <c r="L98" s="33"/>
      <c r="M98" s="33"/>
      <c r="N98" s="33"/>
      <c r="O98" s="33"/>
      <c r="P98" s="33"/>
      <c r="Q98" s="33"/>
      <c r="R98" s="33"/>
    </row>
    <row r="99" spans="1:18" hidden="1">
      <c r="A99" s="32" t="str">
        <f>[Table Name]&amp;"-"&amp;(COUNTIF($B$1:TableData[[#This Row],[Table Name]],TableData[[#This Row],[Table Name]])-1)</f>
        <v>Resource Relations-9</v>
      </c>
      <c r="B99" s="31" t="s">
        <v>348</v>
      </c>
      <c r="C9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99" s="33">
        <v>30</v>
      </c>
      <c r="E99" s="33" t="s">
        <v>293</v>
      </c>
      <c r="F99" s="33" t="s">
        <v>299</v>
      </c>
      <c r="G99" s="33" t="s">
        <v>300</v>
      </c>
      <c r="H99" s="33" t="s">
        <v>250</v>
      </c>
      <c r="I99" s="33">
        <v>33</v>
      </c>
      <c r="J99" s="33"/>
      <c r="K99" s="33"/>
      <c r="L99" s="33"/>
      <c r="M99" s="33"/>
      <c r="N99" s="33"/>
      <c r="O99" s="33"/>
      <c r="P99" s="33"/>
      <c r="Q99" s="33"/>
      <c r="R99" s="33"/>
    </row>
    <row r="100" spans="1:18" hidden="1">
      <c r="A100" s="32" t="str">
        <f>[Table Name]&amp;"-"&amp;(COUNTIF($B$1:TableData[[#This Row],[Table Name]],TableData[[#This Row],[Table Name]])-1)</f>
        <v>Resource Relations-10</v>
      </c>
      <c r="B100" s="31" t="s">
        <v>348</v>
      </c>
      <c r="C10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100" s="33">
        <v>30</v>
      </c>
      <c r="E100" s="33" t="s">
        <v>296</v>
      </c>
      <c r="F100" s="33" t="s">
        <v>301</v>
      </c>
      <c r="G100" s="33" t="s">
        <v>302</v>
      </c>
      <c r="H100" s="33" t="s">
        <v>250</v>
      </c>
      <c r="I100" s="33">
        <v>34</v>
      </c>
      <c r="J100" s="33"/>
      <c r="K100" s="33"/>
      <c r="L100" s="33"/>
      <c r="M100" s="33"/>
      <c r="N100" s="33"/>
      <c r="O100" s="33"/>
      <c r="P100" s="33"/>
      <c r="Q100" s="33"/>
      <c r="R100" s="33"/>
    </row>
    <row r="101" spans="1:18" hidden="1">
      <c r="A101" s="32" t="str">
        <f>[Table Name]&amp;"-"&amp;(COUNTIF($B$1:TableData[[#This Row],[Table Name]],TableData[[#This Row],[Table Name]])-1)</f>
        <v>Resource Relations-11</v>
      </c>
      <c r="B101" s="31" t="s">
        <v>348</v>
      </c>
      <c r="C10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101" s="33">
        <v>40</v>
      </c>
      <c r="E101" s="33" t="s">
        <v>251</v>
      </c>
      <c r="F101" s="33" t="s">
        <v>248</v>
      </c>
      <c r="G101" s="33" t="s">
        <v>237</v>
      </c>
      <c r="H101" s="33" t="s">
        <v>250</v>
      </c>
      <c r="I101" s="33">
        <v>41</v>
      </c>
      <c r="J101" s="33"/>
      <c r="K101" s="33"/>
      <c r="L101" s="33"/>
      <c r="M101" s="33"/>
      <c r="N101" s="33"/>
      <c r="O101" s="33"/>
      <c r="P101" s="33"/>
      <c r="Q101" s="33"/>
      <c r="R101" s="33"/>
    </row>
    <row r="102" spans="1:18" hidden="1">
      <c r="A102" s="32" t="str">
        <f>[Table Name]&amp;"-"&amp;(COUNTIF($B$1:TableData[[#This Row],[Table Name]],TableData[[#This Row],[Table Name]])-1)</f>
        <v>Resource Relations-12</v>
      </c>
      <c r="B102" s="31" t="s">
        <v>348</v>
      </c>
      <c r="C10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102" s="33">
        <v>5</v>
      </c>
      <c r="E102" s="33" t="s">
        <v>308</v>
      </c>
      <c r="F102" s="33" t="s">
        <v>309</v>
      </c>
      <c r="G102" s="33" t="s">
        <v>204</v>
      </c>
      <c r="H102" s="33" t="s">
        <v>310</v>
      </c>
      <c r="I102" s="33">
        <v>4</v>
      </c>
      <c r="J102" s="33"/>
      <c r="K102" s="33"/>
      <c r="L102" s="33"/>
      <c r="M102" s="33"/>
      <c r="N102" s="33"/>
      <c r="O102" s="33"/>
      <c r="P102" s="33"/>
      <c r="Q102" s="33"/>
      <c r="R102" s="33"/>
    </row>
    <row r="103" spans="1:18" hidden="1">
      <c r="A103" s="32" t="str">
        <f>[Table Name]&amp;"-"&amp;(COUNTIF($B$1:TableData[[#This Row],[Table Name]],TableData[[#This Row],[Table Name]])-1)</f>
        <v>Resource Relations-13</v>
      </c>
      <c r="B103" s="31" t="s">
        <v>348</v>
      </c>
      <c r="C10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103" s="33">
        <v>4</v>
      </c>
      <c r="E103" s="33" t="s">
        <v>339</v>
      </c>
      <c r="F103" s="33" t="s">
        <v>340</v>
      </c>
      <c r="G103" s="33" t="s">
        <v>313</v>
      </c>
      <c r="H103" s="33" t="s">
        <v>250</v>
      </c>
      <c r="I103" s="33">
        <v>8</v>
      </c>
      <c r="J103" s="33"/>
      <c r="K103" s="33"/>
      <c r="L103" s="33"/>
      <c r="M103" s="33"/>
      <c r="N103" s="33"/>
      <c r="O103" s="33"/>
      <c r="P103" s="33"/>
      <c r="Q103" s="33"/>
      <c r="R103" s="33"/>
    </row>
    <row r="104" spans="1:18" hidden="1">
      <c r="A104" s="32" t="str">
        <f>[Table Name]&amp;"-"&amp;(COUNTIF($B$1:TableData[[#This Row],[Table Name]],TableData[[#This Row],[Table Name]])-1)</f>
        <v>Resource Relations-14</v>
      </c>
      <c r="B104" s="31" t="s">
        <v>348</v>
      </c>
      <c r="C10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104" s="33">
        <v>8</v>
      </c>
      <c r="E104" s="33" t="s">
        <v>317</v>
      </c>
      <c r="F104" s="33" t="s">
        <v>341</v>
      </c>
      <c r="G104" s="33" t="s">
        <v>342</v>
      </c>
      <c r="H104" s="33" t="s">
        <v>250</v>
      </c>
      <c r="I104" s="33">
        <v>9</v>
      </c>
      <c r="J104" s="33"/>
      <c r="K104" s="33"/>
      <c r="L104" s="33"/>
      <c r="M104" s="33"/>
      <c r="N104" s="33"/>
      <c r="O104" s="33"/>
      <c r="P104" s="33"/>
      <c r="Q104" s="33"/>
      <c r="R104" s="33"/>
    </row>
    <row r="105" spans="1:18" hidden="1">
      <c r="A105" s="32" t="str">
        <f>[Table Name]&amp;"-"&amp;(COUNTIF($B$1:TableData[[#This Row],[Table Name]],TableData[[#This Row],[Table Name]])-1)</f>
        <v>Resource Relations-15</v>
      </c>
      <c r="B105" s="31" t="s">
        <v>348</v>
      </c>
      <c r="C10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105" s="33">
        <v>9</v>
      </c>
      <c r="E105" s="33" t="s">
        <v>351</v>
      </c>
      <c r="F105" s="33" t="s">
        <v>353</v>
      </c>
      <c r="G105" s="33" t="s">
        <v>354</v>
      </c>
      <c r="H105" s="33" t="s">
        <v>250</v>
      </c>
      <c r="I105" s="33">
        <v>11</v>
      </c>
      <c r="J105" s="33"/>
      <c r="K105" s="33"/>
      <c r="L105" s="33"/>
      <c r="M105" s="33"/>
      <c r="N105" s="33"/>
      <c r="O105" s="33"/>
      <c r="P105" s="33"/>
      <c r="Q105" s="33"/>
      <c r="R105" s="33"/>
    </row>
    <row r="106" spans="1:18" hidden="1">
      <c r="A106" s="32" t="str">
        <f>[Table Name]&amp;"-"&amp;(COUNTIF($B$1:TableData[[#This Row],[Table Name]],TableData[[#This Row],[Table Name]])-1)</f>
        <v>Resource Relations-16</v>
      </c>
      <c r="B106" s="31" t="s">
        <v>348</v>
      </c>
      <c r="C10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106" s="33">
        <v>9</v>
      </c>
      <c r="E106" s="33" t="s">
        <v>366</v>
      </c>
      <c r="F106" s="33" t="s">
        <v>369</v>
      </c>
      <c r="G106" s="33" t="s">
        <v>368</v>
      </c>
      <c r="H106" s="33" t="s">
        <v>250</v>
      </c>
      <c r="I106" s="33">
        <v>12</v>
      </c>
      <c r="J106" s="33"/>
      <c r="K106" s="33"/>
      <c r="L106" s="33"/>
      <c r="M106" s="33"/>
      <c r="N106" s="33"/>
      <c r="O106" s="33"/>
      <c r="P106" s="33"/>
      <c r="Q106" s="33"/>
      <c r="R106" s="33"/>
    </row>
    <row r="107" spans="1:18" hidden="1">
      <c r="A107" s="32" t="str">
        <f>[Table Name]&amp;"-"&amp;(COUNTIF($B$1:TableData[[#This Row],[Table Name]],TableData[[#This Row],[Table Name]])-1)</f>
        <v>Resource Relations-17</v>
      </c>
      <c r="B107" s="31" t="s">
        <v>348</v>
      </c>
      <c r="C10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107" s="33">
        <v>9</v>
      </c>
      <c r="E107" s="33" t="s">
        <v>374</v>
      </c>
      <c r="F107" s="33" t="s">
        <v>375</v>
      </c>
      <c r="G107" s="33" t="s">
        <v>376</v>
      </c>
      <c r="H107" s="33" t="s">
        <v>250</v>
      </c>
      <c r="I107" s="33">
        <v>13</v>
      </c>
      <c r="J107" s="33"/>
      <c r="K107" s="33"/>
      <c r="L107" s="33"/>
      <c r="M107" s="33"/>
      <c r="N107" s="33"/>
      <c r="O107" s="33"/>
      <c r="P107" s="33"/>
      <c r="Q107" s="33"/>
      <c r="R107" s="33"/>
    </row>
    <row r="108" spans="1:18" hidden="1">
      <c r="A108" s="32" t="str">
        <f>[Table Name]&amp;"-"&amp;(COUNTIF($B$1:TableData[[#This Row],[Table Name]],TableData[[#This Row],[Table Name]])-1)</f>
        <v>Resource Relations-18</v>
      </c>
      <c r="B108" s="31" t="s">
        <v>348</v>
      </c>
      <c r="C10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18</v>
      </c>
      <c r="D108" s="33">
        <v>8</v>
      </c>
      <c r="E108" s="33" t="s">
        <v>377</v>
      </c>
      <c r="F108" s="33" t="s">
        <v>378</v>
      </c>
      <c r="G108" s="33" t="s">
        <v>204</v>
      </c>
      <c r="H108" s="33" t="s">
        <v>310</v>
      </c>
      <c r="I108" s="33">
        <v>4</v>
      </c>
      <c r="J108" s="33"/>
      <c r="K108" s="33"/>
      <c r="L108" s="33"/>
      <c r="M108" s="33"/>
      <c r="N108" s="33"/>
      <c r="O108" s="33"/>
      <c r="P108" s="33"/>
      <c r="Q108" s="33"/>
      <c r="R108" s="33"/>
    </row>
    <row r="109" spans="1:18" hidden="1">
      <c r="A109" s="32" t="str">
        <f>[Table Name]&amp;"-"&amp;(COUNTIF($B$1:TableData[[#This Row],[Table Name]],TableData[[#This Row],[Table Name]])-1)</f>
        <v>Resource Relations-19</v>
      </c>
      <c r="B109" s="31" t="s">
        <v>348</v>
      </c>
      <c r="C10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19</v>
      </c>
      <c r="D109" s="33">
        <v>8</v>
      </c>
      <c r="E109" s="33" t="s">
        <v>381</v>
      </c>
      <c r="F109" s="33" t="s">
        <v>383</v>
      </c>
      <c r="G109" s="33" t="s">
        <v>384</v>
      </c>
      <c r="H109" s="33" t="s">
        <v>250</v>
      </c>
      <c r="I109" s="33">
        <v>19</v>
      </c>
      <c r="J109" s="33"/>
      <c r="K109" s="33"/>
      <c r="L109" s="33"/>
      <c r="M109" s="33"/>
      <c r="N109" s="33"/>
      <c r="O109" s="33"/>
      <c r="P109" s="33"/>
      <c r="Q109" s="33"/>
      <c r="R109" s="33"/>
    </row>
    <row r="110" spans="1:18" hidden="1">
      <c r="A110" s="32" t="str">
        <f>[Table Name]&amp;"-"&amp;(COUNTIF($B$1:TableData[[#This Row],[Table Name]],TableData[[#This Row],[Table Name]])-1)</f>
        <v>Resource Relations-20</v>
      </c>
      <c r="B110" s="31" t="s">
        <v>348</v>
      </c>
      <c r="C11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20</v>
      </c>
      <c r="D110" s="33">
        <v>9</v>
      </c>
      <c r="E110" s="33" t="s">
        <v>387</v>
      </c>
      <c r="F110" s="33" t="s">
        <v>389</v>
      </c>
      <c r="G110" s="33" t="s">
        <v>302</v>
      </c>
      <c r="H110" s="33" t="s">
        <v>283</v>
      </c>
      <c r="I110" s="33">
        <v>10</v>
      </c>
      <c r="J110" s="33"/>
      <c r="K110" s="33"/>
      <c r="L110" s="33"/>
      <c r="M110" s="33"/>
      <c r="N110" s="33"/>
      <c r="O110" s="33"/>
      <c r="P110" s="33"/>
      <c r="Q110" s="33"/>
      <c r="R110" s="33"/>
    </row>
    <row r="111" spans="1:18" hidden="1">
      <c r="A111" s="32" t="str">
        <f>[Table Name]&amp;"-"&amp;(COUNTIF($B$1:TableData[[#This Row],[Table Name]],TableData[[#This Row],[Table Name]])-1)</f>
        <v>Resource Relations-21</v>
      </c>
      <c r="B111" s="31" t="s">
        <v>348</v>
      </c>
      <c r="C11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</v>
      </c>
      <c r="D111" s="33">
        <v>4</v>
      </c>
      <c r="E111" s="33" t="s">
        <v>348</v>
      </c>
      <c r="F111" s="33" t="s">
        <v>390</v>
      </c>
      <c r="G111" s="33" t="s">
        <v>391</v>
      </c>
      <c r="H111" s="33" t="s">
        <v>250</v>
      </c>
      <c r="I111" s="33">
        <v>6</v>
      </c>
      <c r="J111" s="33"/>
      <c r="K111" s="33"/>
      <c r="L111" s="33"/>
      <c r="M111" s="33"/>
      <c r="N111" s="33"/>
      <c r="O111" s="33"/>
      <c r="P111" s="33"/>
      <c r="Q111" s="33"/>
      <c r="R111" s="33"/>
    </row>
    <row r="112" spans="1:18" hidden="1">
      <c r="A112" s="32" t="str">
        <f>[Table Name]&amp;"-"&amp;(COUNTIF($B$1:TableData[[#This Row],[Table Name]],TableData[[#This Row],[Table Name]])-1)</f>
        <v>Resource Relations-22</v>
      </c>
      <c r="B112" s="31" t="s">
        <v>348</v>
      </c>
      <c r="C11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22</v>
      </c>
      <c r="D112" s="33">
        <v>10</v>
      </c>
      <c r="E112" s="33" t="s">
        <v>521</v>
      </c>
      <c r="F112" s="33" t="s">
        <v>522</v>
      </c>
      <c r="G112" s="33" t="s">
        <v>246</v>
      </c>
      <c r="H112" s="33" t="s">
        <v>310</v>
      </c>
      <c r="I112" s="33">
        <v>6</v>
      </c>
      <c r="J112" s="33"/>
      <c r="K112" s="33"/>
      <c r="L112" s="33"/>
      <c r="M112" s="33"/>
      <c r="N112" s="33"/>
      <c r="O112" s="33"/>
      <c r="P112" s="33"/>
      <c r="Q112" s="33"/>
      <c r="R112" s="33"/>
    </row>
    <row r="113" spans="1:18" hidden="1">
      <c r="A113" s="32" t="str">
        <f>[Table Name]&amp;"-"&amp;(COUNTIF($B$1:TableData[[#This Row],[Table Name]],TableData[[#This Row],[Table Name]])-1)</f>
        <v>Resource Relations-23</v>
      </c>
      <c r="B113" s="31" t="s">
        <v>348</v>
      </c>
      <c r="C11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23</v>
      </c>
      <c r="D113" s="33">
        <v>19</v>
      </c>
      <c r="E113" s="33" t="s">
        <v>403</v>
      </c>
      <c r="F113" s="33" t="s">
        <v>404</v>
      </c>
      <c r="G113" s="33" t="s">
        <v>246</v>
      </c>
      <c r="H113" s="33" t="s">
        <v>310</v>
      </c>
      <c r="I113" s="33">
        <v>4</v>
      </c>
      <c r="J113" s="33"/>
      <c r="K113" s="33"/>
      <c r="L113" s="33"/>
      <c r="M113" s="33"/>
      <c r="N113" s="33"/>
      <c r="O113" s="33"/>
      <c r="P113" s="33"/>
      <c r="Q113" s="33"/>
      <c r="R113" s="33"/>
    </row>
    <row r="114" spans="1:18" hidden="1">
      <c r="A114" s="32" t="str">
        <f>[Table Name]&amp;"-"&amp;(COUNTIF($B$1:TableData[[#This Row],[Table Name]],TableData[[#This Row],[Table Name]])-1)</f>
        <v>Resource Relations-24</v>
      </c>
      <c r="B114" s="31" t="s">
        <v>348</v>
      </c>
      <c r="C11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24</v>
      </c>
      <c r="D114" s="33">
        <v>20</v>
      </c>
      <c r="E114" s="33" t="s">
        <v>308</v>
      </c>
      <c r="F114" s="33" t="s">
        <v>410</v>
      </c>
      <c r="G114" s="33" t="s">
        <v>204</v>
      </c>
      <c r="H114" s="33" t="s">
        <v>310</v>
      </c>
      <c r="I114" s="33">
        <v>4</v>
      </c>
      <c r="J114" s="33"/>
      <c r="K114" s="33"/>
      <c r="L114" s="33"/>
      <c r="M114" s="33"/>
      <c r="N114" s="33"/>
      <c r="O114" s="33"/>
      <c r="P114" s="33"/>
      <c r="Q114" s="33"/>
      <c r="R114" s="33"/>
    </row>
    <row r="115" spans="1:18" hidden="1">
      <c r="A115" s="32" t="str">
        <f>[Table Name]&amp;"-"&amp;(COUNTIF($B$1:TableData[[#This Row],[Table Name]],TableData[[#This Row],[Table Name]])-1)</f>
        <v>Resource Relations-25</v>
      </c>
      <c r="B115" s="31" t="s">
        <v>348</v>
      </c>
      <c r="C11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25</v>
      </c>
      <c r="D115" s="33">
        <v>20</v>
      </c>
      <c r="E115" s="33" t="s">
        <v>413</v>
      </c>
      <c r="F115" s="33" t="s">
        <v>412</v>
      </c>
      <c r="G115" s="33" t="s">
        <v>391</v>
      </c>
      <c r="H115" s="33" t="s">
        <v>250</v>
      </c>
      <c r="I115" s="33">
        <v>21</v>
      </c>
      <c r="J115" s="33"/>
      <c r="K115" s="33"/>
      <c r="L115" s="33"/>
      <c r="M115" s="33"/>
      <c r="N115" s="33"/>
      <c r="O115" s="33"/>
      <c r="P115" s="33"/>
      <c r="Q115" s="33"/>
      <c r="R115" s="33"/>
    </row>
    <row r="116" spans="1:18" hidden="1">
      <c r="A116" s="32" t="str">
        <f>[Table Name]&amp;"-"&amp;(COUNTIF($B$1:TableData[[#This Row],[Table Name]],TableData[[#This Row],[Table Name]])-1)</f>
        <v>Resource Relations-26</v>
      </c>
      <c r="B116" s="31" t="s">
        <v>348</v>
      </c>
      <c r="C11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26</v>
      </c>
      <c r="D116" s="33">
        <v>4</v>
      </c>
      <c r="E116" s="33" t="s">
        <v>346</v>
      </c>
      <c r="F116" s="33" t="s">
        <v>421</v>
      </c>
      <c r="G116" s="33" t="s">
        <v>422</v>
      </c>
      <c r="H116" s="33" t="s">
        <v>250</v>
      </c>
      <c r="I116" s="33">
        <v>7</v>
      </c>
      <c r="J116" s="33"/>
      <c r="K116" s="33"/>
      <c r="L116" s="33"/>
      <c r="M116" s="33"/>
      <c r="N116" s="33"/>
      <c r="O116" s="33"/>
      <c r="P116" s="33"/>
      <c r="Q116" s="33"/>
      <c r="R116" s="33"/>
    </row>
    <row r="117" spans="1:18" hidden="1">
      <c r="A117" s="32" t="str">
        <f>[Table Name]&amp;"-"&amp;(COUNTIF($B$1:TableData[[#This Row],[Table Name]],TableData[[#This Row],[Table Name]])-1)</f>
        <v>Resource Relations-27</v>
      </c>
      <c r="B117" s="31" t="s">
        <v>348</v>
      </c>
      <c r="C11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27</v>
      </c>
      <c r="D117" s="33">
        <v>20</v>
      </c>
      <c r="E117" s="33" t="s">
        <v>419</v>
      </c>
      <c r="F117" s="33" t="s">
        <v>423</v>
      </c>
      <c r="G117" s="33" t="s">
        <v>422</v>
      </c>
      <c r="H117" s="33" t="s">
        <v>212</v>
      </c>
      <c r="I117" s="33">
        <v>7</v>
      </c>
      <c r="J117" s="33"/>
      <c r="K117" s="33"/>
      <c r="L117" s="33"/>
      <c r="M117" s="33"/>
      <c r="N117" s="33"/>
      <c r="O117" s="33"/>
      <c r="P117" s="33"/>
      <c r="Q117" s="33"/>
      <c r="R117" s="33"/>
    </row>
    <row r="118" spans="1:18" hidden="1">
      <c r="A118" s="32" t="str">
        <f>[Table Name]&amp;"-"&amp;(COUNTIF($B$1:TableData[[#This Row],[Table Name]],TableData[[#This Row],[Table Name]])-1)</f>
        <v>Resource Relations-28</v>
      </c>
      <c r="B118" s="31" t="s">
        <v>348</v>
      </c>
      <c r="C11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28</v>
      </c>
      <c r="D118" s="33">
        <v>25</v>
      </c>
      <c r="E118" s="33" t="s">
        <v>436</v>
      </c>
      <c r="F118" s="33" t="s">
        <v>437</v>
      </c>
      <c r="G118" s="33" t="s">
        <v>391</v>
      </c>
      <c r="H118" s="33" t="s">
        <v>250</v>
      </c>
      <c r="I118" s="33">
        <v>26</v>
      </c>
      <c r="J118" s="33"/>
      <c r="K118" s="33"/>
      <c r="L118" s="33"/>
      <c r="M118" s="33"/>
      <c r="N118" s="33"/>
      <c r="O118" s="33"/>
      <c r="P118" s="33"/>
      <c r="Q118" s="33"/>
      <c r="R118" s="33"/>
    </row>
    <row r="119" spans="1:18" hidden="1">
      <c r="A119" s="32" t="str">
        <f>[Table Name]&amp;"-"&amp;(COUNTIF($B$1:TableData[[#This Row],[Table Name]],TableData[[#This Row],[Table Name]])-1)</f>
        <v>Resource Relations-29</v>
      </c>
      <c r="B119" s="31" t="s">
        <v>348</v>
      </c>
      <c r="C11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29</v>
      </c>
      <c r="D119" s="33">
        <v>25</v>
      </c>
      <c r="E119" s="33" t="s">
        <v>308</v>
      </c>
      <c r="F119" s="33" t="s">
        <v>438</v>
      </c>
      <c r="G119" s="33" t="s">
        <v>204</v>
      </c>
      <c r="H119" s="33" t="s">
        <v>310</v>
      </c>
      <c r="I119" s="33">
        <v>4</v>
      </c>
      <c r="J119" s="33"/>
      <c r="K119" s="33"/>
      <c r="L119" s="33"/>
      <c r="M119" s="33"/>
      <c r="N119" s="33"/>
      <c r="O119" s="33"/>
      <c r="P119" s="33"/>
      <c r="Q119" s="33"/>
      <c r="R119" s="33"/>
    </row>
    <row r="120" spans="1:18" hidden="1">
      <c r="A120" s="32" t="str">
        <f>[Table Name]&amp;"-"&amp;(COUNTIF($B$1:TableData[[#This Row],[Table Name]],TableData[[#This Row],[Table Name]])-1)</f>
        <v>Resource Relations-30</v>
      </c>
      <c r="B120" s="31" t="s">
        <v>348</v>
      </c>
      <c r="C12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</v>
      </c>
      <c r="D120" s="33">
        <v>20</v>
      </c>
      <c r="E120" s="33" t="s">
        <v>445</v>
      </c>
      <c r="F120" s="33" t="s">
        <v>444</v>
      </c>
      <c r="G120" s="33" t="s">
        <v>447</v>
      </c>
      <c r="H120" s="33" t="s">
        <v>250</v>
      </c>
      <c r="I120" s="33">
        <v>23</v>
      </c>
      <c r="J120" s="33"/>
      <c r="K120" s="33"/>
      <c r="L120" s="33"/>
      <c r="M120" s="33"/>
      <c r="N120" s="33"/>
      <c r="O120" s="33"/>
      <c r="P120" s="33"/>
      <c r="Q120" s="33"/>
      <c r="R120" s="33"/>
    </row>
    <row r="121" spans="1:18" hidden="1">
      <c r="A121" s="32" t="str">
        <f>[Table Name]&amp;"-"&amp;(COUNTIF($B$1:TableData[[#This Row],[Table Name]],TableData[[#This Row],[Table Name]])-1)</f>
        <v>Resource Relations-31</v>
      </c>
      <c r="B121" s="31" t="s">
        <v>348</v>
      </c>
      <c r="C12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31</v>
      </c>
      <c r="D121" s="33">
        <v>6</v>
      </c>
      <c r="E121" s="33" t="s">
        <v>465</v>
      </c>
      <c r="F121" s="33" t="s">
        <v>465</v>
      </c>
      <c r="G121" s="33" t="s">
        <v>466</v>
      </c>
      <c r="H121" s="33" t="s">
        <v>250</v>
      </c>
      <c r="I121" s="33">
        <v>6</v>
      </c>
      <c r="J121" s="33"/>
      <c r="K121" s="33"/>
      <c r="L121" s="33"/>
      <c r="M121" s="33"/>
      <c r="N121" s="33"/>
      <c r="O121" s="33"/>
      <c r="P121" s="33"/>
      <c r="Q121" s="33"/>
      <c r="R121" s="33"/>
    </row>
    <row r="122" spans="1:18" hidden="1">
      <c r="A122" s="32" t="str">
        <f>[Table Name]&amp;"-"&amp;(COUNTIF($B$1:TableData[[#This Row],[Table Name]],TableData[[#This Row],[Table Name]])-1)</f>
        <v>Resource Relations-32</v>
      </c>
      <c r="B122" s="31" t="s">
        <v>348</v>
      </c>
      <c r="C12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32</v>
      </c>
      <c r="D122" s="33">
        <v>6</v>
      </c>
      <c r="E122" s="33" t="s">
        <v>467</v>
      </c>
      <c r="F122" s="33" t="s">
        <v>468</v>
      </c>
      <c r="G122" s="33" t="s">
        <v>246</v>
      </c>
      <c r="H122" s="33" t="s">
        <v>310</v>
      </c>
      <c r="I122" s="33">
        <v>4</v>
      </c>
      <c r="J122" s="33"/>
      <c r="K122" s="33"/>
      <c r="L122" s="33"/>
      <c r="M122" s="33"/>
      <c r="N122" s="33"/>
      <c r="O122" s="33"/>
      <c r="P122" s="33"/>
      <c r="Q122" s="33"/>
      <c r="R122" s="33"/>
    </row>
    <row r="123" spans="1:18" hidden="1">
      <c r="A123" s="32" t="str">
        <f>[Table Name]&amp;"-"&amp;(COUNTIF($B$1:TableData[[#This Row],[Table Name]],TableData[[#This Row],[Table Name]])-1)</f>
        <v>Resource Relations-33</v>
      </c>
      <c r="B123" s="31" t="s">
        <v>348</v>
      </c>
      <c r="C12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33</v>
      </c>
      <c r="D123" s="33">
        <v>25</v>
      </c>
      <c r="E123" s="33" t="s">
        <v>487</v>
      </c>
      <c r="F123" s="33" t="s">
        <v>490</v>
      </c>
      <c r="G123" s="33" t="s">
        <v>489</v>
      </c>
      <c r="H123" s="33" t="s">
        <v>250</v>
      </c>
      <c r="I123" s="33">
        <v>28</v>
      </c>
      <c r="J123" s="33"/>
      <c r="K123" s="33"/>
      <c r="L123" s="33"/>
      <c r="M123" s="33"/>
      <c r="N123" s="33"/>
      <c r="O123" s="33"/>
      <c r="P123" s="33"/>
      <c r="Q123" s="33"/>
      <c r="R123" s="33"/>
    </row>
    <row r="124" spans="1:18" hidden="1">
      <c r="A124" s="32" t="str">
        <f>[Table Name]&amp;"-"&amp;(COUNTIF($B$1:TableData[[#This Row],[Table Name]],TableData[[#This Row],[Table Name]])-1)</f>
        <v>Resource Relations-34</v>
      </c>
      <c r="B124" s="31" t="s">
        <v>348</v>
      </c>
      <c r="C12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34</v>
      </c>
      <c r="D124" s="33">
        <v>28</v>
      </c>
      <c r="E124" s="33" t="s">
        <v>436</v>
      </c>
      <c r="F124" s="33" t="s">
        <v>497</v>
      </c>
      <c r="G124" s="33" t="s">
        <v>246</v>
      </c>
      <c r="H124" s="33" t="s">
        <v>310</v>
      </c>
      <c r="I124" s="33">
        <v>6</v>
      </c>
      <c r="J124" s="33"/>
      <c r="K124" s="33"/>
      <c r="L124" s="33"/>
      <c r="M124" s="33"/>
      <c r="N124" s="33"/>
      <c r="O124" s="33"/>
      <c r="P124" s="33"/>
      <c r="Q124" s="33"/>
      <c r="R124" s="33"/>
    </row>
    <row r="125" spans="1:18" hidden="1">
      <c r="A125" s="32" t="str">
        <f>[Table Name]&amp;"-"&amp;(COUNTIF($B$1:TableData[[#This Row],[Table Name]],TableData[[#This Row],[Table Name]])-1)</f>
        <v>Resource Relations-35</v>
      </c>
      <c r="B125" s="31" t="s">
        <v>348</v>
      </c>
      <c r="C12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35</v>
      </c>
      <c r="D125" s="33">
        <v>29</v>
      </c>
      <c r="E125" s="33" t="s">
        <v>498</v>
      </c>
      <c r="F125" s="33" t="s">
        <v>499</v>
      </c>
      <c r="G125" s="33" t="s">
        <v>246</v>
      </c>
      <c r="H125" s="33" t="s">
        <v>310</v>
      </c>
      <c r="I125" s="33">
        <v>6</v>
      </c>
      <c r="J125" s="33"/>
      <c r="K125" s="33"/>
      <c r="L125" s="33"/>
      <c r="M125" s="33"/>
      <c r="N125" s="33"/>
      <c r="O125" s="33"/>
      <c r="P125" s="33"/>
      <c r="Q125" s="33"/>
      <c r="R125" s="33"/>
    </row>
    <row r="126" spans="1:18" hidden="1">
      <c r="A126" s="32" t="str">
        <f>[Table Name]&amp;"-"&amp;(COUNTIF($B$1:TableData[[#This Row],[Table Name]],TableData[[#This Row],[Table Name]])-1)</f>
        <v>Resource Relations-36</v>
      </c>
      <c r="B126" s="31" t="s">
        <v>348</v>
      </c>
      <c r="C12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36</v>
      </c>
      <c r="D126" s="33">
        <v>6</v>
      </c>
      <c r="E126" s="33" t="s">
        <v>501</v>
      </c>
      <c r="F126" s="33" t="s">
        <v>502</v>
      </c>
      <c r="G126" s="33" t="s">
        <v>503</v>
      </c>
      <c r="H126" s="33" t="s">
        <v>310</v>
      </c>
      <c r="I126" s="33">
        <v>4</v>
      </c>
      <c r="J126" s="33"/>
      <c r="K126" s="33"/>
      <c r="L126" s="33"/>
      <c r="M126" s="33"/>
      <c r="N126" s="33"/>
      <c r="O126" s="33"/>
      <c r="P126" s="33"/>
      <c r="Q126" s="33"/>
      <c r="R126" s="33"/>
    </row>
    <row r="127" spans="1:18" hidden="1">
      <c r="A127" s="32" t="str">
        <f>[Table Name]&amp;"-"&amp;(COUNTIF($B$1:TableData[[#This Row],[Table Name]],TableData[[#This Row],[Table Name]])-1)</f>
        <v>Resource Relations-37</v>
      </c>
      <c r="B127" s="31" t="s">
        <v>348</v>
      </c>
      <c r="C12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37</v>
      </c>
      <c r="D127" s="33">
        <v>8</v>
      </c>
      <c r="E127" s="33" t="s">
        <v>515</v>
      </c>
      <c r="F127" s="33" t="s">
        <v>516</v>
      </c>
      <c r="G127" s="33" t="s">
        <v>515</v>
      </c>
      <c r="H127" s="33" t="s">
        <v>250</v>
      </c>
      <c r="I127" s="33">
        <v>17</v>
      </c>
      <c r="J127" s="33"/>
      <c r="K127" s="33"/>
      <c r="L127" s="33"/>
      <c r="M127" s="33"/>
      <c r="N127" s="33"/>
      <c r="O127" s="33"/>
      <c r="P127" s="33"/>
      <c r="Q127" s="33"/>
      <c r="R127" s="33"/>
    </row>
    <row r="128" spans="1:18" hidden="1">
      <c r="A128" s="32" t="str">
        <f>[Table Name]&amp;"-"&amp;(COUNTIF($B$1:TableData[[#This Row],[Table Name]],TableData[[#This Row],[Table Name]])-1)</f>
        <v>Resource Relations-38</v>
      </c>
      <c r="B128" s="31" t="s">
        <v>348</v>
      </c>
      <c r="C12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38</v>
      </c>
      <c r="D128" s="33">
        <v>17</v>
      </c>
      <c r="E128" s="33" t="s">
        <v>513</v>
      </c>
      <c r="F128" s="33" t="s">
        <v>513</v>
      </c>
      <c r="G128" s="33" t="s">
        <v>276</v>
      </c>
      <c r="H128" s="33" t="s">
        <v>310</v>
      </c>
      <c r="I128" s="33">
        <v>8</v>
      </c>
      <c r="J128" s="33"/>
      <c r="K128" s="33"/>
      <c r="L128" s="33"/>
      <c r="M128" s="33"/>
      <c r="N128" s="33"/>
      <c r="O128" s="33"/>
      <c r="P128" s="33"/>
      <c r="Q128" s="33"/>
      <c r="R128" s="33"/>
    </row>
    <row r="129" spans="1:18" hidden="1">
      <c r="A129" s="32" t="str">
        <f>[Table Name]&amp;"-"&amp;(COUNTIF($B$1:TableData[[#This Row],[Table Name]],TableData[[#This Row],[Table Name]])-1)</f>
        <v>Resource Relations-39</v>
      </c>
      <c r="B129" s="31" t="s">
        <v>348</v>
      </c>
      <c r="C12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39</v>
      </c>
      <c r="D129" s="33">
        <v>17</v>
      </c>
      <c r="E129" s="33" t="s">
        <v>246</v>
      </c>
      <c r="F129" s="33" t="s">
        <v>518</v>
      </c>
      <c r="G129" s="33" t="s">
        <v>246</v>
      </c>
      <c r="H129" s="33" t="s">
        <v>310</v>
      </c>
      <c r="I129" s="33">
        <v>6</v>
      </c>
      <c r="J129" s="33"/>
      <c r="K129" s="33"/>
      <c r="L129" s="33"/>
      <c r="M129" s="33"/>
      <c r="N129" s="33"/>
      <c r="O129" s="33"/>
      <c r="P129" s="33"/>
      <c r="Q129" s="33"/>
      <c r="R129" s="33"/>
    </row>
    <row r="130" spans="1:18" hidden="1">
      <c r="A130" s="32" t="str">
        <f>[Table Name]&amp;"-"&amp;(COUNTIF($B$1:TableData[[#This Row],[Table Name]],TableData[[#This Row],[Table Name]])-1)</f>
        <v>Resource Relations-40</v>
      </c>
      <c r="B130" s="31" t="s">
        <v>348</v>
      </c>
      <c r="C13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40</v>
      </c>
      <c r="D130" s="33">
        <v>12</v>
      </c>
      <c r="E130" s="33" t="s">
        <v>13</v>
      </c>
      <c r="F130" s="33" t="s">
        <v>519</v>
      </c>
      <c r="G130" s="33" t="s">
        <v>13</v>
      </c>
      <c r="H130" s="33" t="s">
        <v>310</v>
      </c>
      <c r="I130" s="33">
        <v>9</v>
      </c>
      <c r="J130" s="33"/>
      <c r="K130" s="33"/>
      <c r="L130" s="33"/>
      <c r="M130" s="33"/>
      <c r="N130" s="33"/>
      <c r="O130" s="33"/>
      <c r="P130" s="33"/>
      <c r="Q130" s="33"/>
      <c r="R130" s="33"/>
    </row>
    <row r="131" spans="1:18" hidden="1">
      <c r="A131" s="32" t="str">
        <f>[Table Name]&amp;"-"&amp;(COUNTIF($B$1:TableData[[#This Row],[Table Name]],TableData[[#This Row],[Table Name]])-1)</f>
        <v>Resource Relations-41</v>
      </c>
      <c r="B131" s="31" t="s">
        <v>348</v>
      </c>
      <c r="C13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41</v>
      </c>
      <c r="D131" s="33">
        <v>9</v>
      </c>
      <c r="E131" s="33" t="s">
        <v>276</v>
      </c>
      <c r="F131" s="33" t="s">
        <v>520</v>
      </c>
      <c r="G131" s="33" t="s">
        <v>276</v>
      </c>
      <c r="H131" s="33" t="s">
        <v>310</v>
      </c>
      <c r="I131" s="33">
        <v>8</v>
      </c>
      <c r="J131" s="33"/>
      <c r="K131" s="33"/>
      <c r="L131" s="33"/>
      <c r="M131" s="33"/>
      <c r="N131" s="33"/>
      <c r="O131" s="33"/>
      <c r="P131" s="33"/>
      <c r="Q131" s="33"/>
      <c r="R131" s="33"/>
    </row>
    <row r="132" spans="1:18" hidden="1">
      <c r="A132" s="32" t="str">
        <f>[Table Name]&amp;"-"&amp;(COUNTIF($B$1:TableData[[#This Row],[Table Name]],TableData[[#This Row],[Table Name]])-1)</f>
        <v>Resource Relations-42</v>
      </c>
      <c r="B132" s="31" t="s">
        <v>348</v>
      </c>
      <c r="C1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42</v>
      </c>
      <c r="D132" s="33">
        <v>20</v>
      </c>
      <c r="E132" s="33" t="s">
        <v>535</v>
      </c>
      <c r="F132" s="33" t="s">
        <v>538</v>
      </c>
      <c r="G132" s="33" t="s">
        <v>537</v>
      </c>
      <c r="H132" s="33" t="s">
        <v>250</v>
      </c>
      <c r="I132" s="33">
        <v>24</v>
      </c>
      <c r="J132" s="33"/>
      <c r="K132" s="33"/>
      <c r="L132" s="33"/>
      <c r="M132" s="33"/>
      <c r="N132" s="33"/>
      <c r="O132" s="33"/>
      <c r="P132" s="33"/>
      <c r="Q132" s="33"/>
      <c r="R132" s="33"/>
    </row>
    <row r="133" spans="1:18" hidden="1">
      <c r="A133" s="32" t="str">
        <f>[Table Name]&amp;"-"&amp;(COUNTIF($B$1:TableData[[#This Row],[Table Name]],TableData[[#This Row],[Table Name]])-1)</f>
        <v>Resource Relations-43</v>
      </c>
      <c r="B133" s="31" t="s">
        <v>348</v>
      </c>
      <c r="C1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43</v>
      </c>
      <c r="D133" s="33">
        <v>9</v>
      </c>
      <c r="E133" s="33" t="s">
        <v>555</v>
      </c>
      <c r="F133" s="33" t="s">
        <v>556</v>
      </c>
      <c r="G133" s="33" t="s">
        <v>557</v>
      </c>
      <c r="H133" s="33" t="s">
        <v>250</v>
      </c>
      <c r="I133" s="33">
        <v>14</v>
      </c>
      <c r="J133" s="33"/>
      <c r="K133" s="33"/>
      <c r="L133" s="33"/>
      <c r="M133" s="33"/>
      <c r="N133" s="33"/>
      <c r="O133" s="33"/>
      <c r="P133" s="33"/>
      <c r="Q133" s="33"/>
      <c r="R133" s="33"/>
    </row>
    <row r="134" spans="1:18" hidden="1">
      <c r="A134" s="32" t="str">
        <f>[Table Name]&amp;"-"&amp;(COUNTIF($B$1:TableData[[#This Row],[Table Name]],TableData[[#This Row],[Table Name]])-1)</f>
        <v>Resource Relations-44</v>
      </c>
      <c r="B134" s="31" t="s">
        <v>348</v>
      </c>
      <c r="C1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44</v>
      </c>
      <c r="D134" s="33">
        <v>4</v>
      </c>
      <c r="E134" s="33" t="s">
        <v>622</v>
      </c>
      <c r="F134" s="33" t="s">
        <v>621</v>
      </c>
      <c r="G134" s="33" t="s">
        <v>620</v>
      </c>
      <c r="H134" s="33" t="s">
        <v>250</v>
      </c>
      <c r="I134" s="33">
        <v>37</v>
      </c>
      <c r="J134" s="33"/>
      <c r="K134" s="33"/>
      <c r="L134" s="33"/>
      <c r="M134" s="33"/>
      <c r="N134" s="33"/>
      <c r="O134" s="33"/>
      <c r="P134" s="33"/>
      <c r="Q134" s="33"/>
      <c r="R134" s="33"/>
    </row>
    <row r="135" spans="1:18" hidden="1">
      <c r="A135" s="32" t="str">
        <f>[Table Name]&amp;"-"&amp;(COUNTIF($B$1:TableData[[#This Row],[Table Name]],TableData[[#This Row],[Table Name]])-1)</f>
        <v>Resource Relations-45</v>
      </c>
      <c r="B135" s="31" t="s">
        <v>348</v>
      </c>
      <c r="C1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45</v>
      </c>
      <c r="D135" s="33">
        <v>37</v>
      </c>
      <c r="E135" s="33" t="s">
        <v>603</v>
      </c>
      <c r="F135" s="33" t="s">
        <v>623</v>
      </c>
      <c r="G135" s="33" t="s">
        <v>489</v>
      </c>
      <c r="H135" s="33" t="s">
        <v>250</v>
      </c>
      <c r="I135" s="33">
        <v>38</v>
      </c>
      <c r="J135" s="33"/>
      <c r="K135" s="33"/>
      <c r="L135" s="33"/>
      <c r="M135" s="33"/>
      <c r="N135" s="33"/>
      <c r="O135" s="33"/>
      <c r="P135" s="33"/>
      <c r="Q135" s="33"/>
      <c r="R135" s="33"/>
    </row>
    <row r="136" spans="1:18" hidden="1">
      <c r="A136" s="32" t="str">
        <f>[Table Name]&amp;"-"&amp;(COUNTIF($B$1:TableData[[#This Row],[Table Name]],TableData[[#This Row],[Table Name]])-1)</f>
        <v>Resource Relations-46</v>
      </c>
      <c r="B136" s="31" t="s">
        <v>348</v>
      </c>
      <c r="C1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46</v>
      </c>
      <c r="D136" s="33">
        <v>38</v>
      </c>
      <c r="E136" s="33" t="s">
        <v>604</v>
      </c>
      <c r="F136" s="33" t="s">
        <v>624</v>
      </c>
      <c r="G136" s="33" t="s">
        <v>496</v>
      </c>
      <c r="H136" s="33" t="s">
        <v>250</v>
      </c>
      <c r="I136" s="33">
        <v>39</v>
      </c>
      <c r="J136" s="33"/>
      <c r="K136" s="33"/>
      <c r="L136" s="33"/>
      <c r="M136" s="33"/>
      <c r="N136" s="33"/>
      <c r="O136" s="33"/>
      <c r="P136" s="33"/>
      <c r="Q136" s="33"/>
      <c r="R136" s="33"/>
    </row>
    <row r="137" spans="1:18" hidden="1">
      <c r="A137" s="32" t="str">
        <f>[Table Name]&amp;"-"&amp;(COUNTIF($B$1:TableData[[#This Row],[Table Name]],TableData[[#This Row],[Table Name]])-1)</f>
        <v>Resource Relations-47</v>
      </c>
      <c r="B137" s="31" t="s">
        <v>348</v>
      </c>
      <c r="C1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47</v>
      </c>
      <c r="D137" s="33">
        <v>37</v>
      </c>
      <c r="E137" s="33" t="s">
        <v>625</v>
      </c>
      <c r="F137" s="33" t="s">
        <v>626</v>
      </c>
      <c r="G137" s="33" t="s">
        <v>204</v>
      </c>
      <c r="H137" s="33" t="s">
        <v>310</v>
      </c>
      <c r="I137" s="33">
        <v>4</v>
      </c>
      <c r="J137" s="33"/>
      <c r="K137" s="33"/>
      <c r="L137" s="33"/>
      <c r="M137" s="33"/>
      <c r="N137" s="33"/>
      <c r="O137" s="33"/>
      <c r="P137" s="33"/>
      <c r="Q137" s="33"/>
      <c r="R137" s="33"/>
    </row>
    <row r="138" spans="1:18" hidden="1">
      <c r="A138" s="32" t="str">
        <f>[Table Name]&amp;"-"&amp;(COUNTIF($B$1:TableData[[#This Row],[Table Name]],TableData[[#This Row],[Table Name]])-1)</f>
        <v>Resource Relations-48</v>
      </c>
      <c r="B138" s="31" t="s">
        <v>348</v>
      </c>
      <c r="C1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48</v>
      </c>
      <c r="D138" s="33">
        <v>9</v>
      </c>
      <c r="E138" s="33" t="s">
        <v>658</v>
      </c>
      <c r="F138" s="33" t="s">
        <v>654</v>
      </c>
      <c r="G138" s="33" t="s">
        <v>657</v>
      </c>
      <c r="H138" s="33" t="s">
        <v>310</v>
      </c>
      <c r="I138" s="33">
        <v>15</v>
      </c>
      <c r="J138" s="33"/>
      <c r="K138" s="33"/>
      <c r="L138" s="33"/>
      <c r="M138" s="33"/>
      <c r="N138" s="33"/>
      <c r="O138" s="33"/>
      <c r="P138" s="33"/>
      <c r="Q138" s="33"/>
      <c r="R138" s="33"/>
    </row>
    <row r="139" spans="1:18" hidden="1">
      <c r="A139" s="32" t="str">
        <f>[Table Name]&amp;"-"&amp;(COUNTIF($B$1:TableData[[#This Row],[Table Name]],TableData[[#This Row],[Table Name]])-1)</f>
        <v>Resource Relations-49</v>
      </c>
      <c r="B139" s="31" t="s">
        <v>348</v>
      </c>
      <c r="C1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49</v>
      </c>
      <c r="D139" s="33">
        <v>25</v>
      </c>
      <c r="E139" s="33" t="s">
        <v>667</v>
      </c>
      <c r="F139" s="33" t="s">
        <v>668</v>
      </c>
      <c r="G139" s="33" t="s">
        <v>422</v>
      </c>
      <c r="H139" s="33" t="s">
        <v>212</v>
      </c>
      <c r="I139" s="33">
        <v>7</v>
      </c>
      <c r="J139" s="33"/>
      <c r="K139" s="33"/>
      <c r="L139" s="33"/>
      <c r="M139" s="33"/>
      <c r="N139" s="33"/>
      <c r="O139" s="33"/>
      <c r="P139" s="33"/>
      <c r="Q139" s="33"/>
      <c r="R139" s="33"/>
    </row>
    <row r="140" spans="1:18" hidden="1">
      <c r="A140" s="32" t="str">
        <f>[Table Name]&amp;"-"&amp;(COUNTIF($B$1:TableData[[#This Row],[Table Name]],TableData[[#This Row],[Table Name]])-1)</f>
        <v>Resource Relations-50</v>
      </c>
      <c r="B140" s="31" t="s">
        <v>348</v>
      </c>
      <c r="C1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</v>
      </c>
      <c r="D140" s="33">
        <v>20</v>
      </c>
      <c r="E140" s="33" t="s">
        <v>669</v>
      </c>
      <c r="F140" s="33" t="s">
        <v>670</v>
      </c>
      <c r="G140" s="33" t="s">
        <v>253</v>
      </c>
      <c r="H140" s="33" t="s">
        <v>212</v>
      </c>
      <c r="I140" s="33">
        <v>30</v>
      </c>
      <c r="J140" s="33"/>
      <c r="K140" s="33"/>
      <c r="L140" s="33"/>
      <c r="M140" s="33"/>
      <c r="N140" s="33"/>
      <c r="O140" s="33"/>
      <c r="P140" s="33"/>
      <c r="Q140" s="33"/>
      <c r="R140" s="33"/>
    </row>
    <row r="141" spans="1:18" hidden="1">
      <c r="A141" s="32" t="str">
        <f>[Table Name]&amp;"-"&amp;(COUNTIF($B$1:TableData[[#This Row],[Table Name]],TableData[[#This Row],[Table Name]])-1)</f>
        <v>Resource Relations-51</v>
      </c>
      <c r="B141" s="31" t="s">
        <v>348</v>
      </c>
      <c r="C1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51</v>
      </c>
      <c r="D141" s="33">
        <v>25</v>
      </c>
      <c r="E141" s="33" t="s">
        <v>671</v>
      </c>
      <c r="F141" s="33" t="s">
        <v>672</v>
      </c>
      <c r="G141" s="33" t="s">
        <v>253</v>
      </c>
      <c r="H141" s="33" t="s">
        <v>212</v>
      </c>
      <c r="I141" s="33">
        <v>30</v>
      </c>
      <c r="J141" s="33"/>
      <c r="K141" s="33"/>
      <c r="L141" s="33"/>
      <c r="M141" s="33"/>
      <c r="N141" s="33"/>
      <c r="O141" s="33"/>
      <c r="P141" s="33"/>
      <c r="Q141" s="33"/>
      <c r="R141" s="33"/>
    </row>
    <row r="142" spans="1:18" hidden="1">
      <c r="A142" s="32" t="str">
        <f>[Table Name]&amp;"-"&amp;(COUNTIF($B$1:TableData[[#This Row],[Table Name]],TableData[[#This Row],[Table Name]])-1)</f>
        <v>Resource Relations-52</v>
      </c>
      <c r="B142" s="31" t="s">
        <v>348</v>
      </c>
      <c r="C1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52</v>
      </c>
      <c r="D142" s="33">
        <v>14</v>
      </c>
      <c r="E142" s="33" t="s">
        <v>725</v>
      </c>
      <c r="F142" s="33" t="s">
        <v>724</v>
      </c>
      <c r="G142" s="33" t="s">
        <v>13</v>
      </c>
      <c r="H142" s="33" t="s">
        <v>310</v>
      </c>
      <c r="I142" s="33">
        <v>9</v>
      </c>
      <c r="J142" s="33"/>
      <c r="K142" s="33"/>
      <c r="L142" s="33"/>
      <c r="M142" s="33"/>
      <c r="N142" s="33"/>
      <c r="O142" s="33"/>
      <c r="P142" s="33"/>
      <c r="Q142" s="33"/>
      <c r="R142" s="33"/>
    </row>
    <row r="143" spans="1:18" hidden="1">
      <c r="A143" s="32" t="str">
        <f>[Table Name]&amp;"-"&amp;(COUNTIF($B$1:TableData[[#This Row],[Table Name]],TableData[[#This Row],[Table Name]])-1)</f>
        <v>Resource Relations-53</v>
      </c>
      <c r="B143" s="31" t="s">
        <v>348</v>
      </c>
      <c r="C1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53</v>
      </c>
      <c r="D143" s="33">
        <v>4</v>
      </c>
      <c r="E143" s="33" t="s">
        <v>347</v>
      </c>
      <c r="F143" s="33" t="s">
        <v>765</v>
      </c>
      <c r="G143" s="33" t="s">
        <v>300</v>
      </c>
      <c r="H143" s="33" t="s">
        <v>250</v>
      </c>
      <c r="I143" s="33">
        <v>20</v>
      </c>
      <c r="J143" s="33"/>
      <c r="K143" s="33"/>
      <c r="L143" s="33"/>
      <c r="M143" s="33"/>
      <c r="N143" s="33"/>
      <c r="O143" s="33"/>
      <c r="P143" s="33"/>
      <c r="Q143" s="33"/>
      <c r="R143" s="33"/>
    </row>
    <row r="144" spans="1:18" hidden="1">
      <c r="A144" s="32" t="str">
        <f>[Table Name]&amp;"-"&amp;(COUNTIF($B$1:TableData[[#This Row],[Table Name]],TableData[[#This Row],[Table Name]])-1)</f>
        <v>Resource Relations-54</v>
      </c>
      <c r="B144" s="31" t="s">
        <v>348</v>
      </c>
      <c r="C1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54</v>
      </c>
      <c r="D144" s="33">
        <v>4</v>
      </c>
      <c r="E144" s="33" t="s">
        <v>439</v>
      </c>
      <c r="F144" s="33" t="s">
        <v>766</v>
      </c>
      <c r="G144" s="33" t="s">
        <v>302</v>
      </c>
      <c r="H144" s="33" t="s">
        <v>250</v>
      </c>
      <c r="I144" s="33">
        <v>25</v>
      </c>
      <c r="J144" s="33"/>
      <c r="K144" s="33"/>
      <c r="L144" s="33"/>
      <c r="M144" s="33"/>
      <c r="N144" s="33"/>
      <c r="O144" s="33"/>
      <c r="P144" s="33"/>
      <c r="Q144" s="33"/>
      <c r="R144" s="33"/>
    </row>
    <row r="145" spans="1:18" hidden="1">
      <c r="A145" s="32" t="str">
        <f>[Table Name]&amp;"-"&amp;(COUNTIF($B$1:TableData[[#This Row],[Table Name]],TableData[[#This Row],[Table Name]])-1)</f>
        <v>Resource Relations-55</v>
      </c>
      <c r="B145" s="31" t="s">
        <v>348</v>
      </c>
      <c r="C1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55</v>
      </c>
      <c r="D145" s="33">
        <v>8</v>
      </c>
      <c r="E145" s="33" t="s">
        <v>476</v>
      </c>
      <c r="F145" s="33" t="s">
        <v>767</v>
      </c>
      <c r="G145" s="33" t="s">
        <v>447</v>
      </c>
      <c r="H145" s="33" t="s">
        <v>250</v>
      </c>
      <c r="I145" s="33">
        <v>16</v>
      </c>
      <c r="J145" s="33"/>
      <c r="K145" s="33"/>
      <c r="L145" s="33"/>
      <c r="M145" s="33"/>
      <c r="N145" s="33"/>
      <c r="O145" s="33"/>
      <c r="P145" s="33"/>
      <c r="Q145" s="33"/>
      <c r="R145" s="33"/>
    </row>
    <row r="146" spans="1:18" hidden="1">
      <c r="A146" s="32" t="str">
        <f>[Table Name]&amp;"-"&amp;(COUNTIF($B$1:TableData[[#This Row],[Table Name]],TableData[[#This Row],[Table Name]])-1)</f>
        <v>Resource Relations-56</v>
      </c>
      <c r="B146" s="31" t="s">
        <v>348</v>
      </c>
      <c r="C1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56</v>
      </c>
      <c r="D146" s="33">
        <v>28</v>
      </c>
      <c r="E146" s="33" t="s">
        <v>768</v>
      </c>
      <c r="F146" s="33" t="s">
        <v>769</v>
      </c>
      <c r="G146" s="33" t="s">
        <v>496</v>
      </c>
      <c r="H146" s="33" t="s">
        <v>250</v>
      </c>
      <c r="I146" s="33">
        <v>29</v>
      </c>
      <c r="J146" s="33"/>
      <c r="K146" s="33"/>
      <c r="L146" s="33"/>
      <c r="M146" s="33"/>
      <c r="N146" s="33"/>
      <c r="O146" s="33"/>
      <c r="P146" s="33"/>
      <c r="Q146" s="33"/>
      <c r="R146" s="33"/>
    </row>
    <row r="147" spans="1:18" hidden="1">
      <c r="A147" s="17" t="str">
        <f>[Table Name]&amp;"-"&amp;(COUNTIF($B$1:TableData[[#This Row],[Table Name]],TableData[[#This Row],[Table Name]])-1)</f>
        <v>Resource Scopes-1</v>
      </c>
      <c r="B147" s="31" t="s">
        <v>346</v>
      </c>
      <c r="C1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47" s="31">
        <v>1</v>
      </c>
      <c r="E147" s="31" t="s">
        <v>771</v>
      </c>
      <c r="F147" s="31" t="s">
        <v>773</v>
      </c>
      <c r="G147" s="31" t="s">
        <v>161</v>
      </c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</row>
    <row r="148" spans="1:18" hidden="1">
      <c r="A148" s="17" t="str">
        <f>[Table Name]&amp;"-"&amp;(COUNTIF($B$1:TableData[[#This Row],[Table Name]],TableData[[#This Row],[Table Name]])-1)</f>
        <v>Resource Scopes-2</v>
      </c>
      <c r="B148" s="31" t="s">
        <v>346</v>
      </c>
      <c r="C1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48" s="31">
        <v>1</v>
      </c>
      <c r="E148" s="31" t="s">
        <v>772</v>
      </c>
      <c r="F148" s="31" t="s">
        <v>774</v>
      </c>
      <c r="G148" s="31" t="s">
        <v>160</v>
      </c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</row>
    <row r="149" spans="1:18">
      <c r="A149" s="16" t="str">
        <f>[Table Name]&amp;"-"&amp;(COUNTIF($B$1:TableData[[#This Row],[Table Name]],TableData[[#This Row],[Table Name]])-1)</f>
        <v>Resource Roles-1</v>
      </c>
      <c r="B149" s="14" t="s">
        <v>223</v>
      </c>
      <c r="C1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49" s="14">
        <v>1</v>
      </c>
      <c r="E149" s="14">
        <v>1</v>
      </c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</row>
    <row r="150" spans="1:18" hidden="1">
      <c r="A150" s="16" t="str">
        <f>[Table Name]&amp;"-"&amp;(COUNTIF($B$1:TableData[[#This Row],[Table Name]],TableData[[#This Row],[Table Name]])-1)</f>
        <v>Resource Forms-1</v>
      </c>
      <c r="B150" s="14" t="s">
        <v>339</v>
      </c>
      <c r="C1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50" s="14">
        <v>1</v>
      </c>
      <c r="E150" s="14" t="s">
        <v>776</v>
      </c>
      <c r="F150" s="14" t="s">
        <v>777</v>
      </c>
      <c r="G150" s="14" t="s">
        <v>273</v>
      </c>
      <c r="H150" s="14" t="s">
        <v>225</v>
      </c>
      <c r="I150" s="14"/>
      <c r="J150" s="14"/>
      <c r="K150" s="14"/>
      <c r="L150" s="14"/>
      <c r="M150" s="14"/>
      <c r="N150" s="14"/>
      <c r="O150" s="14"/>
      <c r="P150" s="14"/>
      <c r="Q150" s="14"/>
      <c r="R150" s="14"/>
    </row>
    <row r="151" spans="1:18" hidden="1">
      <c r="A151" s="16" t="str">
        <f>[Table Name]&amp;"-"&amp;(COUNTIF($B$1:TableData[[#This Row],[Table Name]],TableData[[#This Row],[Table Name]])-1)</f>
        <v>Form Fields-1</v>
      </c>
      <c r="B151" s="14" t="s">
        <v>317</v>
      </c>
      <c r="C1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51" s="14">
        <v>1</v>
      </c>
      <c r="E151" s="14" t="s">
        <v>26</v>
      </c>
      <c r="F151" s="14" t="s">
        <v>231</v>
      </c>
      <c r="G151" s="14" t="s">
        <v>1</v>
      </c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1:18" hidden="1">
      <c r="A152" s="15" t="str">
        <f>[Table Name]&amp;"-"&amp;(COUNTIF($B$1:TableData[[#This Row],[Table Name]],TableData[[#This Row],[Table Name]])-1)</f>
        <v>Form Fields-2</v>
      </c>
      <c r="B152" s="14" t="s">
        <v>317</v>
      </c>
      <c r="C15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52" s="13">
        <v>1</v>
      </c>
      <c r="E152" s="13" t="s">
        <v>138</v>
      </c>
      <c r="F152" s="13" t="s">
        <v>234</v>
      </c>
      <c r="G152" s="13" t="s">
        <v>235</v>
      </c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hidden="1">
      <c r="A153" s="15" t="str">
        <f>[Table Name]&amp;"-"&amp;(COUNTIF($B$1:TableData[[#This Row],[Table Name]],TableData[[#This Row],[Table Name]])-1)</f>
        <v>Form Fields-3</v>
      </c>
      <c r="B153" s="14" t="s">
        <v>317</v>
      </c>
      <c r="C15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53" s="13">
        <v>1</v>
      </c>
      <c r="E153" s="13" t="s">
        <v>232</v>
      </c>
      <c r="F153" s="13" t="s">
        <v>231</v>
      </c>
      <c r="G153" s="13" t="s">
        <v>233</v>
      </c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4" spans="1:18" hidden="1">
      <c r="A154" s="15" t="str">
        <f>[Table Name]&amp;"-"&amp;(COUNTIF($B$1:TableData[[#This Row],[Table Name]],TableData[[#This Row],[Table Name]])-1)</f>
        <v>Form Fields-4</v>
      </c>
      <c r="B154" s="14" t="s">
        <v>317</v>
      </c>
      <c r="C15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154" s="13">
        <v>1</v>
      </c>
      <c r="E154" s="13" t="s">
        <v>405</v>
      </c>
      <c r="F154" s="13" t="s">
        <v>405</v>
      </c>
      <c r="G154" s="13" t="s">
        <v>406</v>
      </c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 hidden="1">
      <c r="A155" s="16" t="str">
        <f>[Table Name]&amp;"-"&amp;(COUNTIF($B$1:TableData[[#This Row],[Table Name]],TableData[[#This Row],[Table Name]])-1)</f>
        <v>Field Data-1</v>
      </c>
      <c r="B155" s="14" t="s">
        <v>387</v>
      </c>
      <c r="C15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55" s="14">
        <v>1</v>
      </c>
      <c r="E155" s="14" t="s">
        <v>26</v>
      </c>
      <c r="F155" s="14" t="s">
        <v>245</v>
      </c>
      <c r="G155" s="14" t="s">
        <v>245</v>
      </c>
      <c r="H155" s="14" t="s">
        <v>245</v>
      </c>
      <c r="I155" s="14" t="s">
        <v>245</v>
      </c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1:18" hidden="1">
      <c r="A156" s="15" t="str">
        <f>[Table Name]&amp;"-"&amp;(COUNTIF($B$1:TableData[[#This Row],[Table Name]],TableData[[#This Row],[Table Name]])-1)</f>
        <v>Field Data-2</v>
      </c>
      <c r="B156" s="14" t="s">
        <v>387</v>
      </c>
      <c r="C15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56" s="13">
        <v>2</v>
      </c>
      <c r="E156" s="13" t="s">
        <v>138</v>
      </c>
      <c r="F156" s="13">
        <v>1</v>
      </c>
      <c r="G156" s="13" t="s">
        <v>245</v>
      </c>
      <c r="H156" s="13" t="s">
        <v>245</v>
      </c>
      <c r="I156" s="13" t="s">
        <v>245</v>
      </c>
      <c r="J156" s="13"/>
      <c r="K156" s="13"/>
      <c r="L156" s="13"/>
      <c r="M156" s="13"/>
      <c r="N156" s="13"/>
      <c r="O156" s="13"/>
      <c r="P156" s="13"/>
      <c r="Q156" s="13"/>
      <c r="R156" s="13"/>
    </row>
    <row r="157" spans="1:18" hidden="1">
      <c r="A157" s="15" t="str">
        <f>[Table Name]&amp;"-"&amp;(COUNTIF($B$1:TableData[[#This Row],[Table Name]],TableData[[#This Row],[Table Name]])-1)</f>
        <v>Field Data-3</v>
      </c>
      <c r="B157" s="14" t="s">
        <v>387</v>
      </c>
      <c r="C15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57" s="13">
        <v>3</v>
      </c>
      <c r="E157" s="13" t="s">
        <v>232</v>
      </c>
      <c r="F157" s="13" t="s">
        <v>245</v>
      </c>
      <c r="G157" s="13" t="s">
        <v>245</v>
      </c>
      <c r="H157" s="13" t="s">
        <v>245</v>
      </c>
      <c r="I157" s="13" t="s">
        <v>245</v>
      </c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 hidden="1">
      <c r="A158" s="15" t="str">
        <f>[Table Name]&amp;"-"&amp;(COUNTIF($B$1:TableData[[#This Row],[Table Name]],TableData[[#This Row],[Table Name]])-1)</f>
        <v>Field Data-4</v>
      </c>
      <c r="B158" s="14" t="s">
        <v>387</v>
      </c>
      <c r="C15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158" s="13">
        <v>4</v>
      </c>
      <c r="E158" s="13" t="s">
        <v>405</v>
      </c>
      <c r="F158" s="13" t="s">
        <v>245</v>
      </c>
      <c r="G158" s="13" t="s">
        <v>245</v>
      </c>
      <c r="H158" s="13" t="s">
        <v>245</v>
      </c>
      <c r="I158" s="13" t="s">
        <v>245</v>
      </c>
      <c r="J158" s="13"/>
      <c r="K158" s="13"/>
      <c r="L158" s="13"/>
      <c r="M158" s="13"/>
      <c r="N158" s="13"/>
      <c r="O158" s="13"/>
      <c r="P158" s="13"/>
      <c r="Q158" s="13"/>
      <c r="R158" s="13"/>
    </row>
    <row r="159" spans="1:18" hidden="1">
      <c r="A159" s="16" t="str">
        <f>[Table Name]&amp;"-"&amp;(COUNTIF($B$1:TableData[[#This Row],[Table Name]],TableData[[#This Row],[Table Name]])-1)</f>
        <v>Form Layout-1</v>
      </c>
      <c r="B159" s="14" t="s">
        <v>476</v>
      </c>
      <c r="C15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59" s="14">
        <v>1</v>
      </c>
      <c r="E159" s="14">
        <v>1</v>
      </c>
      <c r="F159" s="14">
        <v>6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</row>
    <row r="160" spans="1:18" hidden="1">
      <c r="A160" s="15" t="str">
        <f>[Table Name]&amp;"-"&amp;(COUNTIF($B$1:TableData[[#This Row],[Table Name]],TableData[[#This Row],[Table Name]])-1)</f>
        <v>Form Layout-2</v>
      </c>
      <c r="B160" s="14" t="s">
        <v>476</v>
      </c>
      <c r="C16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60" s="13">
        <v>1</v>
      </c>
      <c r="E160" s="13">
        <v>2</v>
      </c>
      <c r="F160" s="13">
        <v>6</v>
      </c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</row>
    <row r="161" spans="1:18" hidden="1">
      <c r="A161" s="15" t="str">
        <f>[Table Name]&amp;"-"&amp;(COUNTIF($B$1:TableData[[#This Row],[Table Name]],TableData[[#This Row],[Table Name]])-1)</f>
        <v>Form Layout-3</v>
      </c>
      <c r="B161" s="14" t="s">
        <v>476</v>
      </c>
      <c r="C16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61" s="13">
        <v>1</v>
      </c>
      <c r="E161" s="13">
        <v>3</v>
      </c>
      <c r="F161" s="13">
        <v>6</v>
      </c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</row>
    <row r="162" spans="1:18" hidden="1">
      <c r="A162" s="15" t="str">
        <f>[Table Name]&amp;"-"&amp;(COUNTIF($B$1:TableData[[#This Row],[Table Name]],TableData[[#This Row],[Table Name]])-1)</f>
        <v>Form Layout-4</v>
      </c>
      <c r="B162" s="14" t="s">
        <v>476</v>
      </c>
      <c r="C16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162" s="13">
        <v>1</v>
      </c>
      <c r="E162" s="13">
        <v>4</v>
      </c>
      <c r="F162" s="13">
        <v>6</v>
      </c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</row>
    <row r="163" spans="1:18" hidden="1">
      <c r="A163" s="16" t="str">
        <f>[Table Name]&amp;"-"&amp;(COUNTIF($B$1:TableData[[#This Row],[Table Name]],TableData[[#This Row],[Table Name]])-1)</f>
        <v>Resource Actions-1</v>
      </c>
      <c r="B163" s="14" t="s">
        <v>255</v>
      </c>
      <c r="C16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63" s="14">
        <v>1</v>
      </c>
      <c r="E163" s="14" t="s">
        <v>808</v>
      </c>
      <c r="F163" s="14" t="s">
        <v>809</v>
      </c>
      <c r="G163" s="14" t="s">
        <v>273</v>
      </c>
      <c r="H163" s="14" t="s">
        <v>803</v>
      </c>
      <c r="I163" s="14" t="s">
        <v>225</v>
      </c>
      <c r="J163" s="14"/>
      <c r="K163" s="14"/>
      <c r="L163" s="14"/>
      <c r="M163" s="14"/>
      <c r="N163" s="14"/>
      <c r="O163" s="14"/>
      <c r="P163" s="14"/>
      <c r="Q163" s="14"/>
      <c r="R163" s="14"/>
    </row>
    <row r="164" spans="1:18" hidden="1">
      <c r="A164" s="16" t="str">
        <f>[Table Name]&amp;"-"&amp;(COUNTIF($B$1:TableData[[#This Row],[Table Name]],TableData[[#This Row],[Table Name]])-1)</f>
        <v>Action Method-1</v>
      </c>
      <c r="B164" s="14" t="s">
        <v>816</v>
      </c>
      <c r="C16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64" s="14">
        <v>1</v>
      </c>
      <c r="E164" s="14" t="s">
        <v>276</v>
      </c>
      <c r="F164" s="14">
        <v>1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</row>
    <row r="165" spans="1:18" hidden="1">
      <c r="A165" s="16" t="str">
        <f>[Table Name]&amp;"-"&amp;(COUNTIF($B$1:TableData[[#This Row],[Table Name]],TableData[[#This Row],[Table Name]])-1)</f>
        <v>Resource Lists-1</v>
      </c>
      <c r="B165" s="14" t="s">
        <v>347</v>
      </c>
      <c r="C16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65" s="14">
        <v>1</v>
      </c>
      <c r="E165" s="14" t="s">
        <v>810</v>
      </c>
      <c r="F165" s="14" t="s">
        <v>811</v>
      </c>
      <c r="G165" s="14" t="s">
        <v>180</v>
      </c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</row>
    <row r="166" spans="1:18" hidden="1">
      <c r="A166" s="16" t="str">
        <f>[Table Name]&amp;"-"&amp;(COUNTIF($B$1:TableData[[#This Row],[Table Name]],TableData[[#This Row],[Table Name]])-1)</f>
        <v>List Relation-1</v>
      </c>
      <c r="B166" s="14" t="s">
        <v>815</v>
      </c>
      <c r="C16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66" s="14">
        <v>1</v>
      </c>
      <c r="E166" s="14">
        <v>1</v>
      </c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</row>
    <row r="167" spans="1:18" hidden="1">
      <c r="A167" s="16" t="str">
        <f>[Table Name]&amp;"-"&amp;(COUNTIF($B$1:TableData[[#This Row],[Table Name]],TableData[[#This Row],[Table Name]])-1)</f>
        <v>List Layout-1</v>
      </c>
      <c r="B167" s="14" t="s">
        <v>445</v>
      </c>
      <c r="C16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67" s="14">
        <v>1</v>
      </c>
      <c r="E167" s="14" t="s">
        <v>1</v>
      </c>
      <c r="F167" s="14" t="s">
        <v>26</v>
      </c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1:18" hidden="1">
      <c r="A168" s="16" t="str">
        <f>[Table Name]&amp;"-"&amp;(COUNTIF($B$1:TableData[[#This Row],[Table Name]],TableData[[#This Row],[Table Name]])-1)</f>
        <v>List Layout-2</v>
      </c>
      <c r="B168" s="14" t="s">
        <v>445</v>
      </c>
      <c r="C16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68" s="14">
        <v>1</v>
      </c>
      <c r="E168" s="14" t="s">
        <v>233</v>
      </c>
      <c r="F168" s="14" t="s">
        <v>232</v>
      </c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</row>
    <row r="169" spans="1:18" hidden="1">
      <c r="A169" s="16" t="str">
        <f>[Table Name]&amp;"-"&amp;(COUNTIF($B$1:TableData[[#This Row],[Table Name]],TableData[[#This Row],[Table Name]])-1)</f>
        <v>List Layout-3</v>
      </c>
      <c r="B169" s="14" t="s">
        <v>445</v>
      </c>
      <c r="C16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69" s="14">
        <v>1</v>
      </c>
      <c r="E169" s="14" t="s">
        <v>177</v>
      </c>
      <c r="F169" s="14" t="s">
        <v>30</v>
      </c>
      <c r="G169" s="14">
        <v>1</v>
      </c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</row>
    <row r="170" spans="1:18" hidden="1">
      <c r="A170" s="16" t="str">
        <f>[Table Name]&amp;"-"&amp;(COUNTIF($B$1:TableData[[#This Row],[Table Name]],TableData[[#This Row],[Table Name]])-1)</f>
        <v>Resource Actions-2</v>
      </c>
      <c r="B170" s="14" t="s">
        <v>255</v>
      </c>
      <c r="C17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70" s="14">
        <v>1</v>
      </c>
      <c r="E170" s="14" t="s">
        <v>812</v>
      </c>
      <c r="F170" s="14" t="s">
        <v>813</v>
      </c>
      <c r="G170" s="14" t="s">
        <v>180</v>
      </c>
      <c r="H170" s="14" t="s">
        <v>803</v>
      </c>
      <c r="I170" s="14" t="s">
        <v>277</v>
      </c>
      <c r="J170" s="14"/>
      <c r="K170" s="14"/>
      <c r="L170" s="14"/>
      <c r="M170" s="14"/>
      <c r="N170" s="14"/>
      <c r="O170" s="14"/>
      <c r="P170" s="14"/>
      <c r="Q170" s="14"/>
      <c r="R170" s="14"/>
    </row>
    <row r="171" spans="1:18" hidden="1">
      <c r="A171" s="16" t="str">
        <f>[Table Name]&amp;"-"&amp;(COUNTIF($B$1:TableData[[#This Row],[Table Name]],TableData[[#This Row],[Table Name]])-1)</f>
        <v>Action Method-2</v>
      </c>
      <c r="B171" s="14" t="s">
        <v>816</v>
      </c>
      <c r="C17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71" s="14">
        <v>2</v>
      </c>
      <c r="E171" s="14" t="s">
        <v>278</v>
      </c>
      <c r="F171" s="14">
        <v>1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1:18" hidden="1">
      <c r="A172" s="16" t="str">
        <f>[Table Name]&amp;"-"&amp;(COUNTIF($B$1:TableData[[#This Row],[Table Name]],TableData[[#This Row],[Table Name]])-1)</f>
        <v>Field Options-1</v>
      </c>
      <c r="B172" s="14" t="s">
        <v>366</v>
      </c>
      <c r="C17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72" s="14">
        <v>2</v>
      </c>
      <c r="E172" s="14" t="s">
        <v>673</v>
      </c>
      <c r="F172" s="14"/>
      <c r="G172" s="14" t="s">
        <v>21</v>
      </c>
      <c r="H172" s="14" t="s">
        <v>30</v>
      </c>
      <c r="I172" s="14" t="s">
        <v>674</v>
      </c>
      <c r="J172" s="14"/>
      <c r="K172" s="14"/>
      <c r="L172" s="14"/>
      <c r="M172" s="14"/>
      <c r="N172" s="14"/>
      <c r="O172" s="14"/>
      <c r="P172" s="14"/>
      <c r="Q172" s="14"/>
      <c r="R172" s="14"/>
    </row>
    <row r="173" spans="1:18" hidden="1">
      <c r="A173" s="16" t="str">
        <f>[Table Name]&amp;"-"&amp;(COUNTIF($B$1:TableData[[#This Row],[Table Name]],TableData[[#This Row],[Table Name]])-1)</f>
        <v>Resource Data-1</v>
      </c>
      <c r="B173" s="14" t="s">
        <v>439</v>
      </c>
      <c r="C17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73" s="14">
        <v>1</v>
      </c>
      <c r="E173" s="14" t="s">
        <v>823</v>
      </c>
      <c r="F173" s="14" t="s">
        <v>824</v>
      </c>
      <c r="G173" s="14" t="s">
        <v>26</v>
      </c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</row>
    <row r="174" spans="1:18" hidden="1">
      <c r="A174" s="16" t="str">
        <f>[Table Name]&amp;"-"&amp;(COUNTIF($B$1:TableData[[#This Row],[Table Name]],TableData[[#This Row],[Table Name]])-1)</f>
        <v>Resource Forms-2</v>
      </c>
      <c r="B174" s="14" t="s">
        <v>339</v>
      </c>
      <c r="C17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74" s="14">
        <v>1</v>
      </c>
      <c r="E174" s="14" t="s">
        <v>820</v>
      </c>
      <c r="F174" s="14" t="s">
        <v>830</v>
      </c>
      <c r="G174" s="14" t="s">
        <v>821</v>
      </c>
      <c r="H174" s="14" t="s">
        <v>822</v>
      </c>
      <c r="I174" s="14"/>
      <c r="J174" s="14"/>
      <c r="K174" s="14"/>
      <c r="L174" s="14"/>
      <c r="M174" s="14"/>
      <c r="N174" s="14"/>
      <c r="O174" s="14"/>
      <c r="P174" s="14"/>
      <c r="Q174" s="14"/>
      <c r="R174" s="14"/>
    </row>
    <row r="175" spans="1:18" hidden="1">
      <c r="A175" s="15" t="str">
        <f>[Table Name]&amp;"-"&amp;(COUNTIF($B$1:TableData[[#This Row],[Table Name]],TableData[[#This Row],[Table Name]])-1)</f>
        <v>Form Fields-5</v>
      </c>
      <c r="B175" s="14" t="s">
        <v>317</v>
      </c>
      <c r="C17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175" s="13">
        <v>2</v>
      </c>
      <c r="E175" s="13" t="s">
        <v>26</v>
      </c>
      <c r="F175" s="13" t="s">
        <v>231</v>
      </c>
      <c r="G175" s="13" t="s">
        <v>1</v>
      </c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1:18" hidden="1">
      <c r="A176" s="15" t="str">
        <f>[Table Name]&amp;"-"&amp;(COUNTIF($B$1:TableData[[#This Row],[Table Name]],TableData[[#This Row],[Table Name]])-1)</f>
        <v>Form Fields-6</v>
      </c>
      <c r="B176" s="14" t="s">
        <v>317</v>
      </c>
      <c r="C17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176" s="13">
        <v>2</v>
      </c>
      <c r="E176" s="13" t="s">
        <v>232</v>
      </c>
      <c r="F176" s="13" t="s">
        <v>231</v>
      </c>
      <c r="G176" s="13" t="s">
        <v>233</v>
      </c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</row>
    <row r="177" spans="1:18" hidden="1">
      <c r="A177" s="15" t="str">
        <f>[Table Name]&amp;"-"&amp;(COUNTIF($B$1:TableData[[#This Row],[Table Name]],TableData[[#This Row],[Table Name]])-1)</f>
        <v>Form Fields-7</v>
      </c>
      <c r="B177" s="14" t="s">
        <v>317</v>
      </c>
      <c r="C17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177" s="13">
        <v>2</v>
      </c>
      <c r="E177" s="13" t="s">
        <v>138</v>
      </c>
      <c r="F177" s="13" t="s">
        <v>828</v>
      </c>
      <c r="G177" s="13" t="s">
        <v>235</v>
      </c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</row>
    <row r="178" spans="1:18" hidden="1">
      <c r="A178" s="15" t="str">
        <f>[Table Name]&amp;"-"&amp;(COUNTIF($B$1:TableData[[#This Row],[Table Name]],TableData[[#This Row],[Table Name]])-1)</f>
        <v>Field Data-5</v>
      </c>
      <c r="B178" s="14" t="s">
        <v>387</v>
      </c>
      <c r="C17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178" s="13">
        <v>5</v>
      </c>
      <c r="E178" s="13" t="s">
        <v>26</v>
      </c>
      <c r="F178" s="13" t="s">
        <v>245</v>
      </c>
      <c r="G178" s="13" t="s">
        <v>245</v>
      </c>
      <c r="H178" s="13" t="s">
        <v>245</v>
      </c>
      <c r="I178" s="13" t="s">
        <v>245</v>
      </c>
      <c r="J178" s="13"/>
      <c r="K178" s="13"/>
      <c r="L178" s="13"/>
      <c r="M178" s="13"/>
      <c r="N178" s="13"/>
      <c r="O178" s="13"/>
      <c r="P178" s="13"/>
      <c r="Q178" s="13"/>
      <c r="R178" s="13"/>
    </row>
    <row r="179" spans="1:18" hidden="1">
      <c r="A179" s="15" t="str">
        <f>[Table Name]&amp;"-"&amp;(COUNTIF($B$1:TableData[[#This Row],[Table Name]],TableData[[#This Row],[Table Name]])-1)</f>
        <v>Field Data-6</v>
      </c>
      <c r="B179" s="14" t="s">
        <v>387</v>
      </c>
      <c r="C17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179" s="13">
        <v>6</v>
      </c>
      <c r="E179" s="13" t="s">
        <v>232</v>
      </c>
      <c r="F179" s="13" t="s">
        <v>245</v>
      </c>
      <c r="G179" s="13" t="s">
        <v>245</v>
      </c>
      <c r="H179" s="13" t="s">
        <v>245</v>
      </c>
      <c r="I179" s="13" t="s">
        <v>245</v>
      </c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1:18" hidden="1">
      <c r="A180" s="15" t="str">
        <f>[Table Name]&amp;"-"&amp;(COUNTIF($B$1:TableData[[#This Row],[Table Name]],TableData[[#This Row],[Table Name]])-1)</f>
        <v>Field Data-7</v>
      </c>
      <c r="B180" s="14" t="s">
        <v>387</v>
      </c>
      <c r="C18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180" s="13">
        <v>7</v>
      </c>
      <c r="E180" s="13" t="s">
        <v>138</v>
      </c>
      <c r="F180" s="13">
        <v>1</v>
      </c>
      <c r="G180" s="13" t="s">
        <v>245</v>
      </c>
      <c r="H180" s="13" t="s">
        <v>245</v>
      </c>
      <c r="I180" s="13" t="s">
        <v>245</v>
      </c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 hidden="1">
      <c r="A181" s="16" t="str">
        <f>[Table Name]&amp;"-"&amp;(COUNTIF($B$1:TableData[[#This Row],[Table Name]],TableData[[#This Row],[Table Name]])-1)</f>
        <v>Field Options-2</v>
      </c>
      <c r="B181" s="14" t="s">
        <v>366</v>
      </c>
      <c r="C18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81" s="14">
        <v>7</v>
      </c>
      <c r="E181" s="14" t="s">
        <v>673</v>
      </c>
      <c r="F181" s="14"/>
      <c r="G181" s="14" t="s">
        <v>21</v>
      </c>
      <c r="H181" s="14" t="s">
        <v>30</v>
      </c>
      <c r="I181" s="14" t="s">
        <v>674</v>
      </c>
      <c r="J181" s="14"/>
      <c r="K181" s="14"/>
      <c r="L181" s="14"/>
      <c r="M181" s="14"/>
      <c r="N181" s="14"/>
      <c r="O181" s="14"/>
      <c r="P181" s="14"/>
      <c r="Q181" s="14"/>
      <c r="R181" s="14"/>
    </row>
    <row r="182" spans="1:18" hidden="1">
      <c r="A182" s="16" t="str">
        <f>[Table Name]&amp;"-"&amp;(COUNTIF($B$1:TableData[[#This Row],[Table Name]],TableData[[#This Row],[Table Name]])-1)</f>
        <v>Resource Actions-3</v>
      </c>
      <c r="B182" s="13" t="s">
        <v>255</v>
      </c>
      <c r="C18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82" s="14">
        <v>1</v>
      </c>
      <c r="E182" s="14" t="s">
        <v>825</v>
      </c>
      <c r="F182" s="14" t="s">
        <v>826</v>
      </c>
      <c r="G182" s="14" t="s">
        <v>827</v>
      </c>
      <c r="H182" s="14" t="s">
        <v>803</v>
      </c>
      <c r="I182" s="14"/>
      <c r="J182" s="14"/>
      <c r="K182" s="14"/>
      <c r="L182" s="14"/>
      <c r="M182" s="14"/>
      <c r="N182" s="14"/>
      <c r="O182" s="14"/>
      <c r="P182" s="14"/>
      <c r="Q182" s="14"/>
      <c r="R182" s="14"/>
    </row>
    <row r="183" spans="1:18" hidden="1">
      <c r="A183" s="16" t="str">
        <f>[Table Name]&amp;"-"&amp;(COUNTIF($B$1:TableData[[#This Row],[Table Name]],TableData[[#This Row],[Table Name]])-1)</f>
        <v>Action Method-3</v>
      </c>
      <c r="B183" s="13" t="s">
        <v>816</v>
      </c>
      <c r="C18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83" s="14">
        <v>3</v>
      </c>
      <c r="E183" s="14" t="s">
        <v>500</v>
      </c>
      <c r="F183" s="14">
        <v>2</v>
      </c>
      <c r="G183" s="14">
        <v>1</v>
      </c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1:18" hidden="1">
      <c r="A184" s="16" t="str">
        <f>[Table Name]&amp;"-"&amp;(COUNTIF($B$1:TableData[[#This Row],[Table Name]],TableData[[#This Row],[Table Name]])-1)</f>
        <v>Data Relations-1</v>
      </c>
      <c r="B184" s="14" t="s">
        <v>434</v>
      </c>
      <c r="C18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84" s="14">
        <v>1</v>
      </c>
      <c r="E184" s="14">
        <v>1</v>
      </c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</row>
    <row r="185" spans="1:18" hidden="1">
      <c r="A185" s="16" t="str">
        <f>[Table Name]&amp;"-"&amp;(COUNTIF($B$1:TableData[[#This Row],[Table Name]],TableData[[#This Row],[Table Name]])-1)</f>
        <v>Action List-1</v>
      </c>
      <c r="B185" s="14" t="s">
        <v>818</v>
      </c>
      <c r="C18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85" s="14">
        <v>3</v>
      </c>
      <c r="E185" s="14">
        <v>1</v>
      </c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</row>
    <row r="186" spans="1:18" hidden="1">
      <c r="A186" s="17" t="str">
        <f>[Table Name]&amp;"-"&amp;(COUNTIF($B$1:TableData[[#This Row],[Table Name]],TableData[[#This Row],[Table Name]])-1)</f>
        <v>Resource Forms-3</v>
      </c>
      <c r="B186" s="31" t="s">
        <v>339</v>
      </c>
      <c r="C18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86" s="31">
        <v>1</v>
      </c>
      <c r="E186" s="31" t="s">
        <v>829</v>
      </c>
      <c r="F186" s="31" t="s">
        <v>831</v>
      </c>
      <c r="G186" s="31" t="s">
        <v>832</v>
      </c>
      <c r="H186" s="31" t="s">
        <v>833</v>
      </c>
      <c r="I186" s="31"/>
      <c r="J186" s="31"/>
      <c r="K186" s="31"/>
      <c r="L186" s="31"/>
      <c r="M186" s="31"/>
      <c r="N186" s="31"/>
      <c r="O186" s="31"/>
      <c r="P186" s="31"/>
      <c r="Q186" s="31"/>
      <c r="R186" s="31"/>
    </row>
    <row r="187" spans="1:18" hidden="1">
      <c r="A187" s="32" t="str">
        <f>[Table Name]&amp;"-"&amp;(COUNTIF($B$1:TableData[[#This Row],[Table Name]],TableData[[#This Row],[Table Name]])-1)</f>
        <v>Field Attrs-1</v>
      </c>
      <c r="B187" s="33" t="s">
        <v>814</v>
      </c>
      <c r="C18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87" s="33">
        <v>5</v>
      </c>
      <c r="E187" s="33" t="s">
        <v>839</v>
      </c>
      <c r="F187" s="33">
        <v>5</v>
      </c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</row>
    <row r="188" spans="1:18" hidden="1">
      <c r="A188" s="32" t="str">
        <f>[Table Name]&amp;"-"&amp;(COUNTIF($B$1:TableData[[#This Row],[Table Name]],TableData[[#This Row],[Table Name]])-1)</f>
        <v>Field Attrs-2</v>
      </c>
      <c r="B188" s="33" t="s">
        <v>814</v>
      </c>
      <c r="C18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88" s="33">
        <v>6</v>
      </c>
      <c r="E188" s="33" t="s">
        <v>839</v>
      </c>
      <c r="F188" s="33">
        <v>5</v>
      </c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</row>
    <row r="189" spans="1:18" hidden="1">
      <c r="A189" s="32" t="str">
        <f>[Table Name]&amp;"-"&amp;(COUNTIF($B$1:TableData[[#This Row],[Table Name]],TableData[[#This Row],[Table Name]])-1)</f>
        <v>Field Attrs-3</v>
      </c>
      <c r="B189" s="33" t="s">
        <v>814</v>
      </c>
      <c r="C18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89" s="33">
        <v>7</v>
      </c>
      <c r="E189" s="33" t="s">
        <v>839</v>
      </c>
      <c r="F189" s="33">
        <v>5</v>
      </c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</row>
    <row r="190" spans="1:18" hidden="1">
      <c r="A190" s="17" t="str">
        <f>[Table Name]&amp;"-"&amp;(COUNTIF($B$1:TableData[[#This Row],[Table Name]],TableData[[#This Row],[Table Name]])-1)</f>
        <v>Field Attrs-4</v>
      </c>
      <c r="B190" s="33" t="s">
        <v>814</v>
      </c>
      <c r="C19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190" s="31">
        <v>8</v>
      </c>
      <c r="E190" s="31" t="s">
        <v>839</v>
      </c>
      <c r="F190" s="31">
        <v>4</v>
      </c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</row>
    <row r="191" spans="1:18" hidden="1">
      <c r="A191" s="17" t="str">
        <f>[Table Name]&amp;"-"&amp;(COUNTIF($B$1:TableData[[#This Row],[Table Name]],TableData[[#This Row],[Table Name]])-1)</f>
        <v>Form Fields-8</v>
      </c>
      <c r="B191" s="31" t="s">
        <v>317</v>
      </c>
      <c r="C19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191" s="31">
        <v>3</v>
      </c>
      <c r="E191" s="31" t="s">
        <v>405</v>
      </c>
      <c r="F191" s="31" t="s">
        <v>405</v>
      </c>
      <c r="G191" s="31" t="s">
        <v>834</v>
      </c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</row>
    <row r="192" spans="1:18" hidden="1">
      <c r="A192" s="17" t="str">
        <f>[Table Name]&amp;"-"&amp;(COUNTIF($B$1:TableData[[#This Row],[Table Name]],TableData[[#This Row],[Table Name]])-1)</f>
        <v>Field Data-8</v>
      </c>
      <c r="B192" s="31" t="s">
        <v>387</v>
      </c>
      <c r="C19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192" s="31">
        <v>8</v>
      </c>
      <c r="E192" s="31" t="s">
        <v>405</v>
      </c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</row>
    <row r="193" spans="1:18" hidden="1">
      <c r="A193" s="17" t="str">
        <f>[Table Name]&amp;"-"&amp;(COUNTIF($B$1:TableData[[#This Row],[Table Name]],TableData[[#This Row],[Table Name]])-1)</f>
        <v>Resource Actions-4</v>
      </c>
      <c r="B193" s="31" t="s">
        <v>255</v>
      </c>
      <c r="C19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193" s="31">
        <v>1</v>
      </c>
      <c r="E193" s="31" t="s">
        <v>843</v>
      </c>
      <c r="F193" s="31" t="s">
        <v>844</v>
      </c>
      <c r="G193" s="31" t="s">
        <v>832</v>
      </c>
      <c r="H193" s="31" t="s">
        <v>803</v>
      </c>
      <c r="I193" s="31"/>
      <c r="J193" s="31"/>
      <c r="K193" s="31"/>
      <c r="L193" s="31"/>
      <c r="M193" s="31"/>
      <c r="N193" s="31"/>
      <c r="O193" s="31"/>
      <c r="P193" s="31"/>
      <c r="Q193" s="31"/>
      <c r="R193" s="31"/>
    </row>
    <row r="194" spans="1:18" hidden="1">
      <c r="A194" s="17" t="str">
        <f>[Table Name]&amp;"-"&amp;(COUNTIF($B$1:TableData[[#This Row],[Table Name]],TableData[[#This Row],[Table Name]])-1)</f>
        <v>Action Method-4</v>
      </c>
      <c r="B194" s="31" t="s">
        <v>816</v>
      </c>
      <c r="C19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194" s="31">
        <v>4</v>
      </c>
      <c r="E194" s="31" t="s">
        <v>500</v>
      </c>
      <c r="F194" s="31">
        <v>3</v>
      </c>
      <c r="G194" s="31">
        <v>1</v>
      </c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</row>
    <row r="195" spans="1:18" hidden="1">
      <c r="A195" s="17" t="str">
        <f>[Table Name]&amp;"-"&amp;(COUNTIF($B$1:TableData[[#This Row],[Table Name]],TableData[[#This Row],[Table Name]])-1)</f>
        <v>Action List-2</v>
      </c>
      <c r="B195" s="31" t="s">
        <v>818</v>
      </c>
      <c r="C19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95" s="31">
        <v>4</v>
      </c>
      <c r="E195" s="31">
        <v>1</v>
      </c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</row>
    <row r="196" spans="1:18">
      <c r="A196" s="16" t="str">
        <f>[Table Name]&amp;"-"&amp;(COUNTIF($B$1:TableData[[#This Row],[Table Name]],TableData[[#This Row],[Table Name]])-1)</f>
        <v>Resource Roles-2</v>
      </c>
      <c r="B196" s="14" t="s">
        <v>223</v>
      </c>
      <c r="C196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96" s="14">
        <v>4</v>
      </c>
      <c r="E196" s="14">
        <v>2</v>
      </c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</row>
    <row r="197" spans="1:18">
      <c r="A197" s="15" t="str">
        <f>[Table Name]&amp;"-"&amp;(COUNTIF($B$1:TableData[[#This Row],[Table Name]],TableData[[#This Row],[Table Name]])-1)</f>
        <v>Resource Roles-3</v>
      </c>
      <c r="B197" s="14" t="s">
        <v>223</v>
      </c>
      <c r="C19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97" s="13">
        <v>6</v>
      </c>
      <c r="E197" s="14">
        <v>2</v>
      </c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8" spans="1:18">
      <c r="A198" s="15" t="str">
        <f>[Table Name]&amp;"-"&amp;(COUNTIF($B$1:TableData[[#This Row],[Table Name]],TableData[[#This Row],[Table Name]])-1)</f>
        <v>Resource Roles-4</v>
      </c>
      <c r="B198" s="14" t="s">
        <v>223</v>
      </c>
      <c r="C19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198" s="13">
        <v>7</v>
      </c>
      <c r="E198" s="14">
        <v>2</v>
      </c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</row>
    <row r="199" spans="1:18">
      <c r="A199" s="15" t="str">
        <f>[Table Name]&amp;"-"&amp;(COUNTIF($B$1:TableData[[#This Row],[Table Name]],TableData[[#This Row],[Table Name]])-1)</f>
        <v>Resource Roles-5</v>
      </c>
      <c r="B199" s="14" t="s">
        <v>223</v>
      </c>
      <c r="C19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199" s="13">
        <v>8</v>
      </c>
      <c r="E199" s="14">
        <v>2</v>
      </c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1:18">
      <c r="A200" s="15" t="str">
        <f>[Table Name]&amp;"-"&amp;(COUNTIF($B$1:TableData[[#This Row],[Table Name]],TableData[[#This Row],[Table Name]])-1)</f>
        <v>Resource Roles-6</v>
      </c>
      <c r="B200" s="14" t="s">
        <v>223</v>
      </c>
      <c r="C20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200" s="13">
        <v>9</v>
      </c>
      <c r="E200" s="14">
        <v>2</v>
      </c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</row>
    <row r="201" spans="1:18">
      <c r="A201" s="15" t="str">
        <f>[Table Name]&amp;"-"&amp;(COUNTIF($B$1:TableData[[#This Row],[Table Name]],TableData[[#This Row],[Table Name]])-1)</f>
        <v>Resource Roles-7</v>
      </c>
      <c r="B201" s="14" t="s">
        <v>223</v>
      </c>
      <c r="C20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201" s="13">
        <v>10</v>
      </c>
      <c r="E201" s="14">
        <v>2</v>
      </c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</row>
    <row r="202" spans="1:18">
      <c r="A202" s="15" t="str">
        <f>[Table Name]&amp;"-"&amp;(COUNTIF($B$1:TableData[[#This Row],[Table Name]],TableData[[#This Row],[Table Name]])-1)</f>
        <v>Resource Roles-8</v>
      </c>
      <c r="B202" s="14" t="s">
        <v>223</v>
      </c>
      <c r="C20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202" s="13">
        <v>11</v>
      </c>
      <c r="E202" s="14">
        <v>2</v>
      </c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</row>
    <row r="203" spans="1:18">
      <c r="A203" s="15" t="str">
        <f>[Table Name]&amp;"-"&amp;(COUNTIF($B$1:TableData[[#This Row],[Table Name]],TableData[[#This Row],[Table Name]])-1)</f>
        <v>Resource Roles-9</v>
      </c>
      <c r="B203" s="14" t="s">
        <v>223</v>
      </c>
      <c r="C20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203" s="13">
        <v>12</v>
      </c>
      <c r="E203" s="14">
        <v>2</v>
      </c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</row>
    <row r="204" spans="1:18">
      <c r="A204" s="15" t="str">
        <f>[Table Name]&amp;"-"&amp;(COUNTIF($B$1:TableData[[#This Row],[Table Name]],TableData[[#This Row],[Table Name]])-1)</f>
        <v>Resource Roles-10</v>
      </c>
      <c r="B204" s="14" t="s">
        <v>223</v>
      </c>
      <c r="C20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204" s="13">
        <v>13</v>
      </c>
      <c r="E204" s="14">
        <v>2</v>
      </c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</row>
    <row r="205" spans="1:18">
      <c r="A205" s="15" t="str">
        <f>[Table Name]&amp;"-"&amp;(COUNTIF($B$1:TableData[[#This Row],[Table Name]],TableData[[#This Row],[Table Name]])-1)</f>
        <v>Resource Roles-11</v>
      </c>
      <c r="B205" s="14" t="s">
        <v>223</v>
      </c>
      <c r="C20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205" s="13">
        <v>14</v>
      </c>
      <c r="E205" s="14">
        <v>2</v>
      </c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</row>
    <row r="206" spans="1:18">
      <c r="A206" s="15" t="str">
        <f>[Table Name]&amp;"-"&amp;(COUNTIF($B$1:TableData[[#This Row],[Table Name]],TableData[[#This Row],[Table Name]])-1)</f>
        <v>Resource Roles-12</v>
      </c>
      <c r="B206" s="14" t="s">
        <v>223</v>
      </c>
      <c r="C20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206" s="13">
        <v>15</v>
      </c>
      <c r="E206" s="14">
        <v>2</v>
      </c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</row>
    <row r="207" spans="1:18">
      <c r="A207" s="15" t="str">
        <f>[Table Name]&amp;"-"&amp;(COUNTIF($B$1:TableData[[#This Row],[Table Name]],TableData[[#This Row],[Table Name]])-1)</f>
        <v>Resource Roles-13</v>
      </c>
      <c r="B207" s="14" t="s">
        <v>223</v>
      </c>
      <c r="C20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207" s="13">
        <v>16</v>
      </c>
      <c r="E207" s="14">
        <v>2</v>
      </c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</row>
    <row r="208" spans="1:18">
      <c r="A208" s="15" t="str">
        <f>[Table Name]&amp;"-"&amp;(COUNTIF($B$1:TableData[[#This Row],[Table Name]],TableData[[#This Row],[Table Name]])-1)</f>
        <v>Resource Roles-14</v>
      </c>
      <c r="B208" s="14" t="s">
        <v>223</v>
      </c>
      <c r="C20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208" s="13">
        <v>17</v>
      </c>
      <c r="E208" s="14">
        <v>2</v>
      </c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</row>
    <row r="209" spans="1:18">
      <c r="A209" s="15" t="str">
        <f>[Table Name]&amp;"-"&amp;(COUNTIF($B$1:TableData[[#This Row],[Table Name]],TableData[[#This Row],[Table Name]])-1)</f>
        <v>Resource Roles-15</v>
      </c>
      <c r="B209" s="14" t="s">
        <v>223</v>
      </c>
      <c r="C20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209" s="13">
        <v>18</v>
      </c>
      <c r="E209" s="14">
        <v>2</v>
      </c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</row>
    <row r="210" spans="1:18">
      <c r="A210" s="15" t="str">
        <f>[Table Name]&amp;"-"&amp;(COUNTIF($B$1:TableData[[#This Row],[Table Name]],TableData[[#This Row],[Table Name]])-1)</f>
        <v>Resource Roles-16</v>
      </c>
      <c r="B210" s="14" t="s">
        <v>223</v>
      </c>
      <c r="C21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210" s="13">
        <v>19</v>
      </c>
      <c r="E210" s="14">
        <v>2</v>
      </c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</row>
    <row r="211" spans="1:18">
      <c r="A211" s="15" t="str">
        <f>[Table Name]&amp;"-"&amp;(COUNTIF($B$1:TableData[[#This Row],[Table Name]],TableData[[#This Row],[Table Name]])-1)</f>
        <v>Resource Roles-17</v>
      </c>
      <c r="B211" s="14" t="s">
        <v>223</v>
      </c>
      <c r="C21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211" s="13">
        <v>20</v>
      </c>
      <c r="E211" s="14">
        <v>2</v>
      </c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</row>
    <row r="212" spans="1:18">
      <c r="A212" s="15" t="str">
        <f>[Table Name]&amp;"-"&amp;(COUNTIF($B$1:TableData[[#This Row],[Table Name]],TableData[[#This Row],[Table Name]])-1)</f>
        <v>Resource Roles-18</v>
      </c>
      <c r="B212" s="14" t="s">
        <v>223</v>
      </c>
      <c r="C21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18</v>
      </c>
      <c r="D212" s="13">
        <v>21</v>
      </c>
      <c r="E212" s="14">
        <v>2</v>
      </c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</row>
    <row r="213" spans="1:18">
      <c r="A213" s="15" t="str">
        <f>[Table Name]&amp;"-"&amp;(COUNTIF($B$1:TableData[[#This Row],[Table Name]],TableData[[#This Row],[Table Name]])-1)</f>
        <v>Resource Roles-19</v>
      </c>
      <c r="B213" s="14" t="s">
        <v>223</v>
      </c>
      <c r="C21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19</v>
      </c>
      <c r="D213" s="13">
        <v>22</v>
      </c>
      <c r="E213" s="14">
        <v>2</v>
      </c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</row>
    <row r="214" spans="1:18">
      <c r="A214" s="15" t="str">
        <f>[Table Name]&amp;"-"&amp;(COUNTIF($B$1:TableData[[#This Row],[Table Name]],TableData[[#This Row],[Table Name]])-1)</f>
        <v>Resource Roles-20</v>
      </c>
      <c r="B214" s="14" t="s">
        <v>223</v>
      </c>
      <c r="C21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20</v>
      </c>
      <c r="D214" s="13">
        <v>23</v>
      </c>
      <c r="E214" s="14">
        <v>2</v>
      </c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</row>
    <row r="215" spans="1:18">
      <c r="A215" s="15" t="str">
        <f>[Table Name]&amp;"-"&amp;(COUNTIF($B$1:TableData[[#This Row],[Table Name]],TableData[[#This Row],[Table Name]])-1)</f>
        <v>Resource Roles-21</v>
      </c>
      <c r="B215" s="14" t="s">
        <v>223</v>
      </c>
      <c r="C21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</v>
      </c>
      <c r="D215" s="13">
        <v>24</v>
      </c>
      <c r="E215" s="14">
        <v>2</v>
      </c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</row>
    <row r="216" spans="1:18">
      <c r="A216" s="15" t="str">
        <f>[Table Name]&amp;"-"&amp;(COUNTIF($B$1:TableData[[#This Row],[Table Name]],TableData[[#This Row],[Table Name]])-1)</f>
        <v>Resource Roles-22</v>
      </c>
      <c r="B216" s="14" t="s">
        <v>223</v>
      </c>
      <c r="C21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22</v>
      </c>
      <c r="D216" s="13">
        <v>25</v>
      </c>
      <c r="E216" s="14">
        <v>2</v>
      </c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</row>
    <row r="217" spans="1:18">
      <c r="A217" s="15" t="str">
        <f>[Table Name]&amp;"-"&amp;(COUNTIF($B$1:TableData[[#This Row],[Table Name]],TableData[[#This Row],[Table Name]])-1)</f>
        <v>Resource Roles-23</v>
      </c>
      <c r="B217" s="14" t="s">
        <v>223</v>
      </c>
      <c r="C21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23</v>
      </c>
      <c r="D217" s="13">
        <v>26</v>
      </c>
      <c r="E217" s="14">
        <v>2</v>
      </c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</row>
    <row r="218" spans="1:18">
      <c r="A218" s="15" t="str">
        <f>[Table Name]&amp;"-"&amp;(COUNTIF($B$1:TableData[[#This Row],[Table Name]],TableData[[#This Row],[Table Name]])-1)</f>
        <v>Resource Roles-24</v>
      </c>
      <c r="B218" s="14" t="s">
        <v>223</v>
      </c>
      <c r="C21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24</v>
      </c>
      <c r="D218" s="13">
        <v>27</v>
      </c>
      <c r="E218" s="14">
        <v>2</v>
      </c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</row>
    <row r="219" spans="1:18">
      <c r="A219" s="15" t="str">
        <f>[Table Name]&amp;"-"&amp;(COUNTIF($B$1:TableData[[#This Row],[Table Name]],TableData[[#This Row],[Table Name]])-1)</f>
        <v>Resource Roles-25</v>
      </c>
      <c r="B219" s="14" t="s">
        <v>223</v>
      </c>
      <c r="C21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25</v>
      </c>
      <c r="D219" s="13">
        <v>28</v>
      </c>
      <c r="E219" s="14">
        <v>2</v>
      </c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</row>
    <row r="220" spans="1:18">
      <c r="A220" s="15" t="str">
        <f>[Table Name]&amp;"-"&amp;(COUNTIF($B$1:TableData[[#This Row],[Table Name]],TableData[[#This Row],[Table Name]])-1)</f>
        <v>Resource Roles-26</v>
      </c>
      <c r="B220" s="14" t="s">
        <v>223</v>
      </c>
      <c r="C22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26</v>
      </c>
      <c r="D220" s="13">
        <v>29</v>
      </c>
      <c r="E220" s="14">
        <v>2</v>
      </c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</row>
    <row r="221" spans="1:18">
      <c r="A221" s="15" t="str">
        <f>[Table Name]&amp;"-"&amp;(COUNTIF($B$1:TableData[[#This Row],[Table Name]],TableData[[#This Row],[Table Name]])-1)</f>
        <v>Resource Roles-27</v>
      </c>
      <c r="B221" s="14" t="s">
        <v>223</v>
      </c>
      <c r="C22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27</v>
      </c>
      <c r="D221" s="13">
        <v>30</v>
      </c>
      <c r="E221" s="14">
        <v>2</v>
      </c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</row>
    <row r="222" spans="1:18">
      <c r="A222" s="15" t="str">
        <f>[Table Name]&amp;"-"&amp;(COUNTIF($B$1:TableData[[#This Row],[Table Name]],TableData[[#This Row],[Table Name]])-1)</f>
        <v>Resource Roles-28</v>
      </c>
      <c r="B222" s="14" t="s">
        <v>223</v>
      </c>
      <c r="C22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28</v>
      </c>
      <c r="D222" s="13">
        <v>31</v>
      </c>
      <c r="E222" s="14">
        <v>2</v>
      </c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</row>
    <row r="223" spans="1:18">
      <c r="A223" s="15" t="str">
        <f>[Table Name]&amp;"-"&amp;(COUNTIF($B$1:TableData[[#This Row],[Table Name]],TableData[[#This Row],[Table Name]])-1)</f>
        <v>Resource Roles-29</v>
      </c>
      <c r="B223" s="14" t="s">
        <v>223</v>
      </c>
      <c r="C22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29</v>
      </c>
      <c r="D223" s="13">
        <v>32</v>
      </c>
      <c r="E223" s="14">
        <v>2</v>
      </c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</row>
    <row r="224" spans="1:18">
      <c r="A224" s="15" t="str">
        <f>[Table Name]&amp;"-"&amp;(COUNTIF($B$1:TableData[[#This Row],[Table Name]],TableData[[#This Row],[Table Name]])-1)</f>
        <v>Resource Roles-30</v>
      </c>
      <c r="B224" s="14" t="s">
        <v>223</v>
      </c>
      <c r="C22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</v>
      </c>
      <c r="D224" s="13">
        <v>33</v>
      </c>
      <c r="E224" s="14">
        <v>2</v>
      </c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</row>
    <row r="225" spans="1:18">
      <c r="A225" s="15" t="str">
        <f>[Table Name]&amp;"-"&amp;(COUNTIF($B$1:TableData[[#This Row],[Table Name]],TableData[[#This Row],[Table Name]])-1)</f>
        <v>Resource Roles-31</v>
      </c>
      <c r="B225" s="14" t="s">
        <v>223</v>
      </c>
      <c r="C22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31</v>
      </c>
      <c r="D225" s="13">
        <v>34</v>
      </c>
      <c r="E225" s="14">
        <v>2</v>
      </c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</row>
    <row r="226" spans="1:18">
      <c r="A226" s="15" t="str">
        <f>[Table Name]&amp;"-"&amp;(COUNTIF($B$1:TableData[[#This Row],[Table Name]],TableData[[#This Row],[Table Name]])-1)</f>
        <v>Resource Roles-32</v>
      </c>
      <c r="B226" s="14" t="s">
        <v>223</v>
      </c>
      <c r="C22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32</v>
      </c>
      <c r="D226" s="13">
        <v>35</v>
      </c>
      <c r="E226" s="14">
        <v>2</v>
      </c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</row>
    <row r="227" spans="1:18">
      <c r="A227" s="15" t="str">
        <f>[Table Name]&amp;"-"&amp;(COUNTIF($B$1:TableData[[#This Row],[Table Name]],TableData[[#This Row],[Table Name]])-1)</f>
        <v>Resource Roles-33</v>
      </c>
      <c r="B227" s="14" t="s">
        <v>223</v>
      </c>
      <c r="C22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33</v>
      </c>
      <c r="D227" s="13">
        <v>36</v>
      </c>
      <c r="E227" s="14">
        <v>2</v>
      </c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</row>
    <row r="228" spans="1:18">
      <c r="A228" s="15" t="str">
        <f>[Table Name]&amp;"-"&amp;(COUNTIF($B$1:TableData[[#This Row],[Table Name]],TableData[[#This Row],[Table Name]])-1)</f>
        <v>Resource Roles-34</v>
      </c>
      <c r="B228" s="14" t="s">
        <v>223</v>
      </c>
      <c r="C22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34</v>
      </c>
      <c r="D228" s="13">
        <v>37</v>
      </c>
      <c r="E228" s="14">
        <v>2</v>
      </c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</row>
    <row r="229" spans="1:18">
      <c r="A229" s="15" t="str">
        <f>[Table Name]&amp;"-"&amp;(COUNTIF($B$1:TableData[[#This Row],[Table Name]],TableData[[#This Row],[Table Name]])-1)</f>
        <v>Resource Roles-35</v>
      </c>
      <c r="B229" s="14" t="s">
        <v>223</v>
      </c>
      <c r="C22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35</v>
      </c>
      <c r="D229" s="13">
        <v>38</v>
      </c>
      <c r="E229" s="14">
        <v>2</v>
      </c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</row>
    <row r="230" spans="1:18">
      <c r="A230" s="15" t="str">
        <f>[Table Name]&amp;"-"&amp;(COUNTIF($B$1:TableData[[#This Row],[Table Name]],TableData[[#This Row],[Table Name]])-1)</f>
        <v>Resource Roles-36</v>
      </c>
      <c r="B230" s="14" t="s">
        <v>223</v>
      </c>
      <c r="C23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36</v>
      </c>
      <c r="D230" s="13">
        <v>39</v>
      </c>
      <c r="E230" s="14">
        <v>2</v>
      </c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0"/>
  <sheetViews>
    <sheetView workbookViewId="0">
      <selection activeCell="A9" sqref="A9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0">
      <c r="A1" s="20" t="s">
        <v>1</v>
      </c>
      <c r="B1" s="21" t="s">
        <v>343</v>
      </c>
      <c r="C1" s="20" t="s">
        <v>269</v>
      </c>
      <c r="D1" s="20" t="s">
        <v>337</v>
      </c>
      <c r="E1" s="21" t="s">
        <v>845</v>
      </c>
      <c r="F1" s="21" t="s">
        <v>846</v>
      </c>
      <c r="G1" s="21" t="s">
        <v>848</v>
      </c>
      <c r="H1" s="20" t="s">
        <v>321</v>
      </c>
      <c r="I1" t="s">
        <v>745</v>
      </c>
      <c r="J1" t="s">
        <v>746</v>
      </c>
    </row>
    <row r="2" spans="1:10">
      <c r="A2" s="4" t="s">
        <v>180</v>
      </c>
      <c r="B2" s="4" t="s">
        <v>175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344</v>
      </c>
      <c r="F2" s="1" t="s">
        <v>847</v>
      </c>
      <c r="G2" s="11">
        <v>2</v>
      </c>
      <c r="H2" s="6" t="str">
        <f>"truncate"</f>
        <v>truncate</v>
      </c>
      <c r="I2" s="11"/>
      <c r="J2" s="6" t="str">
        <f>IF(ISNUMBER([Last ID]),"ALTER TABLE `" &amp; [Table Name] &amp; "`  AUTO_INCREMENT=" &amp; [Last ID]+1,"")</f>
        <v/>
      </c>
    </row>
    <row r="3" spans="1:10">
      <c r="A3" s="1" t="s">
        <v>177</v>
      </c>
      <c r="B3" s="1" t="s">
        <v>134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344</v>
      </c>
      <c r="F3" s="1" t="s">
        <v>847</v>
      </c>
      <c r="G3" s="11">
        <v>2</v>
      </c>
      <c r="H3" s="9" t="str">
        <f t="shared" ref="H3:H39" si="0">"truncate"</f>
        <v>truncate</v>
      </c>
      <c r="I3" s="34"/>
      <c r="J3" s="8" t="str">
        <f>IF(ISNUMBER([Last ID]),"ALTER TABLE `" &amp; [Table Name] &amp; "`  AUTO_INCREMENT=" &amp; [Last ID]+1,"")</f>
        <v/>
      </c>
    </row>
    <row r="4" spans="1:10">
      <c r="A4" s="1" t="s">
        <v>181</v>
      </c>
      <c r="B4" s="1" t="s">
        <v>136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344</v>
      </c>
      <c r="F4" s="1" t="s">
        <v>847</v>
      </c>
      <c r="G4" s="11">
        <v>2</v>
      </c>
      <c r="H4" s="9" t="str">
        <f t="shared" si="0"/>
        <v>truncate</v>
      </c>
      <c r="I4" s="34"/>
      <c r="J4" s="8" t="str">
        <f>IF(ISNUMBER([Last ID]),"ALTER TABLE `" &amp; [Table Name] &amp; "`  AUTO_INCREMENT=" &amp; [Last ID]+1,"")</f>
        <v/>
      </c>
    </row>
    <row r="5" spans="1:10">
      <c r="A5" s="1" t="s">
        <v>220</v>
      </c>
      <c r="B5" s="1" t="s">
        <v>137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344</v>
      </c>
      <c r="F5" s="1" t="s">
        <v>847</v>
      </c>
      <c r="G5" s="11">
        <v>2</v>
      </c>
      <c r="H5" s="9" t="str">
        <f t="shared" si="0"/>
        <v>truncate</v>
      </c>
      <c r="I5" s="34"/>
      <c r="J5" s="8" t="str">
        <f>IF(ISNUMBER([Last ID]),"ALTER TABLE `" &amp; [Table Name] &amp; "`  AUTO_INCREMENT=" &amp; [Last ID]+1,"")</f>
        <v/>
      </c>
    </row>
    <row r="6" spans="1:10">
      <c r="A6" s="1" t="s">
        <v>216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849</v>
      </c>
      <c r="F6" s="1" t="s">
        <v>852</v>
      </c>
      <c r="G6" s="11">
        <v>3</v>
      </c>
      <c r="H6" s="9" t="str">
        <f t="shared" si="0"/>
        <v>truncate</v>
      </c>
      <c r="I6" s="34"/>
      <c r="J6" s="8" t="str">
        <f>IF(ISNUMBER([Last ID]),"ALTER TABLE `" &amp; [Table Name] &amp; "`  AUTO_INCREMENT=" &amp; [Last ID]+1,"")</f>
        <v/>
      </c>
    </row>
    <row r="7" spans="1:10">
      <c r="A7" s="1" t="s">
        <v>223</v>
      </c>
      <c r="B7" s="1" t="s">
        <v>208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344</v>
      </c>
      <c r="F7" s="1" t="s">
        <v>847</v>
      </c>
      <c r="G7" s="11">
        <v>2</v>
      </c>
      <c r="H7" s="9" t="str">
        <f t="shared" si="0"/>
        <v>truncate</v>
      </c>
      <c r="I7" s="34"/>
      <c r="J7" s="8" t="str">
        <f>IF(ISNUMBER([Last ID]),"ALTER TABLE `" &amp; [Table Name] &amp; "`  AUTO_INCREMENT=" &amp; [Last ID]+1,"")</f>
        <v/>
      </c>
    </row>
    <row r="8" spans="1:10">
      <c r="A8" s="2" t="s">
        <v>346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901</v>
      </c>
      <c r="F8" s="1" t="s">
        <v>902</v>
      </c>
      <c r="G8" s="11">
        <v>3</v>
      </c>
      <c r="H8" s="9" t="str">
        <f>"truncate"</f>
        <v>truncate</v>
      </c>
      <c r="I8" s="11"/>
      <c r="J8" s="6" t="str">
        <f>IF(ISNUMBER([Last ID]),"ALTER TABLE `" &amp; [Table Name] &amp; "`  AUTO_INCREMENT=" &amp; [Last ID]+1,"")</f>
        <v/>
      </c>
    </row>
    <row r="9" spans="1:10">
      <c r="A9" s="1" t="s">
        <v>348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853</v>
      </c>
      <c r="F9" s="1" t="s">
        <v>854</v>
      </c>
      <c r="G9" s="11">
        <v>6</v>
      </c>
      <c r="H9" s="9" t="str">
        <f t="shared" si="0"/>
        <v>truncate</v>
      </c>
      <c r="I9" s="34"/>
      <c r="J9" s="8" t="str">
        <f>IF(ISNUMBER([Last ID]),"ALTER TABLE `" &amp; [Table Name] &amp; "`  AUTO_INCREMENT=" &amp; [Last ID]+1,"")</f>
        <v/>
      </c>
    </row>
    <row r="10" spans="1:10">
      <c r="A10" s="2" t="s">
        <v>339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856</v>
      </c>
      <c r="F10" s="1" t="s">
        <v>857</v>
      </c>
      <c r="G10" s="11">
        <v>4</v>
      </c>
      <c r="H10" s="9" t="str">
        <f t="shared" ref="H10:H21" si="1">"truncate"</f>
        <v>truncate</v>
      </c>
      <c r="I10" s="11"/>
      <c r="J10" s="6" t="str">
        <f>IF(ISNUMBER([Last ID]),"ALTER TABLE `" &amp; [Table Name] &amp; "`  AUTO_INCREMENT=" &amp; [Last ID]+1,"")</f>
        <v/>
      </c>
    </row>
    <row r="11" spans="1:10">
      <c r="A11" s="2" t="s">
        <v>317</v>
      </c>
      <c r="B11" s="2" t="s">
        <v>101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863</v>
      </c>
      <c r="F11" s="1" t="s">
        <v>864</v>
      </c>
      <c r="G11" s="11">
        <v>4</v>
      </c>
      <c r="H11" s="9" t="str">
        <f t="shared" si="1"/>
        <v>truncate</v>
      </c>
      <c r="I11" s="11"/>
      <c r="J11" s="6" t="str">
        <f>IF(ISNUMBER([Last ID]),"ALTER TABLE `" &amp; [Table Name] &amp; "`  AUTO_INCREMENT=" &amp; [Last ID]+1,"")</f>
        <v/>
      </c>
    </row>
    <row r="12" spans="1:10">
      <c r="A12" s="2" t="s">
        <v>387</v>
      </c>
      <c r="B12" s="2" t="s">
        <v>103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863</v>
      </c>
      <c r="F12" s="1" t="s">
        <v>870</v>
      </c>
      <c r="G12" s="11">
        <v>3</v>
      </c>
      <c r="H12" s="9" t="str">
        <f t="shared" si="1"/>
        <v>truncate</v>
      </c>
      <c r="I12" s="11"/>
      <c r="J12" s="6" t="str">
        <f>IF(ISNUMBER([Last ID]),"ALTER TABLE `" &amp; [Table Name] &amp; "`  AUTO_INCREMENT=" &amp; [Last ID]+1,"")</f>
        <v/>
      </c>
    </row>
    <row r="13" spans="1:10">
      <c r="A13" s="4" t="s">
        <v>366</v>
      </c>
      <c r="B13" s="4" t="s">
        <v>355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863</v>
      </c>
      <c r="F13" s="1" t="s">
        <v>874</v>
      </c>
      <c r="G13" s="11">
        <v>2</v>
      </c>
      <c r="H13" s="9" t="str">
        <f t="shared" si="1"/>
        <v>truncate</v>
      </c>
      <c r="I13" s="11"/>
      <c r="J13" s="6" t="str">
        <f>IF(ISNUMBER([Last ID]),"ALTER TABLE `" &amp; [Table Name] &amp; "`  AUTO_INCREMENT=" &amp; [Last ID]+1,"")</f>
        <v/>
      </c>
    </row>
    <row r="14" spans="1:10">
      <c r="A14" s="2" t="s">
        <v>814</v>
      </c>
      <c r="B14" s="4" t="s">
        <v>102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880</v>
      </c>
      <c r="F14" s="1" t="s">
        <v>881</v>
      </c>
      <c r="G14" s="11">
        <v>1</v>
      </c>
      <c r="H14" s="9" t="str">
        <f t="shared" si="1"/>
        <v>truncate</v>
      </c>
      <c r="I14" s="11"/>
      <c r="J14" s="6" t="str">
        <f>IF(ISNUMBER([Last ID]),"ALTER TABLE `" &amp; [Table Name] &amp; "`  AUTO_INCREMENT=" &amp; [Last ID]+1,"")</f>
        <v/>
      </c>
    </row>
    <row r="15" spans="1:10">
      <c r="A15" s="4" t="s">
        <v>652</v>
      </c>
      <c r="B15" s="4" t="s">
        <v>638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1113</v>
      </c>
      <c r="F15" s="1" t="s">
        <v>1114</v>
      </c>
      <c r="G15" s="11">
        <v>1</v>
      </c>
      <c r="H15" s="9" t="str">
        <f t="shared" si="1"/>
        <v>truncate</v>
      </c>
      <c r="I15" s="11"/>
      <c r="J15" s="6" t="str">
        <f>IF(ISNUMBER([Last ID]),"ALTER TABLE `" &amp; [Table Name] &amp; "`  AUTO_INCREMENT=" &amp; [Last ID]+1,"")</f>
        <v/>
      </c>
    </row>
    <row r="16" spans="1:10">
      <c r="A16" s="2" t="s">
        <v>374</v>
      </c>
      <c r="B16" s="4" t="s">
        <v>104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882</v>
      </c>
      <c r="F16" s="1" t="s">
        <v>883</v>
      </c>
      <c r="G16" s="11">
        <v>1</v>
      </c>
      <c r="H16" s="9" t="str">
        <f t="shared" si="1"/>
        <v>truncate</v>
      </c>
      <c r="I16" s="11"/>
      <c r="J16" s="6" t="str">
        <f>IF(ISNUMBER([Last ID]),"ALTER TABLE `" &amp; [Table Name] &amp; "`  AUTO_INCREMENT=" &amp; [Last ID]+1,"")</f>
        <v/>
      </c>
    </row>
    <row r="17" spans="1:10">
      <c r="A17" s="4" t="s">
        <v>550</v>
      </c>
      <c r="B17" s="4" t="s">
        <v>539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1107</v>
      </c>
      <c r="F17" s="1" t="s">
        <v>1108</v>
      </c>
      <c r="G17" s="11">
        <v>1</v>
      </c>
      <c r="H17" s="9" t="str">
        <f t="shared" si="1"/>
        <v>truncate</v>
      </c>
      <c r="I17" s="11"/>
      <c r="J17" s="6" t="str">
        <f>IF(ISNUMBER([Last ID]),"ALTER TABLE `" &amp; [Table Name] &amp; "`  AUTO_INCREMENT=" &amp; [Last ID]+1,"")</f>
        <v/>
      </c>
    </row>
    <row r="18" spans="1:10">
      <c r="A18" s="4" t="s">
        <v>476</v>
      </c>
      <c r="B18" s="4" t="s">
        <v>470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863</v>
      </c>
      <c r="F18" s="1" t="s">
        <v>879</v>
      </c>
      <c r="G18" s="11">
        <v>2</v>
      </c>
      <c r="H18" s="9" t="str">
        <f t="shared" si="1"/>
        <v>truncate</v>
      </c>
      <c r="I18" s="11"/>
      <c r="J18" s="6" t="str">
        <f>IF(ISNUMBER([Last ID]),"ALTER TABLE `" &amp; [Table Name] &amp; "`  AUTO_INCREMENT=" &amp; [Last ID]+1,"")</f>
        <v/>
      </c>
    </row>
    <row r="19" spans="1:10">
      <c r="A19" s="4" t="s">
        <v>381</v>
      </c>
      <c r="B19" s="4" t="s">
        <v>147</v>
      </c>
      <c r="C19" s="2" t="str">
        <f>VLOOKUP([Table Name],Tables[],4,0)</f>
        <v>Milestone\Appframe\Model</v>
      </c>
      <c r="D19" s="2" t="str">
        <f>VLOOKUP([Table Name],Tables[],5,0)</f>
        <v>ResourceFormDefault</v>
      </c>
      <c r="E19" s="1" t="s">
        <v>904</v>
      </c>
      <c r="F19" s="1" t="s">
        <v>902</v>
      </c>
      <c r="G19" s="11">
        <v>2</v>
      </c>
      <c r="H19" s="9" t="str">
        <f t="shared" si="1"/>
        <v>truncate</v>
      </c>
      <c r="I19" s="11"/>
      <c r="J19" s="6" t="str">
        <f>IF(ISNUMBER([Last ID]),"ALTER TABLE `" &amp; [Table Name] &amp; "`  AUTO_INCREMENT=" &amp; [Last ID]+1,"")</f>
        <v/>
      </c>
    </row>
    <row r="20" spans="1:10">
      <c r="A20" s="4" t="s">
        <v>517</v>
      </c>
      <c r="B20" s="4" t="s">
        <v>508</v>
      </c>
      <c r="C20" s="2" t="str">
        <f>VLOOKUP([Table Name],Tables[],4,0)</f>
        <v>Milestone\Appframe\Model</v>
      </c>
      <c r="D20" s="2" t="str">
        <f>VLOOKUP([Table Name],Tables[],5,0)</f>
        <v>ResourceFormCollection</v>
      </c>
      <c r="E20" s="1" t="s">
        <v>917</v>
      </c>
      <c r="F20" s="1" t="s">
        <v>918</v>
      </c>
      <c r="G20" s="11">
        <v>5</v>
      </c>
      <c r="H20" s="9" t="str">
        <f t="shared" si="1"/>
        <v>truncate</v>
      </c>
      <c r="I20" s="11"/>
      <c r="J20" s="6" t="str">
        <f>IF(ISNUMBER([Last ID]),"ALTER TABLE `" &amp; [Table Name] &amp; "`  AUTO_INCREMENT=" &amp; [Last ID]+1,"")</f>
        <v/>
      </c>
    </row>
    <row r="21" spans="1:10">
      <c r="A21" s="2" t="s">
        <v>754</v>
      </c>
      <c r="B21" s="2" t="s">
        <v>727</v>
      </c>
      <c r="C21" s="2" t="str">
        <f>VLOOKUP([Table Name],Tables[],4,0)</f>
        <v>Milestone\Appframe\Model</v>
      </c>
      <c r="D21" s="2" t="str">
        <f>VLOOKUP([Table Name],Tables[],5,0)</f>
        <v>ResourceFormUpload</v>
      </c>
      <c r="E21" s="1" t="s">
        <v>344</v>
      </c>
      <c r="F21" s="1" t="s">
        <v>847</v>
      </c>
      <c r="G21" s="11">
        <v>2</v>
      </c>
      <c r="H21" s="9" t="str">
        <f t="shared" si="1"/>
        <v>truncate</v>
      </c>
      <c r="I21" s="11"/>
      <c r="J21" s="6" t="str">
        <f>IF(ISNUMBER([Last ID]),"ALTER TABLE `" &amp; [Table Name] &amp; "`  AUTO_INCREMENT=" &amp; [Last ID]+1,"")</f>
        <v/>
      </c>
    </row>
    <row r="22" spans="1:10">
      <c r="A22" s="2" t="s">
        <v>347</v>
      </c>
      <c r="B22" s="2" t="s">
        <v>5</v>
      </c>
      <c r="C22" s="2" t="str">
        <f>VLOOKUP([Table Name],Tables[],4,0)</f>
        <v>Milestone\Appframe\Model</v>
      </c>
      <c r="D22" s="2" t="str">
        <f>VLOOKUP([Table Name],Tables[],5,0)</f>
        <v>ResourceList</v>
      </c>
      <c r="E22" s="1" t="s">
        <v>407</v>
      </c>
      <c r="F22" s="1" t="s">
        <v>986</v>
      </c>
      <c r="G22" s="11">
        <v>3</v>
      </c>
      <c r="H22" s="9" t="str">
        <f t="shared" si="0"/>
        <v>truncate</v>
      </c>
      <c r="I22" s="34"/>
      <c r="J22" s="8" t="str">
        <f>IF(ISNUMBER([Last ID]),"ALTER TABLE `" &amp; [Table Name] &amp; "`  AUTO_INCREMENT=" &amp; [Last ID]+1,"")</f>
        <v/>
      </c>
    </row>
    <row r="23" spans="1:10">
      <c r="A23" s="2" t="s">
        <v>419</v>
      </c>
      <c r="B23" s="2" t="s">
        <v>11</v>
      </c>
      <c r="C23" s="2" t="str">
        <f>VLOOKUP([Table Name],Tables[],4,0)</f>
        <v>Milestone\Appframe\Model</v>
      </c>
      <c r="D23" s="2" t="str">
        <f>VLOOKUP([Table Name],Tables[],5,0)</f>
        <v>ResourceListScope</v>
      </c>
      <c r="E23" s="1" t="s">
        <v>937</v>
      </c>
      <c r="F23" s="1" t="s">
        <v>938</v>
      </c>
      <c r="G23" s="11">
        <v>1</v>
      </c>
      <c r="H23" s="9" t="str">
        <f t="shared" si="0"/>
        <v>truncate</v>
      </c>
      <c r="I23" s="34"/>
      <c r="J23" s="8" t="str">
        <f>IF(ISNUMBER([Last ID]),"ALTER TABLE `" &amp; [Table Name] &amp; "`  AUTO_INCREMENT=" &amp; [Last ID]+1,"")</f>
        <v/>
      </c>
    </row>
    <row r="24" spans="1:10">
      <c r="A24" s="2" t="s">
        <v>815</v>
      </c>
      <c r="B24" s="4" t="s">
        <v>10</v>
      </c>
      <c r="C24" s="2" t="str">
        <f>VLOOKUP([Table Name],Tables[],4,0)</f>
        <v>Milestone\Appframe\Model</v>
      </c>
      <c r="D24" s="2" t="str">
        <f>VLOOKUP([Table Name],Tables[],5,0)</f>
        <v>ResourceListRelation</v>
      </c>
      <c r="E24" s="1" t="s">
        <v>937</v>
      </c>
      <c r="F24" s="1" t="s">
        <v>939</v>
      </c>
      <c r="G24" s="11">
        <v>1</v>
      </c>
      <c r="H24" s="9" t="str">
        <f t="shared" si="0"/>
        <v>truncate</v>
      </c>
      <c r="I24" s="34"/>
      <c r="J24" s="8" t="str">
        <f>IF(ISNUMBER([Last ID]),"ALTER TABLE `" &amp; [Table Name] &amp; "`  AUTO_INCREMENT=" &amp; [Last ID]+1,"")</f>
        <v/>
      </c>
    </row>
    <row r="25" spans="1:10">
      <c r="A25" s="2" t="s">
        <v>445</v>
      </c>
      <c r="B25" s="4" t="s">
        <v>441</v>
      </c>
      <c r="C25" s="2" t="str">
        <f>VLOOKUP([Table Name],Tables[],4,0)</f>
        <v>Milestone\Appframe\Model</v>
      </c>
      <c r="D25" s="2" t="str">
        <f>VLOOKUP([Table Name],Tables[],5,0)</f>
        <v>ResourceListLayout</v>
      </c>
      <c r="E25" s="1" t="s">
        <v>948</v>
      </c>
      <c r="F25" s="1" t="s">
        <v>949</v>
      </c>
      <c r="G25" s="11">
        <v>2</v>
      </c>
      <c r="H25" s="9" t="str">
        <f t="shared" si="0"/>
        <v>truncate</v>
      </c>
      <c r="I25" s="34"/>
      <c r="J25" s="8" t="str">
        <f>IF(ISNUMBER([Last ID]),"ALTER TABLE `" &amp; [Table Name] &amp; "`  AUTO_INCREMENT=" &amp; [Last ID]+1,"")</f>
        <v/>
      </c>
    </row>
    <row r="26" spans="1:10">
      <c r="A26" s="2" t="s">
        <v>535</v>
      </c>
      <c r="B26" s="4" t="s">
        <v>532</v>
      </c>
      <c r="C26" s="2" t="str">
        <f>VLOOKUP([Table Name],Tables[],4,0)</f>
        <v>Milestone\Appframe\Model</v>
      </c>
      <c r="D26" s="2" t="str">
        <f>VLOOKUP([Table Name],Tables[],5,0)</f>
        <v>ResourceListSearch</v>
      </c>
      <c r="E26" s="1" t="s">
        <v>945</v>
      </c>
      <c r="F26" s="1" t="s">
        <v>946</v>
      </c>
      <c r="G26" s="11">
        <v>2</v>
      </c>
      <c r="H26" s="9" t="str">
        <f t="shared" si="0"/>
        <v>truncate</v>
      </c>
      <c r="I26" s="34"/>
      <c r="J26" s="8" t="str">
        <f>IF(ISNUMBER([Last ID]),"ALTER TABLE `" &amp; [Table Name] &amp; "`  AUTO_INCREMENT=" &amp; [Last ID]+1,"")</f>
        <v/>
      </c>
    </row>
    <row r="27" spans="1:10">
      <c r="A27" s="4" t="s">
        <v>439</v>
      </c>
      <c r="B27" s="4" t="s">
        <v>4</v>
      </c>
      <c r="C27" s="2" t="str">
        <f>VLOOKUP([Table Name],Tables[],4,0)</f>
        <v>Milestone\Appframe\Model</v>
      </c>
      <c r="D27" s="2" t="str">
        <f>VLOOKUP([Table Name],Tables[],5,0)</f>
        <v>ResourceData</v>
      </c>
      <c r="E27" s="1" t="s">
        <v>430</v>
      </c>
      <c r="F27" s="1" t="s">
        <v>902</v>
      </c>
      <c r="G27" s="11">
        <v>3</v>
      </c>
      <c r="H27" s="9" t="str">
        <f t="shared" ref="H27:H35" si="2">"truncate"</f>
        <v>truncate</v>
      </c>
      <c r="I27" s="11"/>
      <c r="J27" s="6" t="str">
        <f>IF(ISNUMBER([Last ID]),"ALTER TABLE `" &amp; [Table Name] &amp; "`  AUTO_INCREMENT=" &amp; [Last ID]+1,"")</f>
        <v/>
      </c>
    </row>
    <row r="28" spans="1:10">
      <c r="A28" s="4" t="s">
        <v>531</v>
      </c>
      <c r="B28" s="4" t="s">
        <v>448</v>
      </c>
      <c r="C28" s="2" t="str">
        <f>VLOOKUP([Table Name],Tables[],4,0)</f>
        <v>Milestone\Appframe\Model</v>
      </c>
      <c r="D28" s="2" t="str">
        <f>VLOOKUP([Table Name],Tables[],5,0)</f>
        <v>ResourceDataScope</v>
      </c>
      <c r="E28" s="1" t="s">
        <v>957</v>
      </c>
      <c r="F28" s="1" t="s">
        <v>938</v>
      </c>
      <c r="G28" s="11">
        <v>1</v>
      </c>
      <c r="H28" s="9" t="str">
        <f t="shared" si="2"/>
        <v>truncate</v>
      </c>
      <c r="I28" s="11"/>
      <c r="J28" s="6" t="str">
        <f>IF(ISNUMBER([Last ID]),"ALTER TABLE `" &amp; [Table Name] &amp; "`  AUTO_INCREMENT=" &amp; [Last ID]+1,"")</f>
        <v/>
      </c>
    </row>
    <row r="29" spans="1:10">
      <c r="A29" s="2" t="s">
        <v>434</v>
      </c>
      <c r="B29" s="2" t="s">
        <v>9</v>
      </c>
      <c r="C29" s="2" t="str">
        <f>VLOOKUP([Table Name],Tables[],4,0)</f>
        <v>Milestone\Appframe\Model</v>
      </c>
      <c r="D29" s="2" t="str">
        <f>VLOOKUP([Table Name],Tables[],5,0)</f>
        <v>ResourceDataRelation</v>
      </c>
      <c r="E29" s="1" t="s">
        <v>957</v>
      </c>
      <c r="F29" s="1" t="s">
        <v>939</v>
      </c>
      <c r="G29" s="11">
        <v>1</v>
      </c>
      <c r="H29" s="9" t="str">
        <f t="shared" si="2"/>
        <v>truncate</v>
      </c>
      <c r="I29" s="11"/>
      <c r="J29" s="6" t="str">
        <f>IF(ISNUMBER([Last ID]),"ALTER TABLE `" &amp; [Table Name] &amp; "`  AUTO_INCREMENT=" &amp; [Last ID]+1,"")</f>
        <v/>
      </c>
    </row>
    <row r="30" spans="1:10">
      <c r="A30" s="4" t="s">
        <v>487</v>
      </c>
      <c r="B30" s="4" t="s">
        <v>479</v>
      </c>
      <c r="C30" s="2" t="str">
        <f>VLOOKUP([Table Name],Tables[],4,0)</f>
        <v>Milestone\Appframe\Model</v>
      </c>
      <c r="D30" s="2" t="str">
        <f>VLOOKUP([Table Name],Tables[],5,0)</f>
        <v>ResourceDataViewSection</v>
      </c>
      <c r="E30" s="1" t="s">
        <v>965</v>
      </c>
      <c r="F30" s="1" t="s">
        <v>963</v>
      </c>
      <c r="G30" s="11">
        <v>3</v>
      </c>
      <c r="H30" s="9" t="str">
        <f t="shared" si="2"/>
        <v>truncate</v>
      </c>
      <c r="I30" s="11"/>
      <c r="J30" s="6" t="str">
        <f>IF(ISNUMBER([Last ID]),"ALTER TABLE `" &amp; [Table Name] &amp; "`  AUTO_INCREMENT=" &amp; [Last ID]+1,"")</f>
        <v/>
      </c>
    </row>
    <row r="31" spans="1:10">
      <c r="A31" s="4" t="s">
        <v>494</v>
      </c>
      <c r="B31" s="4" t="s">
        <v>480</v>
      </c>
      <c r="C31" s="2" t="str">
        <f>VLOOKUP([Table Name],Tables[],4,0)</f>
        <v>Milestone\Appframe\Model</v>
      </c>
      <c r="D31" s="2" t="str">
        <f>VLOOKUP([Table Name],Tables[],5,0)</f>
        <v>ResourceDataViewSectionItem</v>
      </c>
      <c r="E31" s="1" t="s">
        <v>962</v>
      </c>
      <c r="F31" s="1" t="s">
        <v>964</v>
      </c>
      <c r="G31" s="11">
        <v>2</v>
      </c>
      <c r="H31" s="9" t="str">
        <f t="shared" si="2"/>
        <v>truncate</v>
      </c>
      <c r="I31" s="11"/>
      <c r="J31" s="6" t="str">
        <f>IF(ISNUMBER([Last ID]),"ALTER TABLE `" &amp; [Table Name] &amp; "`  AUTO_INCREMENT=" &amp; [Last ID]+1,"")</f>
        <v/>
      </c>
    </row>
    <row r="32" spans="1:10">
      <c r="A32" s="2" t="s">
        <v>255</v>
      </c>
      <c r="B32" s="2" t="s">
        <v>8</v>
      </c>
      <c r="C32" s="2" t="str">
        <f>VLOOKUP([Table Name],Tables[],4,0)</f>
        <v>Milestone\Appframe\Model</v>
      </c>
      <c r="D32" s="2" t="str">
        <f>VLOOKUP([Table Name],Tables[],5,0)</f>
        <v>ResourceAction</v>
      </c>
      <c r="E32" s="1" t="s">
        <v>256</v>
      </c>
      <c r="F32" s="1" t="s">
        <v>886</v>
      </c>
      <c r="G32" s="11">
        <v>3</v>
      </c>
      <c r="H32" s="9" t="str">
        <f t="shared" si="2"/>
        <v>truncate</v>
      </c>
      <c r="I32" s="11"/>
      <c r="J32" s="6" t="str">
        <f>IF(ISNUMBER([Last ID]),"ALTER TABLE `" &amp; [Table Name] &amp; "`  AUTO_INCREMENT=" &amp; [Last ID]+1,"")</f>
        <v/>
      </c>
    </row>
    <row r="33" spans="1:10">
      <c r="A33" s="2" t="s">
        <v>816</v>
      </c>
      <c r="B33" s="2" t="s">
        <v>100</v>
      </c>
      <c r="C33" s="2" t="str">
        <f>VLOOKUP([Table Name],Tables[],4,0)</f>
        <v>Milestone\Appframe\Model</v>
      </c>
      <c r="D33" s="2" t="str">
        <f>VLOOKUP([Table Name],Tables[],5,0)</f>
        <v>ResourceActionMethod</v>
      </c>
      <c r="E33" s="1" t="s">
        <v>256</v>
      </c>
      <c r="F33" s="1" t="s">
        <v>887</v>
      </c>
      <c r="G33" s="11">
        <v>1</v>
      </c>
      <c r="H33" s="9" t="str">
        <f t="shared" si="2"/>
        <v>truncate</v>
      </c>
      <c r="I33" s="11"/>
      <c r="J33" s="6" t="str">
        <f>IF(ISNUMBER([Last ID]),"ALTER TABLE `" &amp; [Table Name] &amp; "`  AUTO_INCREMENT=" &amp; [Last ID]+1,"")</f>
        <v/>
      </c>
    </row>
    <row r="34" spans="1:10">
      <c r="A34" s="2" t="s">
        <v>817</v>
      </c>
      <c r="B34" s="2" t="s">
        <v>99</v>
      </c>
      <c r="C34" s="2" t="str">
        <f>VLOOKUP([Table Name],Tables[],4,0)</f>
        <v>Milestone\Appframe\Model</v>
      </c>
      <c r="D34" s="2" t="str">
        <f>VLOOKUP([Table Name],Tables[],5,0)</f>
        <v>ResourceActionAttr</v>
      </c>
      <c r="E34" s="1" t="s">
        <v>967</v>
      </c>
      <c r="F34" s="1" t="s">
        <v>881</v>
      </c>
      <c r="G34" s="11">
        <v>1</v>
      </c>
      <c r="H34" s="9" t="str">
        <f t="shared" si="2"/>
        <v>truncate</v>
      </c>
      <c r="I34" s="11"/>
      <c r="J34" s="6" t="str">
        <f>IF(ISNUMBER([Last ID]),"ALTER TABLE `" &amp; [Table Name] &amp; "`  AUTO_INCREMENT=" &amp; [Last ID]+1,"")</f>
        <v/>
      </c>
    </row>
    <row r="35" spans="1:10">
      <c r="A35" s="2" t="s">
        <v>818</v>
      </c>
      <c r="B35" s="4" t="s">
        <v>132</v>
      </c>
      <c r="C35" s="2" t="str">
        <f>VLOOKUP([Table Name],Tables[],4,0)</f>
        <v>Milestone\Appframe\Model</v>
      </c>
      <c r="D35" s="2" t="str">
        <f>VLOOKUP([Table Name],Tables[],5,0)</f>
        <v>ResourceActionList</v>
      </c>
      <c r="E35" s="1" t="s">
        <v>897</v>
      </c>
      <c r="F35" s="1" t="s">
        <v>898</v>
      </c>
      <c r="G35" s="11">
        <v>1</v>
      </c>
      <c r="H35" s="9" t="str">
        <f t="shared" si="2"/>
        <v>truncate</v>
      </c>
      <c r="I35" s="11"/>
      <c r="J35" s="6" t="str">
        <f>IF(ISNUMBER([Last ID]),"ALTER TABLE `" &amp; [Table Name] &amp; "`  AUTO_INCREMENT=" &amp; [Last ID]+1,"")</f>
        <v/>
      </c>
    </row>
    <row r="36" spans="1:10">
      <c r="A36" s="2" t="s">
        <v>819</v>
      </c>
      <c r="B36" s="4" t="s">
        <v>133</v>
      </c>
      <c r="C36" s="2" t="str">
        <f>VLOOKUP([Table Name],Tables[],4,0)</f>
        <v>Milestone\Appframe\Model</v>
      </c>
      <c r="D36" s="2" t="str">
        <f>VLOOKUP([Table Name],Tables[],5,0)</f>
        <v>ResourceActionData</v>
      </c>
      <c r="E36" s="1" t="s">
        <v>897</v>
      </c>
      <c r="F36" s="1" t="s">
        <v>899</v>
      </c>
      <c r="G36" s="11">
        <v>1</v>
      </c>
      <c r="H36" s="9" t="str">
        <f t="shared" si="0"/>
        <v>truncate</v>
      </c>
      <c r="I36" s="34"/>
      <c r="J36" s="8" t="str">
        <f>IF(ISNUMBER([Last ID]),"ALTER TABLE `" &amp; [Table Name] &amp; "`  AUTO_INCREMENT=" &amp; [Last ID]+1,"")</f>
        <v/>
      </c>
    </row>
    <row r="37" spans="1:10">
      <c r="A37" s="4" t="s">
        <v>605</v>
      </c>
      <c r="B37" s="4" t="s">
        <v>562</v>
      </c>
      <c r="C37" s="2" t="str">
        <f>VLOOKUP([Table Name],Tables[],4,0)</f>
        <v>Milestone\Appframe\Model</v>
      </c>
      <c r="D37" s="2" t="str">
        <f>VLOOKUP([Table Name],Tables[],5,0)</f>
        <v>ResourceMetric</v>
      </c>
      <c r="E37" s="1" t="s">
        <v>344</v>
      </c>
      <c r="F37" s="1" t="s">
        <v>847</v>
      </c>
      <c r="G37" s="11">
        <v>2</v>
      </c>
      <c r="H37" s="9" t="str">
        <f t="shared" si="0"/>
        <v>truncate</v>
      </c>
      <c r="I37" s="34"/>
      <c r="J37" s="8" t="str">
        <f>IF(ISNUMBER([Last ID]),"ALTER TABLE `" &amp; [Table Name] &amp; "`  AUTO_INCREMENT=" &amp; [Last ID]+1,"")</f>
        <v/>
      </c>
    </row>
    <row r="38" spans="1:10">
      <c r="A38" s="1" t="s">
        <v>613</v>
      </c>
      <c r="B38" s="5" t="s">
        <v>584</v>
      </c>
      <c r="C38" s="4" t="str">
        <f>VLOOKUP([Table Name],Tables[],4,0)</f>
        <v>Milestone\Appframe\Model</v>
      </c>
      <c r="D38" s="4" t="str">
        <f>VLOOKUP([Table Name],Tables[],5,0)</f>
        <v>ResourceDashboard</v>
      </c>
      <c r="E38" s="1" t="s">
        <v>344</v>
      </c>
      <c r="F38" s="1" t="s">
        <v>847</v>
      </c>
      <c r="G38" s="11">
        <v>2</v>
      </c>
      <c r="H38" s="9" t="str">
        <f t="shared" si="0"/>
        <v>truncate</v>
      </c>
      <c r="I38" s="34"/>
      <c r="J38" s="8" t="str">
        <f>IF(ISNUMBER([Last ID]),"ALTER TABLE `" &amp; [Table Name] &amp; "`  AUTO_INCREMENT=" &amp; [Last ID]+1,"")</f>
        <v/>
      </c>
    </row>
    <row r="39" spans="1:10">
      <c r="A39" s="5" t="s">
        <v>603</v>
      </c>
      <c r="B39" s="5" t="s">
        <v>585</v>
      </c>
      <c r="C39" s="4" t="str">
        <f>VLOOKUP([Table Name],Tables[],4,0)</f>
        <v>Milestone\Appframe\Model</v>
      </c>
      <c r="D39" s="4" t="str">
        <f>VLOOKUP([Table Name],Tables[],5,0)</f>
        <v>ResourceDashboardSection</v>
      </c>
      <c r="E39" s="1" t="s">
        <v>344</v>
      </c>
      <c r="F39" s="1" t="s">
        <v>847</v>
      </c>
      <c r="G39" s="11">
        <v>2</v>
      </c>
      <c r="H39" s="7" t="str">
        <f t="shared" si="0"/>
        <v>truncate</v>
      </c>
      <c r="I39" s="34"/>
      <c r="J39" s="8" t="str">
        <f>IF(ISNUMBER([Last ID]),"ALTER TABLE `" &amp; [Table Name] &amp; "`  AUTO_INCREMENT=" &amp; [Last ID]+1,"")</f>
        <v/>
      </c>
    </row>
    <row r="40" spans="1:10">
      <c r="A40" s="5" t="s">
        <v>604</v>
      </c>
      <c r="B40" s="5" t="s">
        <v>591</v>
      </c>
      <c r="C40" s="4" t="str">
        <f>VLOOKUP([Table Name],Tables[],4,0)</f>
        <v>Milestone\Appframe\Model</v>
      </c>
      <c r="D40" s="4" t="str">
        <f>VLOOKUP([Table Name],Tables[],5,0)</f>
        <v>ResourceDashboardSectionItem</v>
      </c>
      <c r="E40" s="1" t="s">
        <v>344</v>
      </c>
      <c r="F40" s="1" t="s">
        <v>847</v>
      </c>
      <c r="G40" s="11">
        <v>2</v>
      </c>
      <c r="H40" s="7" t="str">
        <f t="shared" ref="H40" si="3">"truncate"</f>
        <v>truncate</v>
      </c>
      <c r="I40" s="34"/>
      <c r="J40" s="8" t="str">
        <f>IF(ISNUMBER([Last ID]),"ALTER TABLE `" &amp; [Table Name] &amp; "`  AUTO_INCREMENT=" &amp; [Last ID]+1,"")</f>
        <v/>
      </c>
    </row>
  </sheetData>
  <dataValidations count="2">
    <dataValidation type="list" allowBlank="1" showInputMessage="1" showErrorMessage="1" sqref="B2:B40">
      <formula1>TableNames</formula1>
    </dataValidation>
    <dataValidation type="list" allowBlank="1" showInputMessage="1" showErrorMessage="1" sqref="H2:H40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topLeftCell="A36" workbookViewId="0">
      <selection activeCell="D39" sqref="D39"/>
    </sheetView>
  </sheetViews>
  <sheetFormatPr defaultRowHeight="15"/>
  <cols>
    <col min="1" max="16384" width="9.140625" style="21"/>
  </cols>
  <sheetData>
    <row r="1" spans="1:20" s="29" customFormat="1" ht="15" customHeight="1">
      <c r="A1" s="119" t="s">
        <v>818</v>
      </c>
      <c r="B1" s="119"/>
      <c r="C1" s="119"/>
      <c r="D1" s="119"/>
      <c r="E1" s="120" t="str">
        <f>"\"&amp;VLOOKUP($A$1,SeedMap[],3,0)&amp;"\"&amp;VLOOKUP($A$1,SeedMap[],4,0)&amp;"::"&amp;VLOOKUP($A$1,SeedMap[],8,0)&amp;"()"</f>
        <v>\Milestone\Appframe\Model\ResourceActionList::truncate()</v>
      </c>
      <c r="F1" s="120"/>
      <c r="G1" s="120"/>
      <c r="H1" s="120"/>
      <c r="I1" s="121" t="s">
        <v>173</v>
      </c>
      <c r="J1" s="121"/>
      <c r="K1" s="121"/>
      <c r="L1" s="121"/>
      <c r="M1" s="121"/>
      <c r="N1" s="121"/>
      <c r="O1" s="121"/>
      <c r="P1" s="121"/>
      <c r="Q1" s="121"/>
      <c r="R1" s="121"/>
      <c r="S1" s="24" t="str">
        <f>""</f>
        <v/>
      </c>
      <c r="T1" s="10"/>
    </row>
    <row r="2" spans="1:20" s="29" customFormat="1" ht="15" customHeight="1">
      <c r="A2" s="119"/>
      <c r="B2" s="119"/>
      <c r="C2" s="119"/>
      <c r="D2" s="119"/>
      <c r="E2" s="120" t="str">
        <f>VLOOKUP($A$1,SeedMap[],5,0)</f>
        <v>ActionListNData</v>
      </c>
      <c r="F2" s="120"/>
      <c r="G2" s="120"/>
      <c r="H2" s="120"/>
      <c r="I2" s="121" t="s">
        <v>172</v>
      </c>
      <c r="J2" s="121"/>
      <c r="K2" s="121"/>
      <c r="L2" s="121"/>
      <c r="M2" s="121"/>
      <c r="N2" s="121"/>
      <c r="O2" s="121"/>
      <c r="P2" s="121"/>
      <c r="Q2" s="121"/>
      <c r="R2" s="121"/>
      <c r="S2" s="24" t="str">
        <f>";"</f>
        <v>;</v>
      </c>
      <c r="T2" s="10"/>
    </row>
    <row r="3" spans="1:20" s="29" customFormat="1" ht="15" customHeight="1">
      <c r="A3" s="119"/>
      <c r="B3" s="119"/>
      <c r="C3" s="119"/>
      <c r="D3" s="119"/>
      <c r="E3" s="120" t="str">
        <f>VLOOKUP($A$1,SeedMap[],6,0)</f>
        <v>[[Primary List]:[List]]</v>
      </c>
      <c r="F3" s="120"/>
      <c r="G3" s="120"/>
      <c r="H3" s="120"/>
      <c r="I3" s="121" t="s">
        <v>338</v>
      </c>
      <c r="J3" s="121"/>
      <c r="K3" s="121"/>
      <c r="L3" s="121"/>
      <c r="M3" s="121"/>
      <c r="N3" s="121"/>
      <c r="O3" s="121"/>
      <c r="P3" s="121"/>
      <c r="Q3" s="121"/>
      <c r="R3" s="121"/>
      <c r="S3" s="24" t="str">
        <f>$I$3</f>
        <v>\DB::statement('set foreign_key_checks = ' . $_);</v>
      </c>
      <c r="T3" s="10"/>
    </row>
    <row r="4" spans="1:20" s="29" customFormat="1" hidden="1">
      <c r="A4" s="25"/>
      <c r="B4" s="22">
        <f>VLOOKUP($A$1,SeedMap[],7,0)</f>
        <v>1</v>
      </c>
      <c r="C4" s="22">
        <v>1</v>
      </c>
      <c r="D4" s="22">
        <f>C$4+1</f>
        <v>2</v>
      </c>
      <c r="E4" s="22">
        <f t="shared" ref="E4:Q4" si="0">D$4+1</f>
        <v>3</v>
      </c>
      <c r="F4" s="22">
        <f t="shared" si="0"/>
        <v>4</v>
      </c>
      <c r="G4" s="22">
        <f t="shared" si="0"/>
        <v>5</v>
      </c>
      <c r="H4" s="22">
        <f t="shared" si="0"/>
        <v>6</v>
      </c>
      <c r="I4" s="22">
        <f t="shared" si="0"/>
        <v>7</v>
      </c>
      <c r="J4" s="22">
        <f t="shared" si="0"/>
        <v>8</v>
      </c>
      <c r="K4" s="22">
        <f t="shared" si="0"/>
        <v>9</v>
      </c>
      <c r="L4" s="22">
        <f t="shared" si="0"/>
        <v>10</v>
      </c>
      <c r="M4" s="22">
        <f t="shared" si="0"/>
        <v>11</v>
      </c>
      <c r="N4" s="22">
        <f t="shared" si="0"/>
        <v>12</v>
      </c>
      <c r="O4" s="22">
        <f t="shared" si="0"/>
        <v>13</v>
      </c>
      <c r="P4" s="22">
        <f t="shared" si="0"/>
        <v>14</v>
      </c>
      <c r="Q4" s="22">
        <f t="shared" si="0"/>
        <v>15</v>
      </c>
      <c r="R4" s="22"/>
      <c r="S4" s="30" t="str">
        <f>"-&gt;create(["</f>
        <v>-&gt;create([</v>
      </c>
      <c r="T4" s="24" t="str">
        <f>"])"</f>
        <v>])</v>
      </c>
    </row>
    <row r="5" spans="1:20" s="29" customFormat="1" hidden="1">
      <c r="A5" s="25"/>
      <c r="B5" s="22"/>
      <c r="C5" s="26" t="str">
        <f ca="1">IFERROR(IF(VLOOKUP($A$1&amp;"-0",INDIRECT($E$2&amp;$E$3),C$4+$B$4,0)=0,"id",VLOOKUP($A$1&amp;"-0",INDIRECT($E$2&amp;$E$3),C$4+$B$4,0)),"")</f>
        <v>id</v>
      </c>
      <c r="D5" s="26" t="str">
        <f t="shared" ref="D5:Q5" ca="1" si="1">IFERROR(IF(VLOOKUP($A$1&amp;"-0",INDIRECT($E$2&amp;$E$3),D$4+$B$4,0)=0,"id",VLOOKUP($A$1&amp;"-0",INDIRECT($E$2&amp;$E$3),D$4+$B$4,0)),"")</f>
        <v>resource_action</v>
      </c>
      <c r="E5" s="26" t="str">
        <f t="shared" ca="1" si="1"/>
        <v>resource_list</v>
      </c>
      <c r="F5" s="26" t="str">
        <f t="shared" ca="1" si="1"/>
        <v/>
      </c>
      <c r="G5" s="26" t="str">
        <f t="shared" ca="1" si="1"/>
        <v/>
      </c>
      <c r="H5" s="26" t="str">
        <f t="shared" ca="1" si="1"/>
        <v/>
      </c>
      <c r="I5" s="26" t="str">
        <f t="shared" ca="1" si="1"/>
        <v/>
      </c>
      <c r="J5" s="26" t="str">
        <f t="shared" ca="1" si="1"/>
        <v/>
      </c>
      <c r="K5" s="26" t="str">
        <f t="shared" ca="1" si="1"/>
        <v/>
      </c>
      <c r="L5" s="26" t="str">
        <f t="shared" ca="1" si="1"/>
        <v/>
      </c>
      <c r="M5" s="26" t="str">
        <f t="shared" ca="1" si="1"/>
        <v/>
      </c>
      <c r="N5" s="26" t="str">
        <f t="shared" ca="1" si="1"/>
        <v/>
      </c>
      <c r="O5" s="26" t="str">
        <f t="shared" ca="1" si="1"/>
        <v/>
      </c>
      <c r="P5" s="26" t="str">
        <f t="shared" ca="1" si="1"/>
        <v/>
      </c>
      <c r="Q5" s="26" t="str">
        <f t="shared" ca="1" si="1"/>
        <v/>
      </c>
      <c r="R5" s="22"/>
      <c r="S5" s="10"/>
      <c r="T5" s="10"/>
    </row>
    <row r="6" spans="1:20">
      <c r="A6" s="25"/>
      <c r="B6" s="116" t="str">
        <f>$I$1</f>
        <v>$_ = \DB::statement('SELECT @@GLOBAL.foreign_key_checks');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0"/>
      <c r="T6" s="10"/>
    </row>
    <row r="7" spans="1:20">
      <c r="A7" s="25"/>
      <c r="B7" s="117" t="str">
        <f>$I$2</f>
        <v>\DB::statement('set foreign_key_checks = 0');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</row>
    <row r="8" spans="1:20">
      <c r="A8" s="25"/>
      <c r="B8" s="118" t="str">
        <f>$E$1</f>
        <v>\Milestone\Appframe\Model\ResourceActionList::truncate()</v>
      </c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</row>
    <row r="9" spans="1:20">
      <c r="A9" s="22">
        <v>1</v>
      </c>
      <c r="B9" s="23" t="str">
        <f ca="1">IF($B8="","",IF($B8=";",$I$3,IF($B8=$I$3,"",IF(ISNA(VLOOKUP($A$1&amp;"-"&amp;$A9,INDIRECT($E$2&amp;$E$3),1,0)),";",$S$4))))</f>
        <v>-&gt;create([</v>
      </c>
      <c r="C9" s="82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82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'resource_action' =&gt; '3', </v>
      </c>
      <c r="E9" s="82" t="str">
        <f t="shared" ca="1" si="2"/>
        <v xml:space="preserve">'resource_list' =&gt; '1', </v>
      </c>
      <c r="F9" s="82" t="str">
        <f t="shared" ca="1" si="2"/>
        <v/>
      </c>
      <c r="G9" s="82" t="str">
        <f t="shared" ca="1" si="2"/>
        <v/>
      </c>
      <c r="H9" s="82" t="str">
        <f t="shared" ca="1" si="2"/>
        <v/>
      </c>
      <c r="I9" s="82" t="str">
        <f t="shared" ca="1" si="2"/>
        <v/>
      </c>
      <c r="J9" s="82" t="str">
        <f t="shared" ca="1" si="2"/>
        <v/>
      </c>
      <c r="K9" s="82" t="str">
        <f t="shared" ca="1" si="2"/>
        <v/>
      </c>
      <c r="L9" s="82" t="str">
        <f t="shared" ca="1" si="2"/>
        <v/>
      </c>
      <c r="M9" s="82" t="str">
        <f t="shared" ca="1" si="2"/>
        <v/>
      </c>
      <c r="N9" s="82" t="str">
        <f t="shared" ca="1" si="2"/>
        <v/>
      </c>
      <c r="O9" s="82" t="str">
        <f t="shared" ca="1" si="2"/>
        <v/>
      </c>
      <c r="P9" s="82" t="str">
        <f t="shared" ca="1" si="2"/>
        <v/>
      </c>
      <c r="Q9" s="82" t="str">
        <f t="shared" ca="1" si="2"/>
        <v/>
      </c>
      <c r="R9" s="82" t="str">
        <f ca="1">IF(B9=$S$4,$T$4,"")</f>
        <v>])</v>
      </c>
    </row>
    <row r="10" spans="1:20">
      <c r="A10" s="22">
        <v>2</v>
      </c>
      <c r="B10" s="23" t="str">
        <f t="shared" ref="B10:B73" ca="1" si="3">IF($B9="","",IF($B9=";",$I$3,IF($B9=$I$3,"",IF(ISNA(VLOOKUP($A$1&amp;"-"&amp;$A10,INDIRECT($E$2&amp;$E$3),1,0)),";",$S$4))))</f>
        <v>-&gt;create([</v>
      </c>
      <c r="C10" s="82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82" t="str">
        <f t="shared" ca="1" si="2"/>
        <v xml:space="preserve">'resource_action' =&gt; '4', </v>
      </c>
      <c r="E10" s="82" t="str">
        <f t="shared" ca="1" si="2"/>
        <v xml:space="preserve">'resource_list' =&gt; '1', </v>
      </c>
      <c r="F10" s="82" t="str">
        <f t="shared" ca="1" si="2"/>
        <v/>
      </c>
      <c r="G10" s="82" t="str">
        <f t="shared" ca="1" si="2"/>
        <v/>
      </c>
      <c r="H10" s="82" t="str">
        <f t="shared" ca="1" si="2"/>
        <v/>
      </c>
      <c r="I10" s="82" t="str">
        <f t="shared" ca="1" si="2"/>
        <v/>
      </c>
      <c r="J10" s="82" t="str">
        <f t="shared" ca="1" si="2"/>
        <v/>
      </c>
      <c r="K10" s="82" t="str">
        <f t="shared" ca="1" si="2"/>
        <v/>
      </c>
      <c r="L10" s="82" t="str">
        <f t="shared" ca="1" si="2"/>
        <v/>
      </c>
      <c r="M10" s="82" t="str">
        <f t="shared" ca="1" si="2"/>
        <v/>
      </c>
      <c r="N10" s="82" t="str">
        <f t="shared" ca="1" si="2"/>
        <v/>
      </c>
      <c r="O10" s="82" t="str">
        <f t="shared" ca="1" si="2"/>
        <v/>
      </c>
      <c r="P10" s="82" t="str">
        <f t="shared" ca="1" si="2"/>
        <v/>
      </c>
      <c r="Q10" s="82" t="str">
        <f t="shared" ca="1" si="2"/>
        <v/>
      </c>
      <c r="R10" s="82" t="str">
        <f t="shared" ref="R10:R73" ca="1" si="5">IF(B10=$S$4,$T$4,"")</f>
        <v>])</v>
      </c>
    </row>
    <row r="11" spans="1:20">
      <c r="A11" s="22">
        <v>3</v>
      </c>
      <c r="B11" s="23" t="str">
        <f t="shared" ca="1" si="3"/>
        <v>-&gt;create([</v>
      </c>
      <c r="C11" s="82" t="str">
        <f t="shared" ca="1" si="4"/>
        <v xml:space="preserve">'id' =&gt; '3', </v>
      </c>
      <c r="D11" s="82" t="str">
        <f t="shared" ca="1" si="2"/>
        <v xml:space="preserve">'resource_action' =&gt; '8', </v>
      </c>
      <c r="E11" s="82" t="str">
        <f t="shared" ca="1" si="2"/>
        <v xml:space="preserve">'resource_list' =&gt; '2', </v>
      </c>
      <c r="F11" s="82" t="str">
        <f t="shared" ca="1" si="2"/>
        <v/>
      </c>
      <c r="G11" s="82" t="str">
        <f t="shared" ca="1" si="2"/>
        <v/>
      </c>
      <c r="H11" s="82" t="str">
        <f t="shared" ca="1" si="2"/>
        <v/>
      </c>
      <c r="I11" s="82" t="str">
        <f t="shared" ca="1" si="2"/>
        <v/>
      </c>
      <c r="J11" s="82" t="str">
        <f t="shared" ca="1" si="2"/>
        <v/>
      </c>
      <c r="K11" s="82" t="str">
        <f t="shared" ca="1" si="2"/>
        <v/>
      </c>
      <c r="L11" s="82" t="str">
        <f t="shared" ca="1" si="2"/>
        <v/>
      </c>
      <c r="M11" s="82" t="str">
        <f t="shared" ca="1" si="2"/>
        <v/>
      </c>
      <c r="N11" s="82" t="str">
        <f t="shared" ca="1" si="2"/>
        <v/>
      </c>
      <c r="O11" s="82" t="str">
        <f t="shared" ca="1" si="2"/>
        <v/>
      </c>
      <c r="P11" s="82" t="str">
        <f t="shared" ca="1" si="2"/>
        <v/>
      </c>
      <c r="Q11" s="82" t="str">
        <f t="shared" ca="1" si="2"/>
        <v/>
      </c>
      <c r="R11" s="82" t="str">
        <f t="shared" ca="1" si="5"/>
        <v>])</v>
      </c>
    </row>
    <row r="12" spans="1:20">
      <c r="A12" s="22">
        <v>4</v>
      </c>
      <c r="B12" s="23" t="str">
        <f t="shared" ca="1" si="3"/>
        <v>-&gt;create([</v>
      </c>
      <c r="C12" s="82" t="str">
        <f t="shared" ca="1" si="4"/>
        <v xml:space="preserve">'id' =&gt; '4', </v>
      </c>
      <c r="D12" s="82" t="str">
        <f t="shared" ca="1" si="2"/>
        <v xml:space="preserve">'resource_action' =&gt; '12', </v>
      </c>
      <c r="E12" s="82" t="str">
        <f t="shared" ca="1" si="2"/>
        <v xml:space="preserve">'resource_list' =&gt; '2', </v>
      </c>
      <c r="F12" s="82" t="str">
        <f t="shared" ca="1" si="2"/>
        <v/>
      </c>
      <c r="G12" s="82" t="str">
        <f t="shared" ca="1" si="2"/>
        <v/>
      </c>
      <c r="H12" s="82" t="str">
        <f t="shared" ca="1" si="2"/>
        <v/>
      </c>
      <c r="I12" s="82" t="str">
        <f t="shared" ca="1" si="2"/>
        <v/>
      </c>
      <c r="J12" s="82" t="str">
        <f t="shared" ca="1" si="2"/>
        <v/>
      </c>
      <c r="K12" s="82" t="str">
        <f t="shared" ca="1" si="2"/>
        <v/>
      </c>
      <c r="L12" s="82" t="str">
        <f t="shared" ca="1" si="2"/>
        <v/>
      </c>
      <c r="M12" s="82" t="str">
        <f t="shared" ca="1" si="2"/>
        <v/>
      </c>
      <c r="N12" s="82" t="str">
        <f t="shared" ca="1" si="2"/>
        <v/>
      </c>
      <c r="O12" s="82" t="str">
        <f t="shared" ca="1" si="2"/>
        <v/>
      </c>
      <c r="P12" s="82" t="str">
        <f t="shared" ca="1" si="2"/>
        <v/>
      </c>
      <c r="Q12" s="82" t="str">
        <f t="shared" ca="1" si="2"/>
        <v/>
      </c>
      <c r="R12" s="82" t="str">
        <f t="shared" ca="1" si="5"/>
        <v>])</v>
      </c>
    </row>
    <row r="13" spans="1:20">
      <c r="A13" s="22">
        <v>5</v>
      </c>
      <c r="B13" s="23" t="str">
        <f t="shared" ca="1" si="3"/>
        <v>-&gt;create([</v>
      </c>
      <c r="C13" s="82" t="str">
        <f t="shared" ca="1" si="4"/>
        <v xml:space="preserve">'id' =&gt; '5', </v>
      </c>
      <c r="D13" s="82" t="str">
        <f t="shared" ca="1" si="2"/>
        <v xml:space="preserve">'resource_action' =&gt; '15', </v>
      </c>
      <c r="E13" s="82" t="str">
        <f t="shared" ca="1" si="2"/>
        <v xml:space="preserve">'resource_list' =&gt; '2', </v>
      </c>
      <c r="F13" s="82" t="str">
        <f t="shared" ca="1" si="2"/>
        <v/>
      </c>
      <c r="G13" s="82" t="str">
        <f t="shared" ca="1" si="2"/>
        <v/>
      </c>
      <c r="H13" s="82" t="str">
        <f t="shared" ca="1" si="2"/>
        <v/>
      </c>
      <c r="I13" s="82" t="str">
        <f t="shared" ca="1" si="2"/>
        <v/>
      </c>
      <c r="J13" s="82" t="str">
        <f t="shared" ca="1" si="2"/>
        <v/>
      </c>
      <c r="K13" s="82" t="str">
        <f t="shared" ca="1" si="2"/>
        <v/>
      </c>
      <c r="L13" s="82" t="str">
        <f t="shared" ca="1" si="2"/>
        <v/>
      </c>
      <c r="M13" s="82" t="str">
        <f t="shared" ca="1" si="2"/>
        <v/>
      </c>
      <c r="N13" s="82" t="str">
        <f t="shared" ca="1" si="2"/>
        <v/>
      </c>
      <c r="O13" s="82" t="str">
        <f t="shared" ca="1" si="2"/>
        <v/>
      </c>
      <c r="P13" s="82" t="str">
        <f t="shared" ca="1" si="2"/>
        <v/>
      </c>
      <c r="Q13" s="82" t="str">
        <f t="shared" ca="1" si="2"/>
        <v/>
      </c>
      <c r="R13" s="82" t="str">
        <f t="shared" ca="1" si="5"/>
        <v>])</v>
      </c>
    </row>
    <row r="14" spans="1:20">
      <c r="A14" s="22">
        <v>6</v>
      </c>
      <c r="B14" s="23" t="str">
        <f t="shared" ca="1" si="3"/>
        <v>-&gt;create([</v>
      </c>
      <c r="C14" s="82" t="str">
        <f t="shared" ca="1" si="4"/>
        <v xml:space="preserve">'id' =&gt; '6', </v>
      </c>
      <c r="D14" s="82" t="str">
        <f t="shared" ca="1" si="2"/>
        <v xml:space="preserve">'resource_action' =&gt; '18', </v>
      </c>
      <c r="E14" s="82" t="str">
        <f t="shared" ca="1" si="2"/>
        <v xml:space="preserve">'resource_list' =&gt; '2', </v>
      </c>
      <c r="F14" s="82" t="str">
        <f t="shared" ca="1" si="2"/>
        <v/>
      </c>
      <c r="G14" s="82" t="str">
        <f t="shared" ca="1" si="2"/>
        <v/>
      </c>
      <c r="H14" s="82" t="str">
        <f t="shared" ca="1" si="2"/>
        <v/>
      </c>
      <c r="I14" s="82" t="str">
        <f t="shared" ca="1" si="2"/>
        <v/>
      </c>
      <c r="J14" s="82" t="str">
        <f t="shared" ca="1" si="2"/>
        <v/>
      </c>
      <c r="K14" s="82" t="str">
        <f t="shared" ca="1" si="2"/>
        <v/>
      </c>
      <c r="L14" s="82" t="str">
        <f t="shared" ca="1" si="2"/>
        <v/>
      </c>
      <c r="M14" s="82" t="str">
        <f t="shared" ca="1" si="2"/>
        <v/>
      </c>
      <c r="N14" s="82" t="str">
        <f t="shared" ca="1" si="2"/>
        <v/>
      </c>
      <c r="O14" s="82" t="str">
        <f t="shared" ca="1" si="2"/>
        <v/>
      </c>
      <c r="P14" s="82" t="str">
        <f t="shared" ca="1" si="2"/>
        <v/>
      </c>
      <c r="Q14" s="82" t="str">
        <f t="shared" ca="1" si="2"/>
        <v/>
      </c>
      <c r="R14" s="82" t="str">
        <f t="shared" ca="1" si="5"/>
        <v>])</v>
      </c>
    </row>
    <row r="15" spans="1:20">
      <c r="A15" s="22">
        <v>7</v>
      </c>
      <c r="B15" s="23" t="str">
        <f t="shared" ca="1" si="3"/>
        <v>-&gt;create([</v>
      </c>
      <c r="C15" s="82" t="str">
        <f t="shared" ca="1" si="4"/>
        <v xml:space="preserve">'id' =&gt; '7', </v>
      </c>
      <c r="D15" s="82" t="str">
        <f t="shared" ca="1" si="2"/>
        <v xml:space="preserve">'resource_action' =&gt; '19', </v>
      </c>
      <c r="E15" s="82" t="str">
        <f t="shared" ca="1" si="2"/>
        <v xml:space="preserve">'resource_list' =&gt; '2', </v>
      </c>
      <c r="F15" s="82" t="str">
        <f t="shared" ca="1" si="2"/>
        <v/>
      </c>
      <c r="G15" s="82" t="str">
        <f t="shared" ca="1" si="2"/>
        <v/>
      </c>
      <c r="H15" s="82" t="str">
        <f t="shared" ca="1" si="2"/>
        <v/>
      </c>
      <c r="I15" s="82" t="str">
        <f t="shared" ca="1" si="2"/>
        <v/>
      </c>
      <c r="J15" s="82" t="str">
        <f t="shared" ca="1" si="2"/>
        <v/>
      </c>
      <c r="K15" s="82" t="str">
        <f t="shared" ca="1" si="2"/>
        <v/>
      </c>
      <c r="L15" s="82" t="str">
        <f t="shared" ca="1" si="2"/>
        <v/>
      </c>
      <c r="M15" s="82" t="str">
        <f t="shared" ca="1" si="2"/>
        <v/>
      </c>
      <c r="N15" s="82" t="str">
        <f t="shared" ca="1" si="2"/>
        <v/>
      </c>
      <c r="O15" s="82" t="str">
        <f t="shared" ca="1" si="2"/>
        <v/>
      </c>
      <c r="P15" s="82" t="str">
        <f t="shared" ca="1" si="2"/>
        <v/>
      </c>
      <c r="Q15" s="82" t="str">
        <f t="shared" ca="1" si="2"/>
        <v/>
      </c>
      <c r="R15" s="82" t="str">
        <f t="shared" ca="1" si="5"/>
        <v>])</v>
      </c>
    </row>
    <row r="16" spans="1:20">
      <c r="A16" s="22">
        <v>8</v>
      </c>
      <c r="B16" s="23" t="str">
        <f t="shared" ca="1" si="3"/>
        <v>-&gt;create([</v>
      </c>
      <c r="C16" s="82" t="str">
        <f t="shared" ca="1" si="4"/>
        <v xml:space="preserve">'id' =&gt; '8', </v>
      </c>
      <c r="D16" s="82" t="str">
        <f t="shared" ca="1" si="2"/>
        <v xml:space="preserve">'resource_action' =&gt; '20', </v>
      </c>
      <c r="E16" s="82" t="str">
        <f t="shared" ca="1" si="2"/>
        <v xml:space="preserve">'resource_list' =&gt; '2', </v>
      </c>
      <c r="F16" s="82" t="str">
        <f t="shared" ca="1" si="2"/>
        <v/>
      </c>
      <c r="G16" s="82" t="str">
        <f t="shared" ca="1" si="2"/>
        <v/>
      </c>
      <c r="H16" s="82" t="str">
        <f t="shared" ca="1" si="2"/>
        <v/>
      </c>
      <c r="I16" s="82" t="str">
        <f t="shared" ca="1" si="2"/>
        <v/>
      </c>
      <c r="J16" s="82" t="str">
        <f t="shared" ca="1" si="2"/>
        <v/>
      </c>
      <c r="K16" s="82" t="str">
        <f t="shared" ca="1" si="2"/>
        <v/>
      </c>
      <c r="L16" s="82" t="str">
        <f t="shared" ca="1" si="2"/>
        <v/>
      </c>
      <c r="M16" s="82" t="str">
        <f t="shared" ca="1" si="2"/>
        <v/>
      </c>
      <c r="N16" s="82" t="str">
        <f t="shared" ca="1" si="2"/>
        <v/>
      </c>
      <c r="O16" s="82" t="str">
        <f t="shared" ca="1" si="2"/>
        <v/>
      </c>
      <c r="P16" s="82" t="str">
        <f t="shared" ca="1" si="2"/>
        <v/>
      </c>
      <c r="Q16" s="82" t="str">
        <f t="shared" ca="1" si="2"/>
        <v/>
      </c>
      <c r="R16" s="82" t="str">
        <f t="shared" ca="1" si="5"/>
        <v>])</v>
      </c>
    </row>
    <row r="17" spans="1:18">
      <c r="A17" s="22">
        <v>9</v>
      </c>
      <c r="B17" s="23" t="str">
        <f t="shared" ca="1" si="3"/>
        <v>-&gt;create([</v>
      </c>
      <c r="C17" s="82" t="str">
        <f t="shared" ca="1" si="4"/>
        <v xml:space="preserve">'id' =&gt; '9', </v>
      </c>
      <c r="D17" s="82" t="str">
        <f t="shared" ca="1" si="2"/>
        <v xml:space="preserve">'resource_action' =&gt; '21', </v>
      </c>
      <c r="E17" s="82" t="str">
        <f t="shared" ca="1" si="2"/>
        <v xml:space="preserve">'resource_list' =&gt; '2', </v>
      </c>
      <c r="F17" s="82" t="str">
        <f t="shared" ca="1" si="2"/>
        <v/>
      </c>
      <c r="G17" s="82" t="str">
        <f t="shared" ca="1" si="2"/>
        <v/>
      </c>
      <c r="H17" s="82" t="str">
        <f t="shared" ca="1" si="2"/>
        <v/>
      </c>
      <c r="I17" s="82" t="str">
        <f t="shared" ca="1" si="2"/>
        <v/>
      </c>
      <c r="J17" s="82" t="str">
        <f t="shared" ca="1" si="2"/>
        <v/>
      </c>
      <c r="K17" s="82" t="str">
        <f t="shared" ca="1" si="2"/>
        <v/>
      </c>
      <c r="L17" s="82" t="str">
        <f t="shared" ca="1" si="2"/>
        <v/>
      </c>
      <c r="M17" s="82" t="str">
        <f t="shared" ca="1" si="2"/>
        <v/>
      </c>
      <c r="N17" s="82" t="str">
        <f t="shared" ca="1" si="2"/>
        <v/>
      </c>
      <c r="O17" s="82" t="str">
        <f t="shared" ca="1" si="2"/>
        <v/>
      </c>
      <c r="P17" s="82" t="str">
        <f t="shared" ca="1" si="2"/>
        <v/>
      </c>
      <c r="Q17" s="82" t="str">
        <f t="shared" ca="1" si="2"/>
        <v/>
      </c>
      <c r="R17" s="82" t="str">
        <f t="shared" ca="1" si="5"/>
        <v>])</v>
      </c>
    </row>
    <row r="18" spans="1:18">
      <c r="A18" s="22">
        <v>10</v>
      </c>
      <c r="B18" s="23" t="str">
        <f t="shared" ca="1" si="3"/>
        <v>-&gt;create([</v>
      </c>
      <c r="C18" s="82" t="str">
        <f t="shared" ca="1" si="4"/>
        <v xml:space="preserve">'id' =&gt; '10', </v>
      </c>
      <c r="D18" s="82" t="str">
        <f t="shared" ca="1" si="2"/>
        <v xml:space="preserve">'resource_action' =&gt; '22', </v>
      </c>
      <c r="E18" s="82" t="str">
        <f t="shared" ca="1" si="2"/>
        <v xml:space="preserve">'resource_list' =&gt; '2', </v>
      </c>
      <c r="F18" s="82" t="str">
        <f t="shared" ca="1" si="2"/>
        <v/>
      </c>
      <c r="G18" s="82" t="str">
        <f t="shared" ca="1" si="2"/>
        <v/>
      </c>
      <c r="H18" s="82" t="str">
        <f t="shared" ca="1" si="2"/>
        <v/>
      </c>
      <c r="I18" s="82" t="str">
        <f t="shared" ca="1" si="2"/>
        <v/>
      </c>
      <c r="J18" s="82" t="str">
        <f t="shared" ca="1" si="2"/>
        <v/>
      </c>
      <c r="K18" s="82" t="str">
        <f t="shared" ca="1" si="2"/>
        <v/>
      </c>
      <c r="L18" s="82" t="str">
        <f t="shared" ca="1" si="2"/>
        <v/>
      </c>
      <c r="M18" s="82" t="str">
        <f t="shared" ca="1" si="2"/>
        <v/>
      </c>
      <c r="N18" s="82" t="str">
        <f t="shared" ca="1" si="2"/>
        <v/>
      </c>
      <c r="O18" s="82" t="str">
        <f t="shared" ca="1" si="2"/>
        <v/>
      </c>
      <c r="P18" s="82" t="str">
        <f t="shared" ca="1" si="2"/>
        <v/>
      </c>
      <c r="Q18" s="82" t="str">
        <f t="shared" ca="1" si="2"/>
        <v/>
      </c>
      <c r="R18" s="82" t="str">
        <f t="shared" ca="1" si="5"/>
        <v>])</v>
      </c>
    </row>
    <row r="19" spans="1:18">
      <c r="A19" s="22">
        <v>11</v>
      </c>
      <c r="B19" s="23" t="str">
        <f t="shared" ca="1" si="3"/>
        <v>-&gt;create([</v>
      </c>
      <c r="C19" s="82" t="str">
        <f t="shared" ca="1" si="4"/>
        <v xml:space="preserve">'id' =&gt; '11', </v>
      </c>
      <c r="D19" s="82" t="str">
        <f t="shared" ca="1" si="2"/>
        <v xml:space="preserve">'resource_action' =&gt; '23', </v>
      </c>
      <c r="E19" s="82" t="str">
        <f t="shared" ca="1" si="2"/>
        <v xml:space="preserve">'resource_list' =&gt; '4', </v>
      </c>
      <c r="F19" s="82" t="str">
        <f t="shared" ca="1" si="2"/>
        <v/>
      </c>
      <c r="G19" s="82" t="str">
        <f t="shared" ca="1" si="2"/>
        <v/>
      </c>
      <c r="H19" s="82" t="str">
        <f t="shared" ca="1" si="2"/>
        <v/>
      </c>
      <c r="I19" s="82" t="str">
        <f t="shared" ca="1" si="2"/>
        <v/>
      </c>
      <c r="J19" s="82" t="str">
        <f t="shared" ca="1" si="2"/>
        <v/>
      </c>
      <c r="K19" s="82" t="str">
        <f t="shared" ca="1" si="2"/>
        <v/>
      </c>
      <c r="L19" s="82" t="str">
        <f t="shared" ca="1" si="2"/>
        <v/>
      </c>
      <c r="M19" s="82" t="str">
        <f t="shared" ca="1" si="2"/>
        <v/>
      </c>
      <c r="N19" s="82" t="str">
        <f t="shared" ca="1" si="2"/>
        <v/>
      </c>
      <c r="O19" s="82" t="str">
        <f t="shared" ca="1" si="2"/>
        <v/>
      </c>
      <c r="P19" s="82" t="str">
        <f t="shared" ca="1" si="2"/>
        <v/>
      </c>
      <c r="Q19" s="82" t="str">
        <f t="shared" ca="1" si="2"/>
        <v/>
      </c>
      <c r="R19" s="82" t="str">
        <f t="shared" ca="1" si="5"/>
        <v>])</v>
      </c>
    </row>
    <row r="20" spans="1:18">
      <c r="A20" s="22">
        <v>12</v>
      </c>
      <c r="B20" s="23" t="str">
        <f t="shared" ca="1" si="3"/>
        <v>-&gt;create([</v>
      </c>
      <c r="C20" s="82" t="str">
        <f t="shared" ca="1" si="4"/>
        <v xml:space="preserve">'id' =&gt; '12', </v>
      </c>
      <c r="D20" s="82" t="str">
        <f t="shared" ca="1" si="2"/>
        <v xml:space="preserve">'resource_action' =&gt; '24', </v>
      </c>
      <c r="E20" s="82" t="str">
        <f t="shared" ca="1" si="2"/>
        <v xml:space="preserve">'resource_list' =&gt; '4', </v>
      </c>
      <c r="F20" s="82" t="str">
        <f t="shared" ca="1" si="2"/>
        <v/>
      </c>
      <c r="G20" s="82" t="str">
        <f t="shared" ca="1" si="2"/>
        <v/>
      </c>
      <c r="H20" s="82" t="str">
        <f t="shared" ca="1" si="2"/>
        <v/>
      </c>
      <c r="I20" s="82" t="str">
        <f t="shared" ca="1" si="2"/>
        <v/>
      </c>
      <c r="J20" s="82" t="str">
        <f t="shared" ca="1" si="2"/>
        <v/>
      </c>
      <c r="K20" s="82" t="str">
        <f t="shared" ca="1" si="2"/>
        <v/>
      </c>
      <c r="L20" s="82" t="str">
        <f t="shared" ca="1" si="2"/>
        <v/>
      </c>
      <c r="M20" s="82" t="str">
        <f t="shared" ca="1" si="2"/>
        <v/>
      </c>
      <c r="N20" s="82" t="str">
        <f t="shared" ca="1" si="2"/>
        <v/>
      </c>
      <c r="O20" s="82" t="str">
        <f t="shared" ca="1" si="2"/>
        <v/>
      </c>
      <c r="P20" s="82" t="str">
        <f t="shared" ca="1" si="2"/>
        <v/>
      </c>
      <c r="Q20" s="82" t="str">
        <f t="shared" ca="1" si="2"/>
        <v/>
      </c>
      <c r="R20" s="82" t="str">
        <f t="shared" ca="1" si="5"/>
        <v>])</v>
      </c>
    </row>
    <row r="21" spans="1:18">
      <c r="A21" s="22">
        <v>13</v>
      </c>
      <c r="B21" s="23" t="str">
        <f t="shared" ca="1" si="3"/>
        <v>-&gt;create([</v>
      </c>
      <c r="C21" s="82" t="str">
        <f t="shared" ca="1" si="4"/>
        <v xml:space="preserve">'id' =&gt; '13', </v>
      </c>
      <c r="D21" s="82" t="str">
        <f t="shared" ca="1" si="2"/>
        <v xml:space="preserve">'resource_action' =&gt; '25', </v>
      </c>
      <c r="E21" s="82" t="str">
        <f t="shared" ca="1" si="2"/>
        <v xml:space="preserve">'resource_list' =&gt; '4', </v>
      </c>
      <c r="F21" s="82" t="str">
        <f t="shared" ca="1" si="2"/>
        <v/>
      </c>
      <c r="G21" s="82" t="str">
        <f t="shared" ca="1" si="2"/>
        <v/>
      </c>
      <c r="H21" s="82" t="str">
        <f t="shared" ca="1" si="2"/>
        <v/>
      </c>
      <c r="I21" s="82" t="str">
        <f t="shared" ca="1" si="2"/>
        <v/>
      </c>
      <c r="J21" s="82" t="str">
        <f t="shared" ca="1" si="2"/>
        <v/>
      </c>
      <c r="K21" s="82" t="str">
        <f t="shared" ca="1" si="2"/>
        <v/>
      </c>
      <c r="L21" s="82" t="str">
        <f t="shared" ca="1" si="2"/>
        <v/>
      </c>
      <c r="M21" s="82" t="str">
        <f t="shared" ca="1" si="2"/>
        <v/>
      </c>
      <c r="N21" s="82" t="str">
        <f t="shared" ca="1" si="2"/>
        <v/>
      </c>
      <c r="O21" s="82" t="str">
        <f t="shared" ca="1" si="2"/>
        <v/>
      </c>
      <c r="P21" s="82" t="str">
        <f t="shared" ca="1" si="2"/>
        <v/>
      </c>
      <c r="Q21" s="82" t="str">
        <f t="shared" ca="1" si="2"/>
        <v/>
      </c>
      <c r="R21" s="82" t="str">
        <f t="shared" ca="1" si="5"/>
        <v>])</v>
      </c>
    </row>
    <row r="22" spans="1:18">
      <c r="A22" s="22">
        <v>14</v>
      </c>
      <c r="B22" s="23" t="str">
        <f t="shared" ca="1" si="3"/>
        <v>-&gt;create([</v>
      </c>
      <c r="C22" s="82" t="str">
        <f t="shared" ca="1" si="4"/>
        <v xml:space="preserve">'id' =&gt; '14', </v>
      </c>
      <c r="D22" s="82" t="str">
        <f t="shared" ca="1" si="2"/>
        <v xml:space="preserve">'resource_action' =&gt; '26', </v>
      </c>
      <c r="E22" s="82" t="str">
        <f t="shared" ca="1" si="2"/>
        <v xml:space="preserve">'resource_list' =&gt; '5', </v>
      </c>
      <c r="F22" s="82" t="str">
        <f t="shared" ca="1" si="2"/>
        <v/>
      </c>
      <c r="G22" s="82" t="str">
        <f t="shared" ca="1" si="2"/>
        <v/>
      </c>
      <c r="H22" s="82" t="str">
        <f t="shared" ca="1" si="2"/>
        <v/>
      </c>
      <c r="I22" s="82" t="str">
        <f t="shared" ca="1" si="2"/>
        <v/>
      </c>
      <c r="J22" s="82" t="str">
        <f t="shared" ca="1" si="2"/>
        <v/>
      </c>
      <c r="K22" s="82" t="str">
        <f t="shared" ca="1" si="2"/>
        <v/>
      </c>
      <c r="L22" s="82" t="str">
        <f t="shared" ca="1" si="2"/>
        <v/>
      </c>
      <c r="M22" s="82" t="str">
        <f t="shared" ca="1" si="2"/>
        <v/>
      </c>
      <c r="N22" s="82" t="str">
        <f t="shared" ca="1" si="2"/>
        <v/>
      </c>
      <c r="O22" s="82" t="str">
        <f t="shared" ca="1" si="2"/>
        <v/>
      </c>
      <c r="P22" s="82" t="str">
        <f t="shared" ca="1" si="2"/>
        <v/>
      </c>
      <c r="Q22" s="82" t="str">
        <f t="shared" ca="1" si="2"/>
        <v/>
      </c>
      <c r="R22" s="82" t="str">
        <f t="shared" ca="1" si="5"/>
        <v>])</v>
      </c>
    </row>
    <row r="23" spans="1:18">
      <c r="A23" s="22">
        <v>15</v>
      </c>
      <c r="B23" s="23" t="str">
        <f t="shared" ca="1" si="3"/>
        <v>-&gt;create([</v>
      </c>
      <c r="C23" s="82" t="str">
        <f t="shared" ca="1" si="4"/>
        <v xml:space="preserve">'id' =&gt; '15', </v>
      </c>
      <c r="D23" s="82" t="str">
        <f t="shared" ca="1" si="2"/>
        <v xml:space="preserve">'resource_action' =&gt; '27', </v>
      </c>
      <c r="E23" s="82" t="str">
        <f t="shared" ca="1" si="2"/>
        <v xml:space="preserve">'resource_list' =&gt; '5', </v>
      </c>
      <c r="F23" s="82" t="str">
        <f t="shared" ca="1" si="2"/>
        <v/>
      </c>
      <c r="G23" s="82" t="str">
        <f t="shared" ca="1" si="2"/>
        <v/>
      </c>
      <c r="H23" s="82" t="str">
        <f t="shared" ca="1" si="2"/>
        <v/>
      </c>
      <c r="I23" s="82" t="str">
        <f t="shared" ca="1" si="2"/>
        <v/>
      </c>
      <c r="J23" s="82" t="str">
        <f t="shared" ca="1" si="2"/>
        <v/>
      </c>
      <c r="K23" s="82" t="str">
        <f t="shared" ca="1" si="2"/>
        <v/>
      </c>
      <c r="L23" s="82" t="str">
        <f t="shared" ca="1" si="2"/>
        <v/>
      </c>
      <c r="M23" s="82" t="str">
        <f t="shared" ca="1" si="2"/>
        <v/>
      </c>
      <c r="N23" s="82" t="str">
        <f t="shared" ca="1" si="2"/>
        <v/>
      </c>
      <c r="O23" s="82" t="str">
        <f t="shared" ca="1" si="2"/>
        <v/>
      </c>
      <c r="P23" s="82" t="str">
        <f t="shared" ca="1" si="2"/>
        <v/>
      </c>
      <c r="Q23" s="82" t="str">
        <f t="shared" ca="1" si="2"/>
        <v/>
      </c>
      <c r="R23" s="82" t="str">
        <f t="shared" ca="1" si="5"/>
        <v>])</v>
      </c>
    </row>
    <row r="24" spans="1:18">
      <c r="A24" s="22">
        <v>16</v>
      </c>
      <c r="B24" s="23" t="str">
        <f t="shared" ca="1" si="3"/>
        <v>-&gt;create([</v>
      </c>
      <c r="C24" s="82" t="str">
        <f t="shared" ca="1" si="4"/>
        <v xml:space="preserve">'id' =&gt; '16', </v>
      </c>
      <c r="D24" s="82" t="str">
        <f t="shared" ca="1" si="2"/>
        <v xml:space="preserve">'resource_action' =&gt; '28', </v>
      </c>
      <c r="E24" s="82" t="str">
        <f t="shared" ca="1" si="2"/>
        <v xml:space="preserve">'resource_list' =&gt; '5', </v>
      </c>
      <c r="F24" s="82" t="str">
        <f t="shared" ca="1" si="2"/>
        <v/>
      </c>
      <c r="G24" s="82" t="str">
        <f t="shared" ca="1" si="2"/>
        <v/>
      </c>
      <c r="H24" s="82" t="str">
        <f t="shared" ca="1" si="2"/>
        <v/>
      </c>
      <c r="I24" s="82" t="str">
        <f t="shared" ca="1" si="2"/>
        <v/>
      </c>
      <c r="J24" s="82" t="str">
        <f t="shared" ca="1" si="2"/>
        <v/>
      </c>
      <c r="K24" s="82" t="str">
        <f t="shared" ca="1" si="2"/>
        <v/>
      </c>
      <c r="L24" s="82" t="str">
        <f t="shared" ca="1" si="2"/>
        <v/>
      </c>
      <c r="M24" s="82" t="str">
        <f t="shared" ca="1" si="2"/>
        <v/>
      </c>
      <c r="N24" s="82" t="str">
        <f t="shared" ca="1" si="2"/>
        <v/>
      </c>
      <c r="O24" s="82" t="str">
        <f t="shared" ca="1" si="2"/>
        <v/>
      </c>
      <c r="P24" s="82" t="str">
        <f t="shared" ca="1" si="2"/>
        <v/>
      </c>
      <c r="Q24" s="82" t="str">
        <f t="shared" ca="1" si="2"/>
        <v/>
      </c>
      <c r="R24" s="82" t="str">
        <f t="shared" ca="1" si="5"/>
        <v>])</v>
      </c>
    </row>
    <row r="25" spans="1:18">
      <c r="A25" s="22">
        <v>17</v>
      </c>
      <c r="B25" s="23" t="str">
        <f t="shared" ca="1" si="3"/>
        <v>-&gt;create([</v>
      </c>
      <c r="C25" s="82" t="str">
        <f t="shared" ca="1" si="4"/>
        <v xml:space="preserve">'id' =&gt; '17', </v>
      </c>
      <c r="D25" s="82" t="str">
        <f t="shared" ca="1" si="4"/>
        <v xml:space="preserve">'resource_action' =&gt; '29', </v>
      </c>
      <c r="E25" s="82" t="str">
        <f t="shared" ca="1" si="4"/>
        <v xml:space="preserve">'resource_list' =&gt; '5', </v>
      </c>
      <c r="F25" s="82" t="str">
        <f t="shared" ca="1" si="4"/>
        <v/>
      </c>
      <c r="G25" s="82" t="str">
        <f t="shared" ca="1" si="4"/>
        <v/>
      </c>
      <c r="H25" s="82" t="str">
        <f t="shared" ca="1" si="4"/>
        <v/>
      </c>
      <c r="I25" s="82" t="str">
        <f t="shared" ca="1" si="4"/>
        <v/>
      </c>
      <c r="J25" s="82" t="str">
        <f t="shared" ca="1" si="4"/>
        <v/>
      </c>
      <c r="K25" s="82" t="str">
        <f t="shared" ca="1" si="4"/>
        <v/>
      </c>
      <c r="L25" s="82" t="str">
        <f t="shared" ca="1" si="4"/>
        <v/>
      </c>
      <c r="M25" s="82" t="str">
        <f t="shared" ca="1" si="4"/>
        <v/>
      </c>
      <c r="N25" s="82" t="str">
        <f t="shared" ca="1" si="4"/>
        <v/>
      </c>
      <c r="O25" s="82" t="str">
        <f t="shared" ca="1" si="4"/>
        <v/>
      </c>
      <c r="P25" s="82" t="str">
        <f t="shared" ca="1" si="4"/>
        <v/>
      </c>
      <c r="Q25" s="82" t="str">
        <f t="shared" ca="1" si="4"/>
        <v/>
      </c>
      <c r="R25" s="82" t="str">
        <f t="shared" ca="1" si="5"/>
        <v>])</v>
      </c>
    </row>
    <row r="26" spans="1:18">
      <c r="A26" s="22">
        <v>18</v>
      </c>
      <c r="B26" s="23" t="str">
        <f t="shared" ca="1" si="3"/>
        <v>-&gt;create([</v>
      </c>
      <c r="C26" s="82" t="str">
        <f t="shared" ca="1" si="4"/>
        <v xml:space="preserve">'id' =&gt; '18', </v>
      </c>
      <c r="D26" s="82" t="str">
        <f t="shared" ca="1" si="4"/>
        <v xml:space="preserve">'resource_action' =&gt; '30', </v>
      </c>
      <c r="E26" s="82" t="str">
        <f t="shared" ca="1" si="4"/>
        <v xml:space="preserve">'resource_list' =&gt; '6', </v>
      </c>
      <c r="F26" s="82" t="str">
        <f t="shared" ca="1" si="4"/>
        <v/>
      </c>
      <c r="G26" s="82" t="str">
        <f t="shared" ca="1" si="4"/>
        <v/>
      </c>
      <c r="H26" s="82" t="str">
        <f t="shared" ca="1" si="4"/>
        <v/>
      </c>
      <c r="I26" s="82" t="str">
        <f t="shared" ca="1" si="4"/>
        <v/>
      </c>
      <c r="J26" s="82" t="str">
        <f t="shared" ca="1" si="4"/>
        <v/>
      </c>
      <c r="K26" s="82" t="str">
        <f t="shared" ca="1" si="4"/>
        <v/>
      </c>
      <c r="L26" s="82" t="str">
        <f t="shared" ca="1" si="4"/>
        <v/>
      </c>
      <c r="M26" s="82" t="str">
        <f t="shared" ca="1" si="4"/>
        <v/>
      </c>
      <c r="N26" s="82" t="str">
        <f t="shared" ca="1" si="4"/>
        <v/>
      </c>
      <c r="O26" s="82" t="str">
        <f t="shared" ca="1" si="4"/>
        <v/>
      </c>
      <c r="P26" s="82" t="str">
        <f t="shared" ca="1" si="4"/>
        <v/>
      </c>
      <c r="Q26" s="82" t="str">
        <f t="shared" ca="1" si="4"/>
        <v/>
      </c>
      <c r="R26" s="82" t="str">
        <f t="shared" ca="1" si="5"/>
        <v>])</v>
      </c>
    </row>
    <row r="27" spans="1:18">
      <c r="A27" s="22">
        <v>19</v>
      </c>
      <c r="B27" s="23" t="str">
        <f t="shared" ca="1" si="3"/>
        <v>-&gt;create([</v>
      </c>
      <c r="C27" s="82" t="str">
        <f t="shared" ca="1" si="4"/>
        <v xml:space="preserve">'id' =&gt; '19', </v>
      </c>
      <c r="D27" s="82" t="str">
        <f t="shared" ca="1" si="4"/>
        <v xml:space="preserve">'resource_action' =&gt; '31', </v>
      </c>
      <c r="E27" s="82" t="str">
        <f t="shared" ca="1" si="4"/>
        <v xml:space="preserve">'resource_list' =&gt; '6', </v>
      </c>
      <c r="F27" s="82" t="str">
        <f t="shared" ca="1" si="4"/>
        <v/>
      </c>
      <c r="G27" s="82" t="str">
        <f t="shared" ca="1" si="4"/>
        <v/>
      </c>
      <c r="H27" s="82" t="str">
        <f t="shared" ca="1" si="4"/>
        <v/>
      </c>
      <c r="I27" s="82" t="str">
        <f t="shared" ca="1" si="4"/>
        <v/>
      </c>
      <c r="J27" s="82" t="str">
        <f t="shared" ca="1" si="4"/>
        <v/>
      </c>
      <c r="K27" s="82" t="str">
        <f t="shared" ca="1" si="4"/>
        <v/>
      </c>
      <c r="L27" s="82" t="str">
        <f t="shared" ca="1" si="4"/>
        <v/>
      </c>
      <c r="M27" s="82" t="str">
        <f t="shared" ca="1" si="4"/>
        <v/>
      </c>
      <c r="N27" s="82" t="str">
        <f t="shared" ca="1" si="4"/>
        <v/>
      </c>
      <c r="O27" s="82" t="str">
        <f t="shared" ca="1" si="4"/>
        <v/>
      </c>
      <c r="P27" s="82" t="str">
        <f t="shared" ca="1" si="4"/>
        <v/>
      </c>
      <c r="Q27" s="82" t="str">
        <f t="shared" ca="1" si="4"/>
        <v/>
      </c>
      <c r="R27" s="82" t="str">
        <f t="shared" ca="1" si="5"/>
        <v>])</v>
      </c>
    </row>
    <row r="28" spans="1:18">
      <c r="A28" s="22">
        <v>20</v>
      </c>
      <c r="B28" s="23" t="str">
        <f t="shared" ca="1" si="3"/>
        <v>-&gt;create([</v>
      </c>
      <c r="C28" s="82" t="str">
        <f t="shared" ca="1" si="4"/>
        <v xml:space="preserve">'id' =&gt; '20', </v>
      </c>
      <c r="D28" s="82" t="str">
        <f t="shared" ca="1" si="4"/>
        <v xml:space="preserve">'resource_action' =&gt; '32', </v>
      </c>
      <c r="E28" s="82" t="str">
        <f t="shared" ca="1" si="4"/>
        <v xml:space="preserve">'resource_list' =&gt; '6', </v>
      </c>
      <c r="F28" s="82" t="str">
        <f t="shared" ca="1" si="4"/>
        <v/>
      </c>
      <c r="G28" s="82" t="str">
        <f t="shared" ca="1" si="4"/>
        <v/>
      </c>
      <c r="H28" s="82" t="str">
        <f t="shared" ca="1" si="4"/>
        <v/>
      </c>
      <c r="I28" s="82" t="str">
        <f t="shared" ca="1" si="4"/>
        <v/>
      </c>
      <c r="J28" s="82" t="str">
        <f t="shared" ca="1" si="4"/>
        <v/>
      </c>
      <c r="K28" s="82" t="str">
        <f t="shared" ca="1" si="4"/>
        <v/>
      </c>
      <c r="L28" s="82" t="str">
        <f t="shared" ca="1" si="4"/>
        <v/>
      </c>
      <c r="M28" s="82" t="str">
        <f t="shared" ca="1" si="4"/>
        <v/>
      </c>
      <c r="N28" s="82" t="str">
        <f t="shared" ca="1" si="4"/>
        <v/>
      </c>
      <c r="O28" s="82" t="str">
        <f t="shared" ca="1" si="4"/>
        <v/>
      </c>
      <c r="P28" s="82" t="str">
        <f t="shared" ca="1" si="4"/>
        <v/>
      </c>
      <c r="Q28" s="82" t="str">
        <f t="shared" ca="1" si="4"/>
        <v/>
      </c>
      <c r="R28" s="82" t="str">
        <f t="shared" ca="1" si="5"/>
        <v>])</v>
      </c>
    </row>
    <row r="29" spans="1:18">
      <c r="A29" s="22">
        <v>21</v>
      </c>
      <c r="B29" s="23" t="str">
        <f t="shared" ca="1" si="3"/>
        <v>-&gt;create([</v>
      </c>
      <c r="C29" s="82" t="str">
        <f t="shared" ca="1" si="4"/>
        <v xml:space="preserve">'id' =&gt; '21', </v>
      </c>
      <c r="D29" s="82" t="str">
        <f t="shared" ca="1" si="4"/>
        <v xml:space="preserve">'resource_action' =&gt; '33', </v>
      </c>
      <c r="E29" s="82" t="str">
        <f t="shared" ca="1" si="4"/>
        <v xml:space="preserve">'resource_list' =&gt; '6', </v>
      </c>
      <c r="F29" s="82" t="str">
        <f t="shared" ca="1" si="4"/>
        <v/>
      </c>
      <c r="G29" s="82" t="str">
        <f t="shared" ca="1" si="4"/>
        <v/>
      </c>
      <c r="H29" s="82" t="str">
        <f t="shared" ca="1" si="4"/>
        <v/>
      </c>
      <c r="I29" s="82" t="str">
        <f t="shared" ca="1" si="4"/>
        <v/>
      </c>
      <c r="J29" s="82" t="str">
        <f t="shared" ca="1" si="4"/>
        <v/>
      </c>
      <c r="K29" s="82" t="str">
        <f t="shared" ca="1" si="4"/>
        <v/>
      </c>
      <c r="L29" s="82" t="str">
        <f t="shared" ca="1" si="4"/>
        <v/>
      </c>
      <c r="M29" s="82" t="str">
        <f t="shared" ca="1" si="4"/>
        <v/>
      </c>
      <c r="N29" s="82" t="str">
        <f t="shared" ca="1" si="4"/>
        <v/>
      </c>
      <c r="O29" s="82" t="str">
        <f t="shared" ca="1" si="4"/>
        <v/>
      </c>
      <c r="P29" s="82" t="str">
        <f t="shared" ca="1" si="4"/>
        <v/>
      </c>
      <c r="Q29" s="82" t="str">
        <f t="shared" ca="1" si="4"/>
        <v/>
      </c>
      <c r="R29" s="82" t="str">
        <f t="shared" ca="1" si="5"/>
        <v>])</v>
      </c>
    </row>
    <row r="30" spans="1:18">
      <c r="A30" s="22">
        <v>22</v>
      </c>
      <c r="B30" s="23" t="str">
        <f t="shared" ca="1" si="3"/>
        <v>-&gt;create([</v>
      </c>
      <c r="C30" s="82" t="str">
        <f t="shared" ca="1" si="4"/>
        <v xml:space="preserve">'id' =&gt; '22', </v>
      </c>
      <c r="D30" s="82" t="str">
        <f t="shared" ca="1" si="4"/>
        <v xml:space="preserve">'resource_action' =&gt; '34', </v>
      </c>
      <c r="E30" s="82" t="str">
        <f t="shared" ca="1" si="4"/>
        <v xml:space="preserve">'resource_list' =&gt; '3', </v>
      </c>
      <c r="F30" s="82" t="str">
        <f t="shared" ca="1" si="4"/>
        <v/>
      </c>
      <c r="G30" s="82" t="str">
        <f t="shared" ca="1" si="4"/>
        <v/>
      </c>
      <c r="H30" s="82" t="str">
        <f t="shared" ca="1" si="4"/>
        <v/>
      </c>
      <c r="I30" s="82" t="str">
        <f t="shared" ca="1" si="4"/>
        <v/>
      </c>
      <c r="J30" s="82" t="str">
        <f t="shared" ca="1" si="4"/>
        <v/>
      </c>
      <c r="K30" s="82" t="str">
        <f t="shared" ca="1" si="4"/>
        <v/>
      </c>
      <c r="L30" s="82" t="str">
        <f t="shared" ca="1" si="4"/>
        <v/>
      </c>
      <c r="M30" s="82" t="str">
        <f t="shared" ca="1" si="4"/>
        <v/>
      </c>
      <c r="N30" s="82" t="str">
        <f t="shared" ca="1" si="4"/>
        <v/>
      </c>
      <c r="O30" s="82" t="str">
        <f t="shared" ca="1" si="4"/>
        <v/>
      </c>
      <c r="P30" s="82" t="str">
        <f t="shared" ca="1" si="4"/>
        <v/>
      </c>
      <c r="Q30" s="82" t="str">
        <f t="shared" ca="1" si="4"/>
        <v/>
      </c>
      <c r="R30" s="82" t="str">
        <f t="shared" ca="1" si="5"/>
        <v>])</v>
      </c>
    </row>
    <row r="31" spans="1:18">
      <c r="A31" s="22">
        <v>23</v>
      </c>
      <c r="B31" s="23" t="str">
        <f t="shared" ca="1" si="3"/>
        <v>-&gt;create([</v>
      </c>
      <c r="C31" s="82" t="str">
        <f t="shared" ca="1" si="4"/>
        <v xml:space="preserve">'id' =&gt; '23', </v>
      </c>
      <c r="D31" s="82" t="str">
        <f t="shared" ca="1" si="4"/>
        <v xml:space="preserve">'resource_action' =&gt; '35', </v>
      </c>
      <c r="E31" s="82" t="str">
        <f t="shared" ca="1" si="4"/>
        <v xml:space="preserve">'resource_list' =&gt; '3', </v>
      </c>
      <c r="F31" s="82" t="str">
        <f t="shared" ca="1" si="4"/>
        <v/>
      </c>
      <c r="G31" s="82" t="str">
        <f t="shared" ca="1" si="4"/>
        <v/>
      </c>
      <c r="H31" s="82" t="str">
        <f t="shared" ca="1" si="4"/>
        <v/>
      </c>
      <c r="I31" s="82" t="str">
        <f t="shared" ca="1" si="4"/>
        <v/>
      </c>
      <c r="J31" s="82" t="str">
        <f t="shared" ca="1" si="4"/>
        <v/>
      </c>
      <c r="K31" s="82" t="str">
        <f t="shared" ca="1" si="4"/>
        <v/>
      </c>
      <c r="L31" s="82" t="str">
        <f t="shared" ca="1" si="4"/>
        <v/>
      </c>
      <c r="M31" s="82" t="str">
        <f t="shared" ca="1" si="4"/>
        <v/>
      </c>
      <c r="N31" s="82" t="str">
        <f t="shared" ca="1" si="4"/>
        <v/>
      </c>
      <c r="O31" s="82" t="str">
        <f t="shared" ca="1" si="4"/>
        <v/>
      </c>
      <c r="P31" s="82" t="str">
        <f t="shared" ca="1" si="4"/>
        <v/>
      </c>
      <c r="Q31" s="82" t="str">
        <f t="shared" ca="1" si="4"/>
        <v/>
      </c>
      <c r="R31" s="82" t="str">
        <f t="shared" ca="1" si="5"/>
        <v>])</v>
      </c>
    </row>
    <row r="32" spans="1:18">
      <c r="A32" s="22">
        <v>24</v>
      </c>
      <c r="B32" s="23" t="str">
        <f t="shared" ca="1" si="3"/>
        <v>-&gt;create([</v>
      </c>
      <c r="C32" s="82" t="str">
        <f t="shared" ca="1" si="4"/>
        <v xml:space="preserve">'id' =&gt; '24', </v>
      </c>
      <c r="D32" s="82" t="str">
        <f t="shared" ca="1" si="4"/>
        <v xml:space="preserve">'resource_action' =&gt; '36', </v>
      </c>
      <c r="E32" s="82" t="str">
        <f t="shared" ca="1" si="4"/>
        <v xml:space="preserve">'resource_list' =&gt; '3', </v>
      </c>
      <c r="F32" s="82" t="str">
        <f t="shared" ca="1" si="4"/>
        <v/>
      </c>
      <c r="G32" s="82" t="str">
        <f t="shared" ca="1" si="4"/>
        <v/>
      </c>
      <c r="H32" s="82" t="str">
        <f t="shared" ca="1" si="4"/>
        <v/>
      </c>
      <c r="I32" s="82" t="str">
        <f t="shared" ca="1" si="4"/>
        <v/>
      </c>
      <c r="J32" s="82" t="str">
        <f t="shared" ca="1" si="4"/>
        <v/>
      </c>
      <c r="K32" s="82" t="str">
        <f t="shared" ca="1" si="4"/>
        <v/>
      </c>
      <c r="L32" s="82" t="str">
        <f t="shared" ca="1" si="4"/>
        <v/>
      </c>
      <c r="M32" s="82" t="str">
        <f t="shared" ca="1" si="4"/>
        <v/>
      </c>
      <c r="N32" s="82" t="str">
        <f t="shared" ca="1" si="4"/>
        <v/>
      </c>
      <c r="O32" s="82" t="str">
        <f t="shared" ca="1" si="4"/>
        <v/>
      </c>
      <c r="P32" s="82" t="str">
        <f t="shared" ca="1" si="4"/>
        <v/>
      </c>
      <c r="Q32" s="82" t="str">
        <f t="shared" ca="1" si="4"/>
        <v/>
      </c>
      <c r="R32" s="82" t="str">
        <f t="shared" ca="1" si="5"/>
        <v>])</v>
      </c>
    </row>
    <row r="33" spans="1:18">
      <c r="A33" s="22">
        <v>25</v>
      </c>
      <c r="B33" s="23" t="str">
        <f t="shared" ca="1" si="3"/>
        <v>-&gt;create([</v>
      </c>
      <c r="C33" s="82" t="str">
        <f t="shared" ca="1" si="4"/>
        <v xml:space="preserve">'id' =&gt; '25', </v>
      </c>
      <c r="D33" s="82" t="str">
        <f t="shared" ca="1" si="4"/>
        <v xml:space="preserve">'resource_action' =&gt; '37', </v>
      </c>
      <c r="E33" s="82" t="str">
        <f t="shared" ca="1" si="4"/>
        <v xml:space="preserve">'resource_list' =&gt; '7', </v>
      </c>
      <c r="F33" s="82" t="str">
        <f t="shared" ca="1" si="4"/>
        <v/>
      </c>
      <c r="G33" s="82" t="str">
        <f t="shared" ca="1" si="4"/>
        <v/>
      </c>
      <c r="H33" s="82" t="str">
        <f t="shared" ca="1" si="4"/>
        <v/>
      </c>
      <c r="I33" s="82" t="str">
        <f t="shared" ca="1" si="4"/>
        <v/>
      </c>
      <c r="J33" s="82" t="str">
        <f t="shared" ca="1" si="4"/>
        <v/>
      </c>
      <c r="K33" s="82" t="str">
        <f t="shared" ca="1" si="4"/>
        <v/>
      </c>
      <c r="L33" s="82" t="str">
        <f t="shared" ca="1" si="4"/>
        <v/>
      </c>
      <c r="M33" s="82" t="str">
        <f t="shared" ca="1" si="4"/>
        <v/>
      </c>
      <c r="N33" s="82" t="str">
        <f t="shared" ca="1" si="4"/>
        <v/>
      </c>
      <c r="O33" s="82" t="str">
        <f t="shared" ca="1" si="4"/>
        <v/>
      </c>
      <c r="P33" s="82" t="str">
        <f t="shared" ca="1" si="4"/>
        <v/>
      </c>
      <c r="Q33" s="82" t="str">
        <f t="shared" ca="1" si="4"/>
        <v/>
      </c>
      <c r="R33" s="82" t="str">
        <f t="shared" ca="1" si="5"/>
        <v>])</v>
      </c>
    </row>
    <row r="34" spans="1:18">
      <c r="A34" s="22">
        <v>26</v>
      </c>
      <c r="B34" s="23" t="str">
        <f t="shared" ca="1" si="3"/>
        <v>-&gt;create([</v>
      </c>
      <c r="C34" s="82" t="str">
        <f t="shared" ca="1" si="4"/>
        <v xml:space="preserve">'id' =&gt; '26', </v>
      </c>
      <c r="D34" s="82" t="str">
        <f t="shared" ca="1" si="4"/>
        <v xml:space="preserve">'resource_action' =&gt; '38', </v>
      </c>
      <c r="E34" s="82" t="str">
        <f t="shared" ca="1" si="4"/>
        <v xml:space="preserve">'resource_list' =&gt; '7', </v>
      </c>
      <c r="F34" s="82" t="str">
        <f t="shared" ca="1" si="4"/>
        <v/>
      </c>
      <c r="G34" s="82" t="str">
        <f t="shared" ca="1" si="4"/>
        <v/>
      </c>
      <c r="H34" s="82" t="str">
        <f t="shared" ca="1" si="4"/>
        <v/>
      </c>
      <c r="I34" s="82" t="str">
        <f t="shared" ca="1" si="4"/>
        <v/>
      </c>
      <c r="J34" s="82" t="str">
        <f t="shared" ca="1" si="4"/>
        <v/>
      </c>
      <c r="K34" s="82" t="str">
        <f t="shared" ca="1" si="4"/>
        <v/>
      </c>
      <c r="L34" s="82" t="str">
        <f t="shared" ca="1" si="4"/>
        <v/>
      </c>
      <c r="M34" s="82" t="str">
        <f t="shared" ca="1" si="4"/>
        <v/>
      </c>
      <c r="N34" s="82" t="str">
        <f t="shared" ca="1" si="4"/>
        <v/>
      </c>
      <c r="O34" s="82" t="str">
        <f t="shared" ca="1" si="4"/>
        <v/>
      </c>
      <c r="P34" s="82" t="str">
        <f t="shared" ca="1" si="4"/>
        <v/>
      </c>
      <c r="Q34" s="82" t="str">
        <f t="shared" ca="1" si="4"/>
        <v/>
      </c>
      <c r="R34" s="82" t="str">
        <f t="shared" ca="1" si="5"/>
        <v>])</v>
      </c>
    </row>
    <row r="35" spans="1:18">
      <c r="A35" s="22">
        <v>27</v>
      </c>
      <c r="B35" s="23" t="str">
        <f t="shared" ca="1" si="3"/>
        <v>-&gt;create([</v>
      </c>
      <c r="C35" s="82" t="str">
        <f t="shared" ca="1" si="4"/>
        <v xml:space="preserve">'id' =&gt; '27', </v>
      </c>
      <c r="D35" s="82" t="str">
        <f t="shared" ca="1" si="4"/>
        <v xml:space="preserve">'resource_action' =&gt; '39', </v>
      </c>
      <c r="E35" s="82" t="str">
        <f t="shared" ca="1" si="4"/>
        <v xml:space="preserve">'resource_list' =&gt; '7', </v>
      </c>
      <c r="F35" s="82" t="str">
        <f t="shared" ca="1" si="4"/>
        <v/>
      </c>
      <c r="G35" s="82" t="str">
        <f t="shared" ca="1" si="4"/>
        <v/>
      </c>
      <c r="H35" s="82" t="str">
        <f t="shared" ca="1" si="4"/>
        <v/>
      </c>
      <c r="I35" s="82" t="str">
        <f t="shared" ca="1" si="4"/>
        <v/>
      </c>
      <c r="J35" s="82" t="str">
        <f t="shared" ca="1" si="4"/>
        <v/>
      </c>
      <c r="K35" s="82" t="str">
        <f t="shared" ca="1" si="4"/>
        <v/>
      </c>
      <c r="L35" s="82" t="str">
        <f t="shared" ca="1" si="4"/>
        <v/>
      </c>
      <c r="M35" s="82" t="str">
        <f t="shared" ca="1" si="4"/>
        <v/>
      </c>
      <c r="N35" s="82" t="str">
        <f t="shared" ca="1" si="4"/>
        <v/>
      </c>
      <c r="O35" s="82" t="str">
        <f t="shared" ca="1" si="4"/>
        <v/>
      </c>
      <c r="P35" s="82" t="str">
        <f t="shared" ca="1" si="4"/>
        <v/>
      </c>
      <c r="Q35" s="82" t="str">
        <f t="shared" ca="1" si="4"/>
        <v/>
      </c>
      <c r="R35" s="82" t="str">
        <f t="shared" ca="1" si="5"/>
        <v>])</v>
      </c>
    </row>
    <row r="36" spans="1:18">
      <c r="A36" s="22">
        <v>28</v>
      </c>
      <c r="B36" s="23" t="str">
        <f t="shared" ca="1" si="3"/>
        <v>-&gt;create([</v>
      </c>
      <c r="C36" s="82" t="str">
        <f t="shared" ca="1" si="4"/>
        <v xml:space="preserve">'id' =&gt; '28', </v>
      </c>
      <c r="D36" s="82" t="str">
        <f t="shared" ca="1" si="4"/>
        <v xml:space="preserve">'resource_action' =&gt; '40', </v>
      </c>
      <c r="E36" s="82" t="str">
        <f t="shared" ca="1" si="4"/>
        <v xml:space="preserve">'resource_list' =&gt; '7', </v>
      </c>
      <c r="F36" s="82" t="str">
        <f t="shared" ca="1" si="4"/>
        <v/>
      </c>
      <c r="G36" s="82" t="str">
        <f t="shared" ca="1" si="4"/>
        <v/>
      </c>
      <c r="H36" s="82" t="str">
        <f t="shared" ca="1" si="4"/>
        <v/>
      </c>
      <c r="I36" s="82" t="str">
        <f t="shared" ca="1" si="4"/>
        <v/>
      </c>
      <c r="J36" s="82" t="str">
        <f t="shared" ca="1" si="4"/>
        <v/>
      </c>
      <c r="K36" s="82" t="str">
        <f t="shared" ca="1" si="4"/>
        <v/>
      </c>
      <c r="L36" s="82" t="str">
        <f t="shared" ca="1" si="4"/>
        <v/>
      </c>
      <c r="M36" s="82" t="str">
        <f t="shared" ca="1" si="4"/>
        <v/>
      </c>
      <c r="N36" s="82" t="str">
        <f t="shared" ca="1" si="4"/>
        <v/>
      </c>
      <c r="O36" s="82" t="str">
        <f t="shared" ca="1" si="4"/>
        <v/>
      </c>
      <c r="P36" s="82" t="str">
        <f t="shared" ca="1" si="4"/>
        <v/>
      </c>
      <c r="Q36" s="82" t="str">
        <f t="shared" ca="1" si="4"/>
        <v/>
      </c>
      <c r="R36" s="82" t="str">
        <f t="shared" ca="1" si="5"/>
        <v>])</v>
      </c>
    </row>
    <row r="37" spans="1:18">
      <c r="A37" s="22">
        <v>29</v>
      </c>
      <c r="B37" s="23" t="str">
        <f t="shared" ca="1" si="3"/>
        <v>-&gt;create([</v>
      </c>
      <c r="C37" s="82" t="str">
        <f t="shared" ca="1" si="4"/>
        <v xml:space="preserve">'id' =&gt; '29', </v>
      </c>
      <c r="D37" s="82" t="str">
        <f t="shared" ca="1" si="4"/>
        <v xml:space="preserve">'resource_action' =&gt; '41', </v>
      </c>
      <c r="E37" s="82" t="str">
        <f t="shared" ca="1" si="4"/>
        <v xml:space="preserve">'resource_list' =&gt; '7', </v>
      </c>
      <c r="F37" s="82" t="str">
        <f t="shared" ca="1" si="4"/>
        <v/>
      </c>
      <c r="G37" s="82" t="str">
        <f t="shared" ca="1" si="4"/>
        <v/>
      </c>
      <c r="H37" s="82" t="str">
        <f t="shared" ca="1" si="4"/>
        <v/>
      </c>
      <c r="I37" s="82" t="str">
        <f t="shared" ca="1" si="4"/>
        <v/>
      </c>
      <c r="J37" s="82" t="str">
        <f t="shared" ca="1" si="4"/>
        <v/>
      </c>
      <c r="K37" s="82" t="str">
        <f t="shared" ca="1" si="4"/>
        <v/>
      </c>
      <c r="L37" s="82" t="str">
        <f t="shared" ca="1" si="4"/>
        <v/>
      </c>
      <c r="M37" s="82" t="str">
        <f t="shared" ca="1" si="4"/>
        <v/>
      </c>
      <c r="N37" s="82" t="str">
        <f t="shared" ca="1" si="4"/>
        <v/>
      </c>
      <c r="O37" s="82" t="str">
        <f t="shared" ca="1" si="4"/>
        <v/>
      </c>
      <c r="P37" s="82" t="str">
        <f t="shared" ca="1" si="4"/>
        <v/>
      </c>
      <c r="Q37" s="82" t="str">
        <f t="shared" ca="1" si="4"/>
        <v/>
      </c>
      <c r="R37" s="82" t="str">
        <f t="shared" ca="1" si="5"/>
        <v>])</v>
      </c>
    </row>
    <row r="38" spans="1:18">
      <c r="A38" s="22">
        <v>30</v>
      </c>
      <c r="B38" s="23" t="str">
        <f t="shared" ca="1" si="3"/>
        <v>-&gt;create([</v>
      </c>
      <c r="C38" s="82" t="str">
        <f t="shared" ca="1" si="4"/>
        <v xml:space="preserve">'id' =&gt; '30', </v>
      </c>
      <c r="D38" s="82" t="str">
        <f t="shared" ca="1" si="4"/>
        <v xml:space="preserve">'resource_action' =&gt; '42', </v>
      </c>
      <c r="E38" s="82" t="str">
        <f t="shared" ca="1" si="4"/>
        <v xml:space="preserve">'resource_list' =&gt; '5', </v>
      </c>
      <c r="F38" s="82" t="str">
        <f t="shared" ca="1" si="4"/>
        <v/>
      </c>
      <c r="G38" s="82" t="str">
        <f t="shared" ca="1" si="4"/>
        <v/>
      </c>
      <c r="H38" s="82" t="str">
        <f t="shared" ca="1" si="4"/>
        <v/>
      </c>
      <c r="I38" s="82" t="str">
        <f t="shared" ca="1" si="4"/>
        <v/>
      </c>
      <c r="J38" s="82" t="str">
        <f t="shared" ca="1" si="4"/>
        <v/>
      </c>
      <c r="K38" s="82" t="str">
        <f t="shared" ca="1" si="4"/>
        <v/>
      </c>
      <c r="L38" s="82" t="str">
        <f t="shared" ca="1" si="4"/>
        <v/>
      </c>
      <c r="M38" s="82" t="str">
        <f t="shared" ca="1" si="4"/>
        <v/>
      </c>
      <c r="N38" s="82" t="str">
        <f t="shared" ca="1" si="4"/>
        <v/>
      </c>
      <c r="O38" s="82" t="str">
        <f t="shared" ca="1" si="4"/>
        <v/>
      </c>
      <c r="P38" s="82" t="str">
        <f t="shared" ca="1" si="4"/>
        <v/>
      </c>
      <c r="Q38" s="82" t="str">
        <f t="shared" ca="1" si="4"/>
        <v/>
      </c>
      <c r="R38" s="82" t="str">
        <f t="shared" ca="1" si="5"/>
        <v>])</v>
      </c>
    </row>
    <row r="39" spans="1:18">
      <c r="A39" s="22">
        <v>31</v>
      </c>
      <c r="B39" s="23" t="str">
        <f t="shared" ca="1" si="3"/>
        <v>;</v>
      </c>
      <c r="C39" s="82" t="str">
        <f t="shared" ca="1" si="4"/>
        <v/>
      </c>
      <c r="D39" s="82" t="str">
        <f t="shared" ca="1" si="4"/>
        <v/>
      </c>
      <c r="E39" s="82" t="str">
        <f t="shared" ca="1" si="4"/>
        <v/>
      </c>
      <c r="F39" s="82" t="str">
        <f t="shared" ca="1" si="4"/>
        <v/>
      </c>
      <c r="G39" s="82" t="str">
        <f t="shared" ca="1" si="4"/>
        <v/>
      </c>
      <c r="H39" s="82" t="str">
        <f t="shared" ca="1" si="4"/>
        <v/>
      </c>
      <c r="I39" s="82" t="str">
        <f t="shared" ca="1" si="4"/>
        <v/>
      </c>
      <c r="J39" s="82" t="str">
        <f t="shared" ca="1" si="4"/>
        <v/>
      </c>
      <c r="K39" s="82" t="str">
        <f t="shared" ca="1" si="4"/>
        <v/>
      </c>
      <c r="L39" s="82" t="str">
        <f t="shared" ca="1" si="4"/>
        <v/>
      </c>
      <c r="M39" s="82" t="str">
        <f t="shared" ca="1" si="4"/>
        <v/>
      </c>
      <c r="N39" s="82" t="str">
        <f t="shared" ca="1" si="4"/>
        <v/>
      </c>
      <c r="O39" s="82" t="str">
        <f t="shared" ca="1" si="4"/>
        <v/>
      </c>
      <c r="P39" s="82" t="str">
        <f t="shared" ca="1" si="4"/>
        <v/>
      </c>
      <c r="Q39" s="82" t="str">
        <f t="shared" ca="1" si="4"/>
        <v/>
      </c>
      <c r="R39" s="82" t="str">
        <f t="shared" ca="1" si="5"/>
        <v/>
      </c>
    </row>
    <row r="40" spans="1:18">
      <c r="A40" s="22">
        <v>32</v>
      </c>
      <c r="B40" s="23" t="str">
        <f t="shared" ca="1" si="3"/>
        <v>\DB::statement('set foreign_key_checks = ' . $_);</v>
      </c>
      <c r="C40" s="82" t="str">
        <f t="shared" ca="1" si="4"/>
        <v/>
      </c>
      <c r="D40" s="82" t="str">
        <f t="shared" ca="1" si="4"/>
        <v/>
      </c>
      <c r="E40" s="82" t="str">
        <f t="shared" ca="1" si="4"/>
        <v/>
      </c>
      <c r="F40" s="82" t="str">
        <f t="shared" ca="1" si="4"/>
        <v/>
      </c>
      <c r="G40" s="82" t="str">
        <f t="shared" ca="1" si="4"/>
        <v/>
      </c>
      <c r="H40" s="82" t="str">
        <f t="shared" ca="1" si="4"/>
        <v/>
      </c>
      <c r="I40" s="82" t="str">
        <f t="shared" ca="1" si="4"/>
        <v/>
      </c>
      <c r="J40" s="82" t="str">
        <f t="shared" ca="1" si="4"/>
        <v/>
      </c>
      <c r="K40" s="82" t="str">
        <f t="shared" ca="1" si="4"/>
        <v/>
      </c>
      <c r="L40" s="82" t="str">
        <f t="shared" ca="1" si="4"/>
        <v/>
      </c>
      <c r="M40" s="82" t="str">
        <f t="shared" ca="1" si="4"/>
        <v/>
      </c>
      <c r="N40" s="82" t="str">
        <f t="shared" ca="1" si="4"/>
        <v/>
      </c>
      <c r="O40" s="82" t="str">
        <f t="shared" ca="1" si="4"/>
        <v/>
      </c>
      <c r="P40" s="82" t="str">
        <f t="shared" ca="1" si="4"/>
        <v/>
      </c>
      <c r="Q40" s="82" t="str">
        <f t="shared" ca="1" si="4"/>
        <v/>
      </c>
      <c r="R40" s="82" t="str">
        <f t="shared" ca="1" si="5"/>
        <v/>
      </c>
    </row>
    <row r="41" spans="1:18">
      <c r="A41" s="22">
        <v>33</v>
      </c>
      <c r="B41" s="23" t="str">
        <f t="shared" ca="1" si="3"/>
        <v/>
      </c>
      <c r="C41" s="82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82" t="str">
        <f t="shared" ca="1" si="6"/>
        <v/>
      </c>
      <c r="E41" s="82" t="str">
        <f t="shared" ca="1" si="6"/>
        <v/>
      </c>
      <c r="F41" s="82" t="str">
        <f t="shared" ca="1" si="6"/>
        <v/>
      </c>
      <c r="G41" s="82" t="str">
        <f t="shared" ca="1" si="6"/>
        <v/>
      </c>
      <c r="H41" s="82" t="str">
        <f t="shared" ca="1" si="6"/>
        <v/>
      </c>
      <c r="I41" s="82" t="str">
        <f t="shared" ca="1" si="6"/>
        <v/>
      </c>
      <c r="J41" s="82" t="str">
        <f t="shared" ca="1" si="6"/>
        <v/>
      </c>
      <c r="K41" s="82" t="str">
        <f t="shared" ca="1" si="6"/>
        <v/>
      </c>
      <c r="L41" s="82" t="str">
        <f t="shared" ca="1" si="6"/>
        <v/>
      </c>
      <c r="M41" s="82" t="str">
        <f t="shared" ca="1" si="6"/>
        <v/>
      </c>
      <c r="N41" s="82" t="str">
        <f t="shared" ca="1" si="6"/>
        <v/>
      </c>
      <c r="O41" s="82" t="str">
        <f t="shared" ca="1" si="6"/>
        <v/>
      </c>
      <c r="P41" s="82" t="str">
        <f t="shared" ca="1" si="6"/>
        <v/>
      </c>
      <c r="Q41" s="82" t="str">
        <f t="shared" ca="1" si="6"/>
        <v/>
      </c>
      <c r="R41" s="82" t="str">
        <f t="shared" ca="1" si="5"/>
        <v/>
      </c>
    </row>
    <row r="42" spans="1:18">
      <c r="A42" s="22">
        <v>34</v>
      </c>
      <c r="B42" s="23" t="str">
        <f t="shared" ca="1" si="3"/>
        <v/>
      </c>
      <c r="C42" s="82" t="str">
        <f t="shared" ca="1" si="6"/>
        <v/>
      </c>
      <c r="D42" s="82" t="str">
        <f t="shared" ca="1" si="6"/>
        <v/>
      </c>
      <c r="E42" s="82" t="str">
        <f t="shared" ca="1" si="6"/>
        <v/>
      </c>
      <c r="F42" s="82" t="str">
        <f t="shared" ca="1" si="6"/>
        <v/>
      </c>
      <c r="G42" s="82" t="str">
        <f t="shared" ca="1" si="6"/>
        <v/>
      </c>
      <c r="H42" s="82" t="str">
        <f t="shared" ca="1" si="6"/>
        <v/>
      </c>
      <c r="I42" s="82" t="str">
        <f t="shared" ca="1" si="6"/>
        <v/>
      </c>
      <c r="J42" s="82" t="str">
        <f t="shared" ca="1" si="6"/>
        <v/>
      </c>
      <c r="K42" s="82" t="str">
        <f t="shared" ca="1" si="6"/>
        <v/>
      </c>
      <c r="L42" s="82" t="str">
        <f t="shared" ca="1" si="6"/>
        <v/>
      </c>
      <c r="M42" s="82" t="str">
        <f t="shared" ca="1" si="6"/>
        <v/>
      </c>
      <c r="N42" s="82" t="str">
        <f t="shared" ca="1" si="6"/>
        <v/>
      </c>
      <c r="O42" s="82" t="str">
        <f t="shared" ca="1" si="6"/>
        <v/>
      </c>
      <c r="P42" s="82" t="str">
        <f t="shared" ca="1" si="6"/>
        <v/>
      </c>
      <c r="Q42" s="82" t="str">
        <f t="shared" ca="1" si="6"/>
        <v/>
      </c>
      <c r="R42" s="82" t="str">
        <f t="shared" ca="1" si="5"/>
        <v/>
      </c>
    </row>
    <row r="43" spans="1:18">
      <c r="A43" s="22">
        <v>35</v>
      </c>
      <c r="B43" s="23" t="str">
        <f t="shared" ca="1" si="3"/>
        <v/>
      </c>
      <c r="C43" s="82" t="str">
        <f t="shared" ca="1" si="6"/>
        <v/>
      </c>
      <c r="D43" s="82" t="str">
        <f t="shared" ca="1" si="6"/>
        <v/>
      </c>
      <c r="E43" s="82" t="str">
        <f t="shared" ca="1" si="6"/>
        <v/>
      </c>
      <c r="F43" s="82" t="str">
        <f t="shared" ca="1" si="6"/>
        <v/>
      </c>
      <c r="G43" s="82" t="str">
        <f t="shared" ca="1" si="6"/>
        <v/>
      </c>
      <c r="H43" s="82" t="str">
        <f t="shared" ca="1" si="6"/>
        <v/>
      </c>
      <c r="I43" s="82" t="str">
        <f t="shared" ca="1" si="6"/>
        <v/>
      </c>
      <c r="J43" s="82" t="str">
        <f t="shared" ca="1" si="6"/>
        <v/>
      </c>
      <c r="K43" s="82" t="str">
        <f t="shared" ca="1" si="6"/>
        <v/>
      </c>
      <c r="L43" s="82" t="str">
        <f t="shared" ca="1" si="6"/>
        <v/>
      </c>
      <c r="M43" s="82" t="str">
        <f t="shared" ca="1" si="6"/>
        <v/>
      </c>
      <c r="N43" s="82" t="str">
        <f t="shared" ca="1" si="6"/>
        <v/>
      </c>
      <c r="O43" s="82" t="str">
        <f t="shared" ca="1" si="6"/>
        <v/>
      </c>
      <c r="P43" s="82" t="str">
        <f t="shared" ca="1" si="6"/>
        <v/>
      </c>
      <c r="Q43" s="82" t="str">
        <f t="shared" ca="1" si="6"/>
        <v/>
      </c>
      <c r="R43" s="82" t="str">
        <f t="shared" ca="1" si="5"/>
        <v/>
      </c>
    </row>
    <row r="44" spans="1:18">
      <c r="A44" s="22">
        <v>36</v>
      </c>
      <c r="B44" s="23" t="str">
        <f t="shared" ca="1" si="3"/>
        <v/>
      </c>
      <c r="C44" s="82" t="str">
        <f t="shared" ca="1" si="6"/>
        <v/>
      </c>
      <c r="D44" s="82" t="str">
        <f t="shared" ca="1" si="6"/>
        <v/>
      </c>
      <c r="E44" s="82" t="str">
        <f t="shared" ca="1" si="6"/>
        <v/>
      </c>
      <c r="F44" s="82" t="str">
        <f t="shared" ca="1" si="6"/>
        <v/>
      </c>
      <c r="G44" s="82" t="str">
        <f t="shared" ca="1" si="6"/>
        <v/>
      </c>
      <c r="H44" s="82" t="str">
        <f t="shared" ca="1" si="6"/>
        <v/>
      </c>
      <c r="I44" s="82" t="str">
        <f t="shared" ca="1" si="6"/>
        <v/>
      </c>
      <c r="J44" s="82" t="str">
        <f t="shared" ca="1" si="6"/>
        <v/>
      </c>
      <c r="K44" s="82" t="str">
        <f t="shared" ca="1" si="6"/>
        <v/>
      </c>
      <c r="L44" s="82" t="str">
        <f t="shared" ca="1" si="6"/>
        <v/>
      </c>
      <c r="M44" s="82" t="str">
        <f t="shared" ca="1" si="6"/>
        <v/>
      </c>
      <c r="N44" s="82" t="str">
        <f t="shared" ca="1" si="6"/>
        <v/>
      </c>
      <c r="O44" s="82" t="str">
        <f t="shared" ca="1" si="6"/>
        <v/>
      </c>
      <c r="P44" s="82" t="str">
        <f t="shared" ca="1" si="6"/>
        <v/>
      </c>
      <c r="Q44" s="82" t="str">
        <f t="shared" ca="1" si="6"/>
        <v/>
      </c>
      <c r="R44" s="82" t="str">
        <f t="shared" ca="1" si="5"/>
        <v/>
      </c>
    </row>
    <row r="45" spans="1:18">
      <c r="A45" s="22">
        <v>37</v>
      </c>
      <c r="B45" s="23" t="str">
        <f t="shared" ca="1" si="3"/>
        <v/>
      </c>
      <c r="C45" s="82" t="str">
        <f t="shared" ca="1" si="6"/>
        <v/>
      </c>
      <c r="D45" s="82" t="str">
        <f t="shared" ca="1" si="6"/>
        <v/>
      </c>
      <c r="E45" s="82" t="str">
        <f t="shared" ca="1" si="6"/>
        <v/>
      </c>
      <c r="F45" s="82" t="str">
        <f t="shared" ca="1" si="6"/>
        <v/>
      </c>
      <c r="G45" s="82" t="str">
        <f t="shared" ca="1" si="6"/>
        <v/>
      </c>
      <c r="H45" s="82" t="str">
        <f t="shared" ca="1" si="6"/>
        <v/>
      </c>
      <c r="I45" s="82" t="str">
        <f t="shared" ca="1" si="6"/>
        <v/>
      </c>
      <c r="J45" s="82" t="str">
        <f t="shared" ca="1" si="6"/>
        <v/>
      </c>
      <c r="K45" s="82" t="str">
        <f t="shared" ca="1" si="6"/>
        <v/>
      </c>
      <c r="L45" s="82" t="str">
        <f t="shared" ca="1" si="6"/>
        <v/>
      </c>
      <c r="M45" s="82" t="str">
        <f t="shared" ca="1" si="6"/>
        <v/>
      </c>
      <c r="N45" s="82" t="str">
        <f t="shared" ca="1" si="6"/>
        <v/>
      </c>
      <c r="O45" s="82" t="str">
        <f t="shared" ca="1" si="6"/>
        <v/>
      </c>
      <c r="P45" s="82" t="str">
        <f t="shared" ca="1" si="6"/>
        <v/>
      </c>
      <c r="Q45" s="82" t="str">
        <f t="shared" ca="1" si="6"/>
        <v/>
      </c>
      <c r="R45" s="82" t="str">
        <f t="shared" ca="1" si="5"/>
        <v/>
      </c>
    </row>
    <row r="46" spans="1:18">
      <c r="A46" s="22">
        <v>38</v>
      </c>
      <c r="B46" s="23" t="str">
        <f t="shared" ca="1" si="3"/>
        <v/>
      </c>
      <c r="C46" s="82" t="str">
        <f t="shared" ca="1" si="6"/>
        <v/>
      </c>
      <c r="D46" s="82" t="str">
        <f t="shared" ca="1" si="6"/>
        <v/>
      </c>
      <c r="E46" s="82" t="str">
        <f t="shared" ca="1" si="6"/>
        <v/>
      </c>
      <c r="F46" s="82" t="str">
        <f t="shared" ca="1" si="6"/>
        <v/>
      </c>
      <c r="G46" s="82" t="str">
        <f t="shared" ca="1" si="6"/>
        <v/>
      </c>
      <c r="H46" s="82" t="str">
        <f t="shared" ca="1" si="6"/>
        <v/>
      </c>
      <c r="I46" s="82" t="str">
        <f t="shared" ca="1" si="6"/>
        <v/>
      </c>
      <c r="J46" s="82" t="str">
        <f t="shared" ca="1" si="6"/>
        <v/>
      </c>
      <c r="K46" s="82" t="str">
        <f t="shared" ca="1" si="6"/>
        <v/>
      </c>
      <c r="L46" s="82" t="str">
        <f t="shared" ca="1" si="6"/>
        <v/>
      </c>
      <c r="M46" s="82" t="str">
        <f t="shared" ca="1" si="6"/>
        <v/>
      </c>
      <c r="N46" s="82" t="str">
        <f t="shared" ca="1" si="6"/>
        <v/>
      </c>
      <c r="O46" s="82" t="str">
        <f t="shared" ca="1" si="6"/>
        <v/>
      </c>
      <c r="P46" s="82" t="str">
        <f t="shared" ca="1" si="6"/>
        <v/>
      </c>
      <c r="Q46" s="82" t="str">
        <f t="shared" ca="1" si="6"/>
        <v/>
      </c>
      <c r="R46" s="82" t="str">
        <f t="shared" ca="1" si="5"/>
        <v/>
      </c>
    </row>
    <row r="47" spans="1:18">
      <c r="A47" s="22">
        <v>39</v>
      </c>
      <c r="B47" s="23" t="str">
        <f t="shared" ca="1" si="3"/>
        <v/>
      </c>
      <c r="C47" s="82" t="str">
        <f t="shared" ca="1" si="6"/>
        <v/>
      </c>
      <c r="D47" s="82" t="str">
        <f t="shared" ca="1" si="6"/>
        <v/>
      </c>
      <c r="E47" s="82" t="str">
        <f t="shared" ca="1" si="6"/>
        <v/>
      </c>
      <c r="F47" s="82" t="str">
        <f t="shared" ca="1" si="6"/>
        <v/>
      </c>
      <c r="G47" s="82" t="str">
        <f t="shared" ca="1" si="6"/>
        <v/>
      </c>
      <c r="H47" s="82" t="str">
        <f t="shared" ca="1" si="6"/>
        <v/>
      </c>
      <c r="I47" s="82" t="str">
        <f t="shared" ca="1" si="6"/>
        <v/>
      </c>
      <c r="J47" s="82" t="str">
        <f t="shared" ca="1" si="6"/>
        <v/>
      </c>
      <c r="K47" s="82" t="str">
        <f t="shared" ca="1" si="6"/>
        <v/>
      </c>
      <c r="L47" s="82" t="str">
        <f t="shared" ca="1" si="6"/>
        <v/>
      </c>
      <c r="M47" s="82" t="str">
        <f t="shared" ca="1" si="6"/>
        <v/>
      </c>
      <c r="N47" s="82" t="str">
        <f t="shared" ca="1" si="6"/>
        <v/>
      </c>
      <c r="O47" s="82" t="str">
        <f t="shared" ca="1" si="6"/>
        <v/>
      </c>
      <c r="P47" s="82" t="str">
        <f t="shared" ca="1" si="6"/>
        <v/>
      </c>
      <c r="Q47" s="82" t="str">
        <f t="shared" ca="1" si="6"/>
        <v/>
      </c>
      <c r="R47" s="82" t="str">
        <f t="shared" ca="1" si="5"/>
        <v/>
      </c>
    </row>
    <row r="48" spans="1:18">
      <c r="A48" s="22">
        <v>40</v>
      </c>
      <c r="B48" s="23" t="str">
        <f t="shared" ca="1" si="3"/>
        <v/>
      </c>
      <c r="C48" s="82" t="str">
        <f t="shared" ca="1" si="6"/>
        <v/>
      </c>
      <c r="D48" s="82" t="str">
        <f t="shared" ca="1" si="6"/>
        <v/>
      </c>
      <c r="E48" s="82" t="str">
        <f t="shared" ca="1" si="6"/>
        <v/>
      </c>
      <c r="F48" s="82" t="str">
        <f t="shared" ca="1" si="6"/>
        <v/>
      </c>
      <c r="G48" s="82" t="str">
        <f t="shared" ca="1" si="6"/>
        <v/>
      </c>
      <c r="H48" s="82" t="str">
        <f t="shared" ca="1" si="6"/>
        <v/>
      </c>
      <c r="I48" s="82" t="str">
        <f t="shared" ca="1" si="6"/>
        <v/>
      </c>
      <c r="J48" s="82" t="str">
        <f t="shared" ca="1" si="6"/>
        <v/>
      </c>
      <c r="K48" s="82" t="str">
        <f t="shared" ca="1" si="6"/>
        <v/>
      </c>
      <c r="L48" s="82" t="str">
        <f t="shared" ca="1" si="6"/>
        <v/>
      </c>
      <c r="M48" s="82" t="str">
        <f t="shared" ca="1" si="6"/>
        <v/>
      </c>
      <c r="N48" s="82" t="str">
        <f t="shared" ca="1" si="6"/>
        <v/>
      </c>
      <c r="O48" s="82" t="str">
        <f t="shared" ca="1" si="6"/>
        <v/>
      </c>
      <c r="P48" s="82" t="str">
        <f t="shared" ca="1" si="6"/>
        <v/>
      </c>
      <c r="Q48" s="82" t="str">
        <f t="shared" ca="1" si="6"/>
        <v/>
      </c>
      <c r="R48" s="82" t="str">
        <f t="shared" ca="1" si="5"/>
        <v/>
      </c>
    </row>
    <row r="49" spans="1:18">
      <c r="A49" s="22">
        <v>41</v>
      </c>
      <c r="B49" s="23" t="str">
        <f t="shared" ca="1" si="3"/>
        <v/>
      </c>
      <c r="C49" s="82" t="str">
        <f t="shared" ca="1" si="6"/>
        <v/>
      </c>
      <c r="D49" s="82" t="str">
        <f t="shared" ca="1" si="6"/>
        <v/>
      </c>
      <c r="E49" s="82" t="str">
        <f t="shared" ca="1" si="6"/>
        <v/>
      </c>
      <c r="F49" s="82" t="str">
        <f t="shared" ca="1" si="6"/>
        <v/>
      </c>
      <c r="G49" s="82" t="str">
        <f t="shared" ca="1" si="6"/>
        <v/>
      </c>
      <c r="H49" s="82" t="str">
        <f t="shared" ca="1" si="6"/>
        <v/>
      </c>
      <c r="I49" s="82" t="str">
        <f t="shared" ca="1" si="6"/>
        <v/>
      </c>
      <c r="J49" s="82" t="str">
        <f t="shared" ca="1" si="6"/>
        <v/>
      </c>
      <c r="K49" s="82" t="str">
        <f t="shared" ca="1" si="6"/>
        <v/>
      </c>
      <c r="L49" s="82" t="str">
        <f t="shared" ca="1" si="6"/>
        <v/>
      </c>
      <c r="M49" s="82" t="str">
        <f t="shared" ca="1" si="6"/>
        <v/>
      </c>
      <c r="N49" s="82" t="str">
        <f t="shared" ca="1" si="6"/>
        <v/>
      </c>
      <c r="O49" s="82" t="str">
        <f t="shared" ca="1" si="6"/>
        <v/>
      </c>
      <c r="P49" s="82" t="str">
        <f t="shared" ca="1" si="6"/>
        <v/>
      </c>
      <c r="Q49" s="82" t="str">
        <f t="shared" ca="1" si="6"/>
        <v/>
      </c>
      <c r="R49" s="82" t="str">
        <f t="shared" ca="1" si="5"/>
        <v/>
      </c>
    </row>
    <row r="50" spans="1:18">
      <c r="A50" s="22">
        <v>42</v>
      </c>
      <c r="B50" s="23" t="str">
        <f t="shared" ca="1" si="3"/>
        <v/>
      </c>
      <c r="C50" s="82" t="str">
        <f t="shared" ca="1" si="6"/>
        <v/>
      </c>
      <c r="D50" s="82" t="str">
        <f t="shared" ca="1" si="6"/>
        <v/>
      </c>
      <c r="E50" s="82" t="str">
        <f t="shared" ca="1" si="6"/>
        <v/>
      </c>
      <c r="F50" s="82" t="str">
        <f t="shared" ca="1" si="6"/>
        <v/>
      </c>
      <c r="G50" s="82" t="str">
        <f t="shared" ca="1" si="6"/>
        <v/>
      </c>
      <c r="H50" s="82" t="str">
        <f t="shared" ca="1" si="6"/>
        <v/>
      </c>
      <c r="I50" s="82" t="str">
        <f t="shared" ca="1" si="6"/>
        <v/>
      </c>
      <c r="J50" s="82" t="str">
        <f t="shared" ca="1" si="6"/>
        <v/>
      </c>
      <c r="K50" s="82" t="str">
        <f t="shared" ca="1" si="6"/>
        <v/>
      </c>
      <c r="L50" s="82" t="str">
        <f t="shared" ca="1" si="6"/>
        <v/>
      </c>
      <c r="M50" s="82" t="str">
        <f t="shared" ca="1" si="6"/>
        <v/>
      </c>
      <c r="N50" s="82" t="str">
        <f t="shared" ca="1" si="6"/>
        <v/>
      </c>
      <c r="O50" s="82" t="str">
        <f t="shared" ca="1" si="6"/>
        <v/>
      </c>
      <c r="P50" s="82" t="str">
        <f t="shared" ca="1" si="6"/>
        <v/>
      </c>
      <c r="Q50" s="82" t="str">
        <f t="shared" ca="1" si="6"/>
        <v/>
      </c>
      <c r="R50" s="82" t="str">
        <f t="shared" ca="1" si="5"/>
        <v/>
      </c>
    </row>
    <row r="51" spans="1:18">
      <c r="A51" s="22">
        <v>43</v>
      </c>
      <c r="B51" s="23" t="str">
        <f t="shared" ca="1" si="3"/>
        <v/>
      </c>
      <c r="C51" s="82" t="str">
        <f t="shared" ca="1" si="6"/>
        <v/>
      </c>
      <c r="D51" s="82" t="str">
        <f t="shared" ca="1" si="6"/>
        <v/>
      </c>
      <c r="E51" s="82" t="str">
        <f t="shared" ca="1" si="6"/>
        <v/>
      </c>
      <c r="F51" s="82" t="str">
        <f t="shared" ca="1" si="6"/>
        <v/>
      </c>
      <c r="G51" s="82" t="str">
        <f t="shared" ca="1" si="6"/>
        <v/>
      </c>
      <c r="H51" s="82" t="str">
        <f t="shared" ca="1" si="6"/>
        <v/>
      </c>
      <c r="I51" s="82" t="str">
        <f t="shared" ca="1" si="6"/>
        <v/>
      </c>
      <c r="J51" s="82" t="str">
        <f t="shared" ca="1" si="6"/>
        <v/>
      </c>
      <c r="K51" s="82" t="str">
        <f t="shared" ca="1" si="6"/>
        <v/>
      </c>
      <c r="L51" s="82" t="str">
        <f t="shared" ca="1" si="6"/>
        <v/>
      </c>
      <c r="M51" s="82" t="str">
        <f t="shared" ca="1" si="6"/>
        <v/>
      </c>
      <c r="N51" s="82" t="str">
        <f t="shared" ca="1" si="6"/>
        <v/>
      </c>
      <c r="O51" s="82" t="str">
        <f t="shared" ca="1" si="6"/>
        <v/>
      </c>
      <c r="P51" s="82" t="str">
        <f t="shared" ca="1" si="6"/>
        <v/>
      </c>
      <c r="Q51" s="82" t="str">
        <f t="shared" ca="1" si="6"/>
        <v/>
      </c>
      <c r="R51" s="82" t="str">
        <f t="shared" ca="1" si="5"/>
        <v/>
      </c>
    </row>
    <row r="52" spans="1:18">
      <c r="A52" s="22">
        <v>44</v>
      </c>
      <c r="B52" s="23" t="str">
        <f t="shared" ca="1" si="3"/>
        <v/>
      </c>
      <c r="C52" s="82" t="str">
        <f t="shared" ca="1" si="6"/>
        <v/>
      </c>
      <c r="D52" s="82" t="str">
        <f t="shared" ca="1" si="6"/>
        <v/>
      </c>
      <c r="E52" s="82" t="str">
        <f t="shared" ca="1" si="6"/>
        <v/>
      </c>
      <c r="F52" s="82" t="str">
        <f t="shared" ca="1" si="6"/>
        <v/>
      </c>
      <c r="G52" s="82" t="str">
        <f t="shared" ca="1" si="6"/>
        <v/>
      </c>
      <c r="H52" s="82" t="str">
        <f t="shared" ca="1" si="6"/>
        <v/>
      </c>
      <c r="I52" s="82" t="str">
        <f t="shared" ca="1" si="6"/>
        <v/>
      </c>
      <c r="J52" s="82" t="str">
        <f t="shared" ca="1" si="6"/>
        <v/>
      </c>
      <c r="K52" s="82" t="str">
        <f t="shared" ca="1" si="6"/>
        <v/>
      </c>
      <c r="L52" s="82" t="str">
        <f t="shared" ca="1" si="6"/>
        <v/>
      </c>
      <c r="M52" s="82" t="str">
        <f t="shared" ca="1" si="6"/>
        <v/>
      </c>
      <c r="N52" s="82" t="str">
        <f t="shared" ca="1" si="6"/>
        <v/>
      </c>
      <c r="O52" s="82" t="str">
        <f t="shared" ca="1" si="6"/>
        <v/>
      </c>
      <c r="P52" s="82" t="str">
        <f t="shared" ca="1" si="6"/>
        <v/>
      </c>
      <c r="Q52" s="82" t="str">
        <f t="shared" ca="1" si="6"/>
        <v/>
      </c>
      <c r="R52" s="82" t="str">
        <f t="shared" ca="1" si="5"/>
        <v/>
      </c>
    </row>
    <row r="53" spans="1:18">
      <c r="A53" s="22">
        <v>45</v>
      </c>
      <c r="B53" s="23" t="str">
        <f t="shared" ca="1" si="3"/>
        <v/>
      </c>
      <c r="C53" s="82" t="str">
        <f t="shared" ca="1" si="6"/>
        <v/>
      </c>
      <c r="D53" s="82" t="str">
        <f t="shared" ca="1" si="6"/>
        <v/>
      </c>
      <c r="E53" s="82" t="str">
        <f t="shared" ca="1" si="6"/>
        <v/>
      </c>
      <c r="F53" s="82" t="str">
        <f t="shared" ca="1" si="6"/>
        <v/>
      </c>
      <c r="G53" s="82" t="str">
        <f t="shared" ca="1" si="6"/>
        <v/>
      </c>
      <c r="H53" s="82" t="str">
        <f t="shared" ca="1" si="6"/>
        <v/>
      </c>
      <c r="I53" s="82" t="str">
        <f t="shared" ca="1" si="6"/>
        <v/>
      </c>
      <c r="J53" s="82" t="str">
        <f t="shared" ca="1" si="6"/>
        <v/>
      </c>
      <c r="K53" s="82" t="str">
        <f t="shared" ca="1" si="6"/>
        <v/>
      </c>
      <c r="L53" s="82" t="str">
        <f t="shared" ca="1" si="6"/>
        <v/>
      </c>
      <c r="M53" s="82" t="str">
        <f t="shared" ca="1" si="6"/>
        <v/>
      </c>
      <c r="N53" s="82" t="str">
        <f t="shared" ca="1" si="6"/>
        <v/>
      </c>
      <c r="O53" s="82" t="str">
        <f t="shared" ca="1" si="6"/>
        <v/>
      </c>
      <c r="P53" s="82" t="str">
        <f t="shared" ca="1" si="6"/>
        <v/>
      </c>
      <c r="Q53" s="82" t="str">
        <f t="shared" ca="1" si="6"/>
        <v/>
      </c>
      <c r="R53" s="82" t="str">
        <f t="shared" ca="1" si="5"/>
        <v/>
      </c>
    </row>
    <row r="54" spans="1:18">
      <c r="A54" s="22">
        <v>46</v>
      </c>
      <c r="B54" s="23" t="str">
        <f t="shared" ca="1" si="3"/>
        <v/>
      </c>
      <c r="C54" s="82" t="str">
        <f t="shared" ca="1" si="6"/>
        <v/>
      </c>
      <c r="D54" s="82" t="str">
        <f t="shared" ca="1" si="6"/>
        <v/>
      </c>
      <c r="E54" s="82" t="str">
        <f t="shared" ca="1" si="6"/>
        <v/>
      </c>
      <c r="F54" s="82" t="str">
        <f t="shared" ca="1" si="6"/>
        <v/>
      </c>
      <c r="G54" s="82" t="str">
        <f t="shared" ca="1" si="6"/>
        <v/>
      </c>
      <c r="H54" s="82" t="str">
        <f t="shared" ca="1" si="6"/>
        <v/>
      </c>
      <c r="I54" s="82" t="str">
        <f t="shared" ca="1" si="6"/>
        <v/>
      </c>
      <c r="J54" s="82" t="str">
        <f t="shared" ca="1" si="6"/>
        <v/>
      </c>
      <c r="K54" s="82" t="str">
        <f t="shared" ca="1" si="6"/>
        <v/>
      </c>
      <c r="L54" s="82" t="str">
        <f t="shared" ca="1" si="6"/>
        <v/>
      </c>
      <c r="M54" s="82" t="str">
        <f t="shared" ca="1" si="6"/>
        <v/>
      </c>
      <c r="N54" s="82" t="str">
        <f t="shared" ca="1" si="6"/>
        <v/>
      </c>
      <c r="O54" s="82" t="str">
        <f t="shared" ca="1" si="6"/>
        <v/>
      </c>
      <c r="P54" s="82" t="str">
        <f t="shared" ca="1" si="6"/>
        <v/>
      </c>
      <c r="Q54" s="82" t="str">
        <f t="shared" ca="1" si="6"/>
        <v/>
      </c>
      <c r="R54" s="82" t="str">
        <f t="shared" ca="1" si="5"/>
        <v/>
      </c>
    </row>
    <row r="55" spans="1:18">
      <c r="A55" s="22">
        <v>47</v>
      </c>
      <c r="B55" s="23" t="str">
        <f t="shared" ca="1" si="3"/>
        <v/>
      </c>
      <c r="C55" s="82" t="str">
        <f t="shared" ca="1" si="6"/>
        <v/>
      </c>
      <c r="D55" s="82" t="str">
        <f t="shared" ca="1" si="6"/>
        <v/>
      </c>
      <c r="E55" s="82" t="str">
        <f t="shared" ca="1" si="6"/>
        <v/>
      </c>
      <c r="F55" s="82" t="str">
        <f t="shared" ca="1" si="6"/>
        <v/>
      </c>
      <c r="G55" s="82" t="str">
        <f t="shared" ca="1" si="6"/>
        <v/>
      </c>
      <c r="H55" s="82" t="str">
        <f t="shared" ca="1" si="6"/>
        <v/>
      </c>
      <c r="I55" s="82" t="str">
        <f t="shared" ca="1" si="6"/>
        <v/>
      </c>
      <c r="J55" s="82" t="str">
        <f t="shared" ca="1" si="6"/>
        <v/>
      </c>
      <c r="K55" s="82" t="str">
        <f t="shared" ca="1" si="6"/>
        <v/>
      </c>
      <c r="L55" s="82" t="str">
        <f t="shared" ca="1" si="6"/>
        <v/>
      </c>
      <c r="M55" s="82" t="str">
        <f t="shared" ca="1" si="6"/>
        <v/>
      </c>
      <c r="N55" s="82" t="str">
        <f t="shared" ca="1" si="6"/>
        <v/>
      </c>
      <c r="O55" s="82" t="str">
        <f t="shared" ca="1" si="6"/>
        <v/>
      </c>
      <c r="P55" s="82" t="str">
        <f t="shared" ca="1" si="6"/>
        <v/>
      </c>
      <c r="Q55" s="82" t="str">
        <f t="shared" ca="1" si="6"/>
        <v/>
      </c>
      <c r="R55" s="82" t="str">
        <f t="shared" ca="1" si="5"/>
        <v/>
      </c>
    </row>
    <row r="56" spans="1:18">
      <c r="A56" s="22">
        <v>48</v>
      </c>
      <c r="B56" s="23" t="str">
        <f t="shared" ca="1" si="3"/>
        <v/>
      </c>
      <c r="C56" s="82" t="str">
        <f t="shared" ca="1" si="6"/>
        <v/>
      </c>
      <c r="D56" s="82" t="str">
        <f t="shared" ca="1" si="6"/>
        <v/>
      </c>
      <c r="E56" s="82" t="str">
        <f t="shared" ca="1" si="6"/>
        <v/>
      </c>
      <c r="F56" s="82" t="str">
        <f t="shared" ca="1" si="6"/>
        <v/>
      </c>
      <c r="G56" s="82" t="str">
        <f t="shared" ca="1" si="6"/>
        <v/>
      </c>
      <c r="H56" s="82" t="str">
        <f t="shared" ca="1" si="6"/>
        <v/>
      </c>
      <c r="I56" s="82" t="str">
        <f t="shared" ca="1" si="6"/>
        <v/>
      </c>
      <c r="J56" s="82" t="str">
        <f t="shared" ca="1" si="6"/>
        <v/>
      </c>
      <c r="K56" s="82" t="str">
        <f t="shared" ca="1" si="6"/>
        <v/>
      </c>
      <c r="L56" s="82" t="str">
        <f t="shared" ca="1" si="6"/>
        <v/>
      </c>
      <c r="M56" s="82" t="str">
        <f t="shared" ca="1" si="6"/>
        <v/>
      </c>
      <c r="N56" s="82" t="str">
        <f t="shared" ca="1" si="6"/>
        <v/>
      </c>
      <c r="O56" s="82" t="str">
        <f t="shared" ca="1" si="6"/>
        <v/>
      </c>
      <c r="P56" s="82" t="str">
        <f t="shared" ca="1" si="6"/>
        <v/>
      </c>
      <c r="Q56" s="82" t="str">
        <f t="shared" ca="1" si="6"/>
        <v/>
      </c>
      <c r="R56" s="82" t="str">
        <f t="shared" ca="1" si="5"/>
        <v/>
      </c>
    </row>
    <row r="57" spans="1:18">
      <c r="A57" s="22">
        <v>49</v>
      </c>
      <c r="B57" s="23" t="str">
        <f t="shared" ca="1" si="3"/>
        <v/>
      </c>
      <c r="C57" s="82" t="str">
        <f t="shared" ca="1" si="6"/>
        <v/>
      </c>
      <c r="D57" s="82" t="str">
        <f t="shared" ca="1" si="6"/>
        <v/>
      </c>
      <c r="E57" s="82" t="str">
        <f t="shared" ca="1" si="6"/>
        <v/>
      </c>
      <c r="F57" s="82" t="str">
        <f t="shared" ca="1" si="6"/>
        <v/>
      </c>
      <c r="G57" s="82" t="str">
        <f t="shared" ca="1" si="6"/>
        <v/>
      </c>
      <c r="H57" s="82" t="str">
        <f t="shared" ca="1" si="6"/>
        <v/>
      </c>
      <c r="I57" s="82" t="str">
        <f t="shared" ca="1" si="6"/>
        <v/>
      </c>
      <c r="J57" s="82" t="str">
        <f t="shared" ca="1" si="6"/>
        <v/>
      </c>
      <c r="K57" s="82" t="str">
        <f t="shared" ca="1" si="6"/>
        <v/>
      </c>
      <c r="L57" s="82" t="str">
        <f t="shared" ca="1" si="6"/>
        <v/>
      </c>
      <c r="M57" s="82" t="str">
        <f t="shared" ca="1" si="6"/>
        <v/>
      </c>
      <c r="N57" s="82" t="str">
        <f t="shared" ca="1" si="6"/>
        <v/>
      </c>
      <c r="O57" s="82" t="str">
        <f t="shared" ca="1" si="6"/>
        <v/>
      </c>
      <c r="P57" s="82" t="str">
        <f t="shared" ca="1" si="6"/>
        <v/>
      </c>
      <c r="Q57" s="82" t="str">
        <f t="shared" ca="1" si="6"/>
        <v/>
      </c>
      <c r="R57" s="82" t="str">
        <f t="shared" ca="1" si="5"/>
        <v/>
      </c>
    </row>
    <row r="58" spans="1:18">
      <c r="A58" s="22">
        <v>50</v>
      </c>
      <c r="B58" s="23" t="str">
        <f t="shared" ca="1" si="3"/>
        <v/>
      </c>
      <c r="C58" s="82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82" t="str">
        <f t="shared" ca="1" si="7"/>
        <v/>
      </c>
      <c r="E58" s="82" t="str">
        <f t="shared" ca="1" si="7"/>
        <v/>
      </c>
      <c r="F58" s="82" t="str">
        <f t="shared" ca="1" si="7"/>
        <v/>
      </c>
      <c r="G58" s="82" t="str">
        <f t="shared" ca="1" si="7"/>
        <v/>
      </c>
      <c r="H58" s="82" t="str">
        <f t="shared" ca="1" si="7"/>
        <v/>
      </c>
      <c r="I58" s="82" t="str">
        <f t="shared" ca="1" si="7"/>
        <v/>
      </c>
      <c r="J58" s="82" t="str">
        <f t="shared" ca="1" si="7"/>
        <v/>
      </c>
      <c r="K58" s="82" t="str">
        <f t="shared" ca="1" si="7"/>
        <v/>
      </c>
      <c r="L58" s="82" t="str">
        <f t="shared" ca="1" si="7"/>
        <v/>
      </c>
      <c r="M58" s="82" t="str">
        <f t="shared" ca="1" si="7"/>
        <v/>
      </c>
      <c r="N58" s="82" t="str">
        <f t="shared" ca="1" si="7"/>
        <v/>
      </c>
      <c r="O58" s="82" t="str">
        <f t="shared" ca="1" si="7"/>
        <v/>
      </c>
      <c r="P58" s="82" t="str">
        <f t="shared" ca="1" si="7"/>
        <v/>
      </c>
      <c r="Q58" s="82" t="str">
        <f t="shared" ca="1" si="7"/>
        <v/>
      </c>
      <c r="R58" s="82" t="str">
        <f t="shared" ca="1" si="5"/>
        <v/>
      </c>
    </row>
    <row r="59" spans="1:18">
      <c r="A59" s="22">
        <v>51</v>
      </c>
      <c r="B59" s="23" t="str">
        <f t="shared" ca="1" si="3"/>
        <v/>
      </c>
      <c r="C59" s="82" t="str">
        <f t="shared" ca="1" si="7"/>
        <v/>
      </c>
      <c r="D59" s="82" t="str">
        <f t="shared" ca="1" si="7"/>
        <v/>
      </c>
      <c r="E59" s="82" t="str">
        <f t="shared" ca="1" si="7"/>
        <v/>
      </c>
      <c r="F59" s="82" t="str">
        <f t="shared" ca="1" si="7"/>
        <v/>
      </c>
      <c r="G59" s="82" t="str">
        <f t="shared" ca="1" si="7"/>
        <v/>
      </c>
      <c r="H59" s="82" t="str">
        <f t="shared" ca="1" si="7"/>
        <v/>
      </c>
      <c r="I59" s="82" t="str">
        <f t="shared" ca="1" si="7"/>
        <v/>
      </c>
      <c r="J59" s="82" t="str">
        <f t="shared" ca="1" si="7"/>
        <v/>
      </c>
      <c r="K59" s="82" t="str">
        <f t="shared" ca="1" si="7"/>
        <v/>
      </c>
      <c r="L59" s="82" t="str">
        <f t="shared" ca="1" si="7"/>
        <v/>
      </c>
      <c r="M59" s="82" t="str">
        <f t="shared" ca="1" si="7"/>
        <v/>
      </c>
      <c r="N59" s="82" t="str">
        <f t="shared" ca="1" si="7"/>
        <v/>
      </c>
      <c r="O59" s="82" t="str">
        <f t="shared" ca="1" si="7"/>
        <v/>
      </c>
      <c r="P59" s="82" t="str">
        <f t="shared" ca="1" si="7"/>
        <v/>
      </c>
      <c r="Q59" s="82" t="str">
        <f t="shared" ca="1" si="7"/>
        <v/>
      </c>
      <c r="R59" s="82" t="str">
        <f t="shared" ca="1" si="5"/>
        <v/>
      </c>
    </row>
    <row r="60" spans="1:18">
      <c r="A60" s="22">
        <v>52</v>
      </c>
      <c r="B60" s="23" t="str">
        <f t="shared" ca="1" si="3"/>
        <v/>
      </c>
      <c r="C60" s="82" t="str">
        <f t="shared" ca="1" si="7"/>
        <v/>
      </c>
      <c r="D60" s="82" t="str">
        <f t="shared" ca="1" si="7"/>
        <v/>
      </c>
      <c r="E60" s="82" t="str">
        <f t="shared" ca="1" si="7"/>
        <v/>
      </c>
      <c r="F60" s="82" t="str">
        <f t="shared" ca="1" si="7"/>
        <v/>
      </c>
      <c r="G60" s="82" t="str">
        <f t="shared" ca="1" si="7"/>
        <v/>
      </c>
      <c r="H60" s="82" t="str">
        <f t="shared" ca="1" si="7"/>
        <v/>
      </c>
      <c r="I60" s="82" t="str">
        <f t="shared" ca="1" si="7"/>
        <v/>
      </c>
      <c r="J60" s="82" t="str">
        <f t="shared" ca="1" si="7"/>
        <v/>
      </c>
      <c r="K60" s="82" t="str">
        <f t="shared" ca="1" si="7"/>
        <v/>
      </c>
      <c r="L60" s="82" t="str">
        <f t="shared" ca="1" si="7"/>
        <v/>
      </c>
      <c r="M60" s="82" t="str">
        <f t="shared" ca="1" si="7"/>
        <v/>
      </c>
      <c r="N60" s="82" t="str">
        <f t="shared" ca="1" si="7"/>
        <v/>
      </c>
      <c r="O60" s="82" t="str">
        <f t="shared" ca="1" si="7"/>
        <v/>
      </c>
      <c r="P60" s="82" t="str">
        <f t="shared" ca="1" si="7"/>
        <v/>
      </c>
      <c r="Q60" s="82" t="str">
        <f t="shared" ca="1" si="7"/>
        <v/>
      </c>
      <c r="R60" s="82" t="str">
        <f t="shared" ca="1" si="5"/>
        <v/>
      </c>
    </row>
    <row r="61" spans="1:18">
      <c r="A61" s="22">
        <v>53</v>
      </c>
      <c r="B61" s="23" t="str">
        <f t="shared" ca="1" si="3"/>
        <v/>
      </c>
      <c r="C61" s="82" t="str">
        <f t="shared" ca="1" si="7"/>
        <v/>
      </c>
      <c r="D61" s="82" t="str">
        <f t="shared" ca="1" si="7"/>
        <v/>
      </c>
      <c r="E61" s="82" t="str">
        <f t="shared" ca="1" si="7"/>
        <v/>
      </c>
      <c r="F61" s="82" t="str">
        <f t="shared" ca="1" si="7"/>
        <v/>
      </c>
      <c r="G61" s="82" t="str">
        <f t="shared" ca="1" si="7"/>
        <v/>
      </c>
      <c r="H61" s="82" t="str">
        <f t="shared" ca="1" si="7"/>
        <v/>
      </c>
      <c r="I61" s="82" t="str">
        <f t="shared" ca="1" si="7"/>
        <v/>
      </c>
      <c r="J61" s="82" t="str">
        <f t="shared" ca="1" si="7"/>
        <v/>
      </c>
      <c r="K61" s="82" t="str">
        <f t="shared" ca="1" si="7"/>
        <v/>
      </c>
      <c r="L61" s="82" t="str">
        <f t="shared" ca="1" si="7"/>
        <v/>
      </c>
      <c r="M61" s="82" t="str">
        <f t="shared" ca="1" si="7"/>
        <v/>
      </c>
      <c r="N61" s="82" t="str">
        <f t="shared" ca="1" si="7"/>
        <v/>
      </c>
      <c r="O61" s="82" t="str">
        <f t="shared" ca="1" si="7"/>
        <v/>
      </c>
      <c r="P61" s="82" t="str">
        <f t="shared" ca="1" si="7"/>
        <v/>
      </c>
      <c r="Q61" s="82" t="str">
        <f t="shared" ca="1" si="7"/>
        <v/>
      </c>
      <c r="R61" s="82" t="str">
        <f t="shared" ca="1" si="5"/>
        <v/>
      </c>
    </row>
    <row r="62" spans="1:18">
      <c r="A62" s="22">
        <v>54</v>
      </c>
      <c r="B62" s="23" t="str">
        <f t="shared" ca="1" si="3"/>
        <v/>
      </c>
      <c r="C62" s="82" t="str">
        <f t="shared" ca="1" si="7"/>
        <v/>
      </c>
      <c r="D62" s="82" t="str">
        <f t="shared" ca="1" si="7"/>
        <v/>
      </c>
      <c r="E62" s="82" t="str">
        <f t="shared" ca="1" si="7"/>
        <v/>
      </c>
      <c r="F62" s="82" t="str">
        <f t="shared" ca="1" si="7"/>
        <v/>
      </c>
      <c r="G62" s="82" t="str">
        <f t="shared" ca="1" si="7"/>
        <v/>
      </c>
      <c r="H62" s="82" t="str">
        <f t="shared" ca="1" si="7"/>
        <v/>
      </c>
      <c r="I62" s="82" t="str">
        <f t="shared" ca="1" si="7"/>
        <v/>
      </c>
      <c r="J62" s="82" t="str">
        <f t="shared" ca="1" si="7"/>
        <v/>
      </c>
      <c r="K62" s="82" t="str">
        <f t="shared" ca="1" si="7"/>
        <v/>
      </c>
      <c r="L62" s="82" t="str">
        <f t="shared" ca="1" si="7"/>
        <v/>
      </c>
      <c r="M62" s="82" t="str">
        <f t="shared" ca="1" si="7"/>
        <v/>
      </c>
      <c r="N62" s="82" t="str">
        <f t="shared" ca="1" si="7"/>
        <v/>
      </c>
      <c r="O62" s="82" t="str">
        <f t="shared" ca="1" si="7"/>
        <v/>
      </c>
      <c r="P62" s="82" t="str">
        <f t="shared" ca="1" si="7"/>
        <v/>
      </c>
      <c r="Q62" s="82" t="str">
        <f t="shared" ca="1" si="7"/>
        <v/>
      </c>
      <c r="R62" s="82" t="str">
        <f t="shared" ca="1" si="5"/>
        <v/>
      </c>
    </row>
    <row r="63" spans="1:18">
      <c r="A63" s="22">
        <v>55</v>
      </c>
      <c r="B63" s="23" t="str">
        <f t="shared" ca="1" si="3"/>
        <v/>
      </c>
      <c r="C63" s="82" t="str">
        <f t="shared" ca="1" si="7"/>
        <v/>
      </c>
      <c r="D63" s="82" t="str">
        <f t="shared" ca="1" si="7"/>
        <v/>
      </c>
      <c r="E63" s="82" t="str">
        <f t="shared" ca="1" si="7"/>
        <v/>
      </c>
      <c r="F63" s="82" t="str">
        <f t="shared" ca="1" si="7"/>
        <v/>
      </c>
      <c r="G63" s="82" t="str">
        <f t="shared" ca="1" si="7"/>
        <v/>
      </c>
      <c r="H63" s="82" t="str">
        <f t="shared" ca="1" si="7"/>
        <v/>
      </c>
      <c r="I63" s="82" t="str">
        <f t="shared" ca="1" si="7"/>
        <v/>
      </c>
      <c r="J63" s="82" t="str">
        <f t="shared" ca="1" si="7"/>
        <v/>
      </c>
      <c r="K63" s="82" t="str">
        <f t="shared" ca="1" si="7"/>
        <v/>
      </c>
      <c r="L63" s="82" t="str">
        <f t="shared" ca="1" si="7"/>
        <v/>
      </c>
      <c r="M63" s="82" t="str">
        <f t="shared" ca="1" si="7"/>
        <v/>
      </c>
      <c r="N63" s="82" t="str">
        <f t="shared" ca="1" si="7"/>
        <v/>
      </c>
      <c r="O63" s="82" t="str">
        <f t="shared" ca="1" si="7"/>
        <v/>
      </c>
      <c r="P63" s="82" t="str">
        <f t="shared" ca="1" si="7"/>
        <v/>
      </c>
      <c r="Q63" s="82" t="str">
        <f t="shared" ca="1" si="7"/>
        <v/>
      </c>
      <c r="R63" s="82" t="str">
        <f t="shared" ca="1" si="5"/>
        <v/>
      </c>
    </row>
    <row r="64" spans="1:18">
      <c r="A64" s="22">
        <v>56</v>
      </c>
      <c r="B64" s="23" t="str">
        <f t="shared" ca="1" si="3"/>
        <v/>
      </c>
      <c r="C64" s="82" t="str">
        <f t="shared" ca="1" si="7"/>
        <v/>
      </c>
      <c r="D64" s="82" t="str">
        <f t="shared" ca="1" si="7"/>
        <v/>
      </c>
      <c r="E64" s="82" t="str">
        <f t="shared" ca="1" si="7"/>
        <v/>
      </c>
      <c r="F64" s="82" t="str">
        <f t="shared" ca="1" si="7"/>
        <v/>
      </c>
      <c r="G64" s="82" t="str">
        <f t="shared" ca="1" si="7"/>
        <v/>
      </c>
      <c r="H64" s="82" t="str">
        <f t="shared" ca="1" si="7"/>
        <v/>
      </c>
      <c r="I64" s="82" t="str">
        <f t="shared" ca="1" si="7"/>
        <v/>
      </c>
      <c r="J64" s="82" t="str">
        <f t="shared" ca="1" si="7"/>
        <v/>
      </c>
      <c r="K64" s="82" t="str">
        <f t="shared" ca="1" si="7"/>
        <v/>
      </c>
      <c r="L64" s="82" t="str">
        <f t="shared" ca="1" si="7"/>
        <v/>
      </c>
      <c r="M64" s="82" t="str">
        <f t="shared" ca="1" si="7"/>
        <v/>
      </c>
      <c r="N64" s="82" t="str">
        <f t="shared" ca="1" si="7"/>
        <v/>
      </c>
      <c r="O64" s="82" t="str">
        <f t="shared" ca="1" si="7"/>
        <v/>
      </c>
      <c r="P64" s="82" t="str">
        <f t="shared" ca="1" si="7"/>
        <v/>
      </c>
      <c r="Q64" s="82" t="str">
        <f t="shared" ca="1" si="7"/>
        <v/>
      </c>
      <c r="R64" s="82" t="str">
        <f t="shared" ca="1" si="5"/>
        <v/>
      </c>
    </row>
    <row r="65" spans="1:18">
      <c r="A65" s="22">
        <v>57</v>
      </c>
      <c r="B65" s="23" t="str">
        <f t="shared" ca="1" si="3"/>
        <v/>
      </c>
      <c r="C65" s="82" t="str">
        <f t="shared" ca="1" si="7"/>
        <v/>
      </c>
      <c r="D65" s="82" t="str">
        <f t="shared" ca="1" si="7"/>
        <v/>
      </c>
      <c r="E65" s="82" t="str">
        <f t="shared" ca="1" si="7"/>
        <v/>
      </c>
      <c r="F65" s="82" t="str">
        <f t="shared" ca="1" si="7"/>
        <v/>
      </c>
      <c r="G65" s="82" t="str">
        <f t="shared" ca="1" si="7"/>
        <v/>
      </c>
      <c r="H65" s="82" t="str">
        <f t="shared" ca="1" si="7"/>
        <v/>
      </c>
      <c r="I65" s="82" t="str">
        <f t="shared" ca="1" si="7"/>
        <v/>
      </c>
      <c r="J65" s="82" t="str">
        <f t="shared" ca="1" si="7"/>
        <v/>
      </c>
      <c r="K65" s="82" t="str">
        <f t="shared" ca="1" si="7"/>
        <v/>
      </c>
      <c r="L65" s="82" t="str">
        <f t="shared" ca="1" si="7"/>
        <v/>
      </c>
      <c r="M65" s="82" t="str">
        <f t="shared" ca="1" si="7"/>
        <v/>
      </c>
      <c r="N65" s="82" t="str">
        <f t="shared" ca="1" si="7"/>
        <v/>
      </c>
      <c r="O65" s="82" t="str">
        <f t="shared" ca="1" si="7"/>
        <v/>
      </c>
      <c r="P65" s="82" t="str">
        <f t="shared" ca="1" si="7"/>
        <v/>
      </c>
      <c r="Q65" s="82" t="str">
        <f t="shared" ca="1" si="7"/>
        <v/>
      </c>
      <c r="R65" s="82" t="str">
        <f t="shared" ca="1" si="5"/>
        <v/>
      </c>
    </row>
    <row r="66" spans="1:18">
      <c r="A66" s="22">
        <v>58</v>
      </c>
      <c r="B66" s="23" t="str">
        <f t="shared" ca="1" si="3"/>
        <v/>
      </c>
      <c r="C66" s="82" t="str">
        <f t="shared" ca="1" si="7"/>
        <v/>
      </c>
      <c r="D66" s="82" t="str">
        <f t="shared" ca="1" si="7"/>
        <v/>
      </c>
      <c r="E66" s="82" t="str">
        <f t="shared" ca="1" si="7"/>
        <v/>
      </c>
      <c r="F66" s="82" t="str">
        <f t="shared" ca="1" si="7"/>
        <v/>
      </c>
      <c r="G66" s="82" t="str">
        <f t="shared" ca="1" si="7"/>
        <v/>
      </c>
      <c r="H66" s="82" t="str">
        <f t="shared" ca="1" si="7"/>
        <v/>
      </c>
      <c r="I66" s="82" t="str">
        <f t="shared" ca="1" si="7"/>
        <v/>
      </c>
      <c r="J66" s="82" t="str">
        <f t="shared" ca="1" si="7"/>
        <v/>
      </c>
      <c r="K66" s="82" t="str">
        <f t="shared" ca="1" si="7"/>
        <v/>
      </c>
      <c r="L66" s="82" t="str">
        <f t="shared" ca="1" si="7"/>
        <v/>
      </c>
      <c r="M66" s="82" t="str">
        <f t="shared" ca="1" si="7"/>
        <v/>
      </c>
      <c r="N66" s="82" t="str">
        <f t="shared" ca="1" si="7"/>
        <v/>
      </c>
      <c r="O66" s="82" t="str">
        <f t="shared" ca="1" si="7"/>
        <v/>
      </c>
      <c r="P66" s="82" t="str">
        <f t="shared" ca="1" si="7"/>
        <v/>
      </c>
      <c r="Q66" s="82" t="str">
        <f t="shared" ca="1" si="7"/>
        <v/>
      </c>
      <c r="R66" s="82" t="str">
        <f t="shared" ca="1" si="5"/>
        <v/>
      </c>
    </row>
    <row r="67" spans="1:18">
      <c r="A67" s="22">
        <v>59</v>
      </c>
      <c r="B67" s="23" t="str">
        <f t="shared" ca="1" si="3"/>
        <v/>
      </c>
      <c r="C67" s="82" t="str">
        <f t="shared" ca="1" si="7"/>
        <v/>
      </c>
      <c r="D67" s="82" t="str">
        <f t="shared" ca="1" si="7"/>
        <v/>
      </c>
      <c r="E67" s="82" t="str">
        <f t="shared" ca="1" si="7"/>
        <v/>
      </c>
      <c r="F67" s="82" t="str">
        <f t="shared" ca="1" si="7"/>
        <v/>
      </c>
      <c r="G67" s="82" t="str">
        <f t="shared" ca="1" si="7"/>
        <v/>
      </c>
      <c r="H67" s="82" t="str">
        <f t="shared" ca="1" si="7"/>
        <v/>
      </c>
      <c r="I67" s="82" t="str">
        <f t="shared" ca="1" si="7"/>
        <v/>
      </c>
      <c r="J67" s="82" t="str">
        <f t="shared" ca="1" si="7"/>
        <v/>
      </c>
      <c r="K67" s="82" t="str">
        <f t="shared" ca="1" si="7"/>
        <v/>
      </c>
      <c r="L67" s="82" t="str">
        <f t="shared" ca="1" si="7"/>
        <v/>
      </c>
      <c r="M67" s="82" t="str">
        <f t="shared" ca="1" si="7"/>
        <v/>
      </c>
      <c r="N67" s="82" t="str">
        <f t="shared" ca="1" si="7"/>
        <v/>
      </c>
      <c r="O67" s="82" t="str">
        <f t="shared" ca="1" si="7"/>
        <v/>
      </c>
      <c r="P67" s="82" t="str">
        <f t="shared" ca="1" si="7"/>
        <v/>
      </c>
      <c r="Q67" s="82" t="str">
        <f t="shared" ca="1" si="7"/>
        <v/>
      </c>
      <c r="R67" s="82" t="str">
        <f t="shared" ca="1" si="5"/>
        <v/>
      </c>
    </row>
    <row r="68" spans="1:18">
      <c r="A68" s="22">
        <v>60</v>
      </c>
      <c r="B68" s="23" t="str">
        <f t="shared" ca="1" si="3"/>
        <v/>
      </c>
      <c r="C68" s="82" t="str">
        <f t="shared" ca="1" si="7"/>
        <v/>
      </c>
      <c r="D68" s="82" t="str">
        <f t="shared" ca="1" si="7"/>
        <v/>
      </c>
      <c r="E68" s="82" t="str">
        <f t="shared" ca="1" si="7"/>
        <v/>
      </c>
      <c r="F68" s="82" t="str">
        <f t="shared" ca="1" si="7"/>
        <v/>
      </c>
      <c r="G68" s="82" t="str">
        <f t="shared" ca="1" si="7"/>
        <v/>
      </c>
      <c r="H68" s="82" t="str">
        <f t="shared" ca="1" si="7"/>
        <v/>
      </c>
      <c r="I68" s="82" t="str">
        <f t="shared" ca="1" si="7"/>
        <v/>
      </c>
      <c r="J68" s="82" t="str">
        <f t="shared" ca="1" si="7"/>
        <v/>
      </c>
      <c r="K68" s="82" t="str">
        <f t="shared" ca="1" si="7"/>
        <v/>
      </c>
      <c r="L68" s="82" t="str">
        <f t="shared" ca="1" si="7"/>
        <v/>
      </c>
      <c r="M68" s="82" t="str">
        <f t="shared" ca="1" si="7"/>
        <v/>
      </c>
      <c r="N68" s="82" t="str">
        <f t="shared" ca="1" si="7"/>
        <v/>
      </c>
      <c r="O68" s="82" t="str">
        <f t="shared" ca="1" si="7"/>
        <v/>
      </c>
      <c r="P68" s="82" t="str">
        <f t="shared" ca="1" si="7"/>
        <v/>
      </c>
      <c r="Q68" s="82" t="str">
        <f t="shared" ca="1" si="7"/>
        <v/>
      </c>
      <c r="R68" s="82" t="str">
        <f t="shared" ca="1" si="5"/>
        <v/>
      </c>
    </row>
    <row r="69" spans="1:18">
      <c r="A69" s="22">
        <v>61</v>
      </c>
      <c r="B69" s="23" t="str">
        <f t="shared" ca="1" si="3"/>
        <v/>
      </c>
      <c r="C69" s="82" t="str">
        <f t="shared" ca="1" si="7"/>
        <v/>
      </c>
      <c r="D69" s="82" t="str">
        <f t="shared" ca="1" si="7"/>
        <v/>
      </c>
      <c r="E69" s="82" t="str">
        <f t="shared" ca="1" si="7"/>
        <v/>
      </c>
      <c r="F69" s="82" t="str">
        <f t="shared" ca="1" si="7"/>
        <v/>
      </c>
      <c r="G69" s="82" t="str">
        <f t="shared" ca="1" si="7"/>
        <v/>
      </c>
      <c r="H69" s="82" t="str">
        <f t="shared" ca="1" si="7"/>
        <v/>
      </c>
      <c r="I69" s="82" t="str">
        <f t="shared" ca="1" si="7"/>
        <v/>
      </c>
      <c r="J69" s="82" t="str">
        <f t="shared" ca="1" si="7"/>
        <v/>
      </c>
      <c r="K69" s="82" t="str">
        <f t="shared" ca="1" si="7"/>
        <v/>
      </c>
      <c r="L69" s="82" t="str">
        <f t="shared" ca="1" si="7"/>
        <v/>
      </c>
      <c r="M69" s="82" t="str">
        <f t="shared" ca="1" si="7"/>
        <v/>
      </c>
      <c r="N69" s="82" t="str">
        <f t="shared" ca="1" si="7"/>
        <v/>
      </c>
      <c r="O69" s="82" t="str">
        <f t="shared" ca="1" si="7"/>
        <v/>
      </c>
      <c r="P69" s="82" t="str">
        <f t="shared" ca="1" si="7"/>
        <v/>
      </c>
      <c r="Q69" s="82" t="str">
        <f t="shared" ca="1" si="7"/>
        <v/>
      </c>
      <c r="R69" s="82" t="str">
        <f t="shared" ca="1" si="5"/>
        <v/>
      </c>
    </row>
    <row r="70" spans="1:18">
      <c r="A70" s="22">
        <v>62</v>
      </c>
      <c r="B70" s="23" t="str">
        <f t="shared" ca="1" si="3"/>
        <v/>
      </c>
      <c r="C70" s="82" t="str">
        <f t="shared" ca="1" si="7"/>
        <v/>
      </c>
      <c r="D70" s="82" t="str">
        <f t="shared" ca="1" si="7"/>
        <v/>
      </c>
      <c r="E70" s="82" t="str">
        <f t="shared" ca="1" si="7"/>
        <v/>
      </c>
      <c r="F70" s="82" t="str">
        <f t="shared" ca="1" si="7"/>
        <v/>
      </c>
      <c r="G70" s="82" t="str">
        <f t="shared" ca="1" si="7"/>
        <v/>
      </c>
      <c r="H70" s="82" t="str">
        <f t="shared" ca="1" si="7"/>
        <v/>
      </c>
      <c r="I70" s="82" t="str">
        <f t="shared" ca="1" si="7"/>
        <v/>
      </c>
      <c r="J70" s="82" t="str">
        <f t="shared" ca="1" si="7"/>
        <v/>
      </c>
      <c r="K70" s="82" t="str">
        <f t="shared" ca="1" si="7"/>
        <v/>
      </c>
      <c r="L70" s="82" t="str">
        <f t="shared" ca="1" si="7"/>
        <v/>
      </c>
      <c r="M70" s="82" t="str">
        <f t="shared" ca="1" si="7"/>
        <v/>
      </c>
      <c r="N70" s="82" t="str">
        <f t="shared" ca="1" si="7"/>
        <v/>
      </c>
      <c r="O70" s="82" t="str">
        <f t="shared" ca="1" si="7"/>
        <v/>
      </c>
      <c r="P70" s="82" t="str">
        <f t="shared" ca="1" si="7"/>
        <v/>
      </c>
      <c r="Q70" s="82" t="str">
        <f t="shared" ca="1" si="7"/>
        <v/>
      </c>
      <c r="R70" s="82" t="str">
        <f t="shared" ca="1" si="5"/>
        <v/>
      </c>
    </row>
    <row r="71" spans="1:18">
      <c r="A71" s="22">
        <v>63</v>
      </c>
      <c r="B71" s="23" t="str">
        <f t="shared" ca="1" si="3"/>
        <v/>
      </c>
      <c r="C71" s="82" t="str">
        <f t="shared" ca="1" si="7"/>
        <v/>
      </c>
      <c r="D71" s="82" t="str">
        <f t="shared" ca="1" si="7"/>
        <v/>
      </c>
      <c r="E71" s="82" t="str">
        <f t="shared" ca="1" si="7"/>
        <v/>
      </c>
      <c r="F71" s="82" t="str">
        <f t="shared" ca="1" si="7"/>
        <v/>
      </c>
      <c r="G71" s="82" t="str">
        <f t="shared" ca="1" si="7"/>
        <v/>
      </c>
      <c r="H71" s="82" t="str">
        <f t="shared" ca="1" si="7"/>
        <v/>
      </c>
      <c r="I71" s="82" t="str">
        <f t="shared" ca="1" si="7"/>
        <v/>
      </c>
      <c r="J71" s="82" t="str">
        <f t="shared" ca="1" si="7"/>
        <v/>
      </c>
      <c r="K71" s="82" t="str">
        <f t="shared" ca="1" si="7"/>
        <v/>
      </c>
      <c r="L71" s="82" t="str">
        <f t="shared" ca="1" si="7"/>
        <v/>
      </c>
      <c r="M71" s="82" t="str">
        <f t="shared" ca="1" si="7"/>
        <v/>
      </c>
      <c r="N71" s="82" t="str">
        <f t="shared" ca="1" si="7"/>
        <v/>
      </c>
      <c r="O71" s="82" t="str">
        <f t="shared" ca="1" si="7"/>
        <v/>
      </c>
      <c r="P71" s="82" t="str">
        <f t="shared" ca="1" si="7"/>
        <v/>
      </c>
      <c r="Q71" s="82" t="str">
        <f t="shared" ca="1" si="7"/>
        <v/>
      </c>
      <c r="R71" s="82" t="str">
        <f t="shared" ca="1" si="5"/>
        <v/>
      </c>
    </row>
    <row r="72" spans="1:18">
      <c r="A72" s="22">
        <v>64</v>
      </c>
      <c r="B72" s="23" t="str">
        <f t="shared" ca="1" si="3"/>
        <v/>
      </c>
      <c r="C72" s="82" t="str">
        <f t="shared" ca="1" si="7"/>
        <v/>
      </c>
      <c r="D72" s="82" t="str">
        <f t="shared" ca="1" si="7"/>
        <v/>
      </c>
      <c r="E72" s="82" t="str">
        <f t="shared" ca="1" si="7"/>
        <v/>
      </c>
      <c r="F72" s="82" t="str">
        <f t="shared" ca="1" si="7"/>
        <v/>
      </c>
      <c r="G72" s="82" t="str">
        <f t="shared" ca="1" si="7"/>
        <v/>
      </c>
      <c r="H72" s="82" t="str">
        <f t="shared" ca="1" si="7"/>
        <v/>
      </c>
      <c r="I72" s="82" t="str">
        <f t="shared" ca="1" si="7"/>
        <v/>
      </c>
      <c r="J72" s="82" t="str">
        <f t="shared" ca="1" si="7"/>
        <v/>
      </c>
      <c r="K72" s="82" t="str">
        <f t="shared" ca="1" si="7"/>
        <v/>
      </c>
      <c r="L72" s="82" t="str">
        <f t="shared" ca="1" si="7"/>
        <v/>
      </c>
      <c r="M72" s="82" t="str">
        <f t="shared" ca="1" si="7"/>
        <v/>
      </c>
      <c r="N72" s="82" t="str">
        <f t="shared" ca="1" si="7"/>
        <v/>
      </c>
      <c r="O72" s="82" t="str">
        <f t="shared" ca="1" si="7"/>
        <v/>
      </c>
      <c r="P72" s="82" t="str">
        <f t="shared" ca="1" si="7"/>
        <v/>
      </c>
      <c r="Q72" s="82" t="str">
        <f t="shared" ca="1" si="7"/>
        <v/>
      </c>
      <c r="R72" s="82" t="str">
        <f t="shared" ca="1" si="5"/>
        <v/>
      </c>
    </row>
    <row r="73" spans="1:18">
      <c r="A73" s="22">
        <v>65</v>
      </c>
      <c r="B73" s="23" t="str">
        <f t="shared" ca="1" si="3"/>
        <v/>
      </c>
      <c r="C73" s="82" t="str">
        <f t="shared" ca="1" si="7"/>
        <v/>
      </c>
      <c r="D73" s="82" t="str">
        <f t="shared" ca="1" si="7"/>
        <v/>
      </c>
      <c r="E73" s="82" t="str">
        <f t="shared" ca="1" si="7"/>
        <v/>
      </c>
      <c r="F73" s="82" t="str">
        <f t="shared" ca="1" si="7"/>
        <v/>
      </c>
      <c r="G73" s="82" t="str">
        <f t="shared" ca="1" si="7"/>
        <v/>
      </c>
      <c r="H73" s="82" t="str">
        <f t="shared" ca="1" si="7"/>
        <v/>
      </c>
      <c r="I73" s="82" t="str">
        <f t="shared" ca="1" si="7"/>
        <v/>
      </c>
      <c r="J73" s="82" t="str">
        <f t="shared" ca="1" si="7"/>
        <v/>
      </c>
      <c r="K73" s="82" t="str">
        <f t="shared" ca="1" si="7"/>
        <v/>
      </c>
      <c r="L73" s="82" t="str">
        <f t="shared" ca="1" si="7"/>
        <v/>
      </c>
      <c r="M73" s="82" t="str">
        <f t="shared" ca="1" si="7"/>
        <v/>
      </c>
      <c r="N73" s="82" t="str">
        <f t="shared" ca="1" si="7"/>
        <v/>
      </c>
      <c r="O73" s="82" t="str">
        <f t="shared" ca="1" si="7"/>
        <v/>
      </c>
      <c r="P73" s="82" t="str">
        <f t="shared" ca="1" si="7"/>
        <v/>
      </c>
      <c r="Q73" s="82" t="str">
        <f t="shared" ca="1" si="7"/>
        <v/>
      </c>
      <c r="R73" s="82" t="str">
        <f t="shared" ca="1" si="5"/>
        <v/>
      </c>
    </row>
    <row r="74" spans="1:18">
      <c r="A74" s="22">
        <v>66</v>
      </c>
      <c r="B74" s="23" t="str">
        <f t="shared" ref="B74:B137" ca="1" si="8">IF($B73="","",IF($B73=";",$I$3,IF($B73=$I$3,"",IF(ISNA(VLOOKUP($A$1&amp;"-"&amp;$A74,INDIRECT($E$2&amp;$E$3),1,0)),";",$S$4))))</f>
        <v/>
      </c>
      <c r="C74" s="82" t="str">
        <f t="shared" ca="1" si="7"/>
        <v/>
      </c>
      <c r="D74" s="82" t="str">
        <f t="shared" ca="1" si="7"/>
        <v/>
      </c>
      <c r="E74" s="82" t="str">
        <f t="shared" ca="1" si="7"/>
        <v/>
      </c>
      <c r="F74" s="82" t="str">
        <f t="shared" ca="1" si="7"/>
        <v/>
      </c>
      <c r="G74" s="82" t="str">
        <f t="shared" ca="1" si="7"/>
        <v/>
      </c>
      <c r="H74" s="82" t="str">
        <f t="shared" ca="1" si="7"/>
        <v/>
      </c>
      <c r="I74" s="82" t="str">
        <f t="shared" ca="1" si="7"/>
        <v/>
      </c>
      <c r="J74" s="82" t="str">
        <f t="shared" ca="1" si="7"/>
        <v/>
      </c>
      <c r="K74" s="82" t="str">
        <f t="shared" ca="1" si="7"/>
        <v/>
      </c>
      <c r="L74" s="82" t="str">
        <f t="shared" ca="1" si="7"/>
        <v/>
      </c>
      <c r="M74" s="82" t="str">
        <f t="shared" ca="1" si="7"/>
        <v/>
      </c>
      <c r="N74" s="82" t="str">
        <f t="shared" ca="1" si="7"/>
        <v/>
      </c>
      <c r="O74" s="82" t="str">
        <f t="shared" ca="1" si="7"/>
        <v/>
      </c>
      <c r="P74" s="82" t="str">
        <f t="shared" ca="1" si="7"/>
        <v/>
      </c>
      <c r="Q74" s="82" t="str">
        <f t="shared" ca="1" si="7"/>
        <v/>
      </c>
      <c r="R74" s="82" t="str">
        <f t="shared" ref="R74:R108" ca="1" si="9">IF(B74=$S$4,$T$4,"")</f>
        <v/>
      </c>
    </row>
    <row r="75" spans="1:18">
      <c r="A75" s="22">
        <v>67</v>
      </c>
      <c r="B75" s="23" t="str">
        <f t="shared" ca="1" si="8"/>
        <v/>
      </c>
      <c r="C75" s="82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82" t="str">
        <f t="shared" ca="1" si="10"/>
        <v/>
      </c>
      <c r="E75" s="82" t="str">
        <f t="shared" ca="1" si="10"/>
        <v/>
      </c>
      <c r="F75" s="82" t="str">
        <f t="shared" ca="1" si="10"/>
        <v/>
      </c>
      <c r="G75" s="82" t="str">
        <f t="shared" ca="1" si="10"/>
        <v/>
      </c>
      <c r="H75" s="82" t="str">
        <f t="shared" ca="1" si="10"/>
        <v/>
      </c>
      <c r="I75" s="82" t="str">
        <f t="shared" ca="1" si="10"/>
        <v/>
      </c>
      <c r="J75" s="82" t="str">
        <f t="shared" ca="1" si="10"/>
        <v/>
      </c>
      <c r="K75" s="82" t="str">
        <f t="shared" ca="1" si="10"/>
        <v/>
      </c>
      <c r="L75" s="82" t="str">
        <f t="shared" ca="1" si="10"/>
        <v/>
      </c>
      <c r="M75" s="82" t="str">
        <f t="shared" ca="1" si="10"/>
        <v/>
      </c>
      <c r="N75" s="82" t="str">
        <f t="shared" ca="1" si="10"/>
        <v/>
      </c>
      <c r="O75" s="82" t="str">
        <f t="shared" ca="1" si="10"/>
        <v/>
      </c>
      <c r="P75" s="82" t="str">
        <f t="shared" ca="1" si="10"/>
        <v/>
      </c>
      <c r="Q75" s="82" t="str">
        <f t="shared" ca="1" si="10"/>
        <v/>
      </c>
      <c r="R75" s="82" t="str">
        <f t="shared" ca="1" si="9"/>
        <v/>
      </c>
    </row>
    <row r="76" spans="1:18">
      <c r="A76" s="22">
        <v>68</v>
      </c>
      <c r="B76" s="23" t="str">
        <f t="shared" ca="1" si="8"/>
        <v/>
      </c>
      <c r="C76" s="82" t="str">
        <f t="shared" ca="1" si="10"/>
        <v/>
      </c>
      <c r="D76" s="82" t="str">
        <f t="shared" ca="1" si="10"/>
        <v/>
      </c>
      <c r="E76" s="82" t="str">
        <f t="shared" ca="1" si="10"/>
        <v/>
      </c>
      <c r="F76" s="82" t="str">
        <f t="shared" ca="1" si="10"/>
        <v/>
      </c>
      <c r="G76" s="82" t="str">
        <f t="shared" ca="1" si="10"/>
        <v/>
      </c>
      <c r="H76" s="82" t="str">
        <f t="shared" ca="1" si="10"/>
        <v/>
      </c>
      <c r="I76" s="82" t="str">
        <f t="shared" ca="1" si="10"/>
        <v/>
      </c>
      <c r="J76" s="82" t="str">
        <f t="shared" ca="1" si="10"/>
        <v/>
      </c>
      <c r="K76" s="82" t="str">
        <f t="shared" ca="1" si="10"/>
        <v/>
      </c>
      <c r="L76" s="82" t="str">
        <f t="shared" ca="1" si="10"/>
        <v/>
      </c>
      <c r="M76" s="82" t="str">
        <f t="shared" ca="1" si="10"/>
        <v/>
      </c>
      <c r="N76" s="82" t="str">
        <f t="shared" ca="1" si="10"/>
        <v/>
      </c>
      <c r="O76" s="82" t="str">
        <f t="shared" ca="1" si="10"/>
        <v/>
      </c>
      <c r="P76" s="82" t="str">
        <f t="shared" ca="1" si="10"/>
        <v/>
      </c>
      <c r="Q76" s="82" t="str">
        <f t="shared" ca="1" si="10"/>
        <v/>
      </c>
      <c r="R76" s="82" t="str">
        <f t="shared" ca="1" si="9"/>
        <v/>
      </c>
    </row>
    <row r="77" spans="1:18">
      <c r="A77" s="22">
        <v>69</v>
      </c>
      <c r="B77" s="23" t="str">
        <f t="shared" ca="1" si="8"/>
        <v/>
      </c>
      <c r="C77" s="82" t="str">
        <f t="shared" ca="1" si="10"/>
        <v/>
      </c>
      <c r="D77" s="82" t="str">
        <f t="shared" ca="1" si="10"/>
        <v/>
      </c>
      <c r="E77" s="82" t="str">
        <f t="shared" ca="1" si="10"/>
        <v/>
      </c>
      <c r="F77" s="82" t="str">
        <f t="shared" ca="1" si="10"/>
        <v/>
      </c>
      <c r="G77" s="82" t="str">
        <f t="shared" ca="1" si="10"/>
        <v/>
      </c>
      <c r="H77" s="82" t="str">
        <f t="shared" ca="1" si="10"/>
        <v/>
      </c>
      <c r="I77" s="82" t="str">
        <f t="shared" ca="1" si="10"/>
        <v/>
      </c>
      <c r="J77" s="82" t="str">
        <f t="shared" ca="1" si="10"/>
        <v/>
      </c>
      <c r="K77" s="82" t="str">
        <f t="shared" ca="1" si="10"/>
        <v/>
      </c>
      <c r="L77" s="82" t="str">
        <f t="shared" ca="1" si="10"/>
        <v/>
      </c>
      <c r="M77" s="82" t="str">
        <f t="shared" ca="1" si="10"/>
        <v/>
      </c>
      <c r="N77" s="82" t="str">
        <f t="shared" ca="1" si="10"/>
        <v/>
      </c>
      <c r="O77" s="82" t="str">
        <f t="shared" ca="1" si="10"/>
        <v/>
      </c>
      <c r="P77" s="82" t="str">
        <f t="shared" ca="1" si="10"/>
        <v/>
      </c>
      <c r="Q77" s="82" t="str">
        <f t="shared" ca="1" si="10"/>
        <v/>
      </c>
      <c r="R77" s="82" t="str">
        <f t="shared" ca="1" si="9"/>
        <v/>
      </c>
    </row>
    <row r="78" spans="1:18">
      <c r="A78" s="22">
        <v>70</v>
      </c>
      <c r="B78" s="23" t="str">
        <f t="shared" ca="1" si="8"/>
        <v/>
      </c>
      <c r="C78" s="82" t="str">
        <f t="shared" ca="1" si="10"/>
        <v/>
      </c>
      <c r="D78" s="82" t="str">
        <f t="shared" ca="1" si="10"/>
        <v/>
      </c>
      <c r="E78" s="82" t="str">
        <f t="shared" ca="1" si="10"/>
        <v/>
      </c>
      <c r="F78" s="82" t="str">
        <f t="shared" ca="1" si="10"/>
        <v/>
      </c>
      <c r="G78" s="82" t="str">
        <f t="shared" ca="1" si="10"/>
        <v/>
      </c>
      <c r="H78" s="82" t="str">
        <f t="shared" ca="1" si="10"/>
        <v/>
      </c>
      <c r="I78" s="82" t="str">
        <f t="shared" ca="1" si="10"/>
        <v/>
      </c>
      <c r="J78" s="82" t="str">
        <f t="shared" ca="1" si="10"/>
        <v/>
      </c>
      <c r="K78" s="82" t="str">
        <f t="shared" ca="1" si="10"/>
        <v/>
      </c>
      <c r="L78" s="82" t="str">
        <f t="shared" ca="1" si="10"/>
        <v/>
      </c>
      <c r="M78" s="82" t="str">
        <f t="shared" ca="1" si="10"/>
        <v/>
      </c>
      <c r="N78" s="82" t="str">
        <f t="shared" ca="1" si="10"/>
        <v/>
      </c>
      <c r="O78" s="82" t="str">
        <f t="shared" ca="1" si="10"/>
        <v/>
      </c>
      <c r="P78" s="82" t="str">
        <f t="shared" ca="1" si="10"/>
        <v/>
      </c>
      <c r="Q78" s="82" t="str">
        <f t="shared" ca="1" si="10"/>
        <v/>
      </c>
      <c r="R78" s="82" t="str">
        <f t="shared" ca="1" si="9"/>
        <v/>
      </c>
    </row>
    <row r="79" spans="1:18">
      <c r="A79" s="22">
        <v>71</v>
      </c>
      <c r="B79" s="23" t="str">
        <f t="shared" ca="1" si="8"/>
        <v/>
      </c>
      <c r="C79" s="82" t="str">
        <f t="shared" ca="1" si="10"/>
        <v/>
      </c>
      <c r="D79" s="82" t="str">
        <f t="shared" ca="1" si="10"/>
        <v/>
      </c>
      <c r="E79" s="82" t="str">
        <f t="shared" ca="1" si="10"/>
        <v/>
      </c>
      <c r="F79" s="82" t="str">
        <f t="shared" ca="1" si="10"/>
        <v/>
      </c>
      <c r="G79" s="82" t="str">
        <f t="shared" ca="1" si="10"/>
        <v/>
      </c>
      <c r="H79" s="82" t="str">
        <f t="shared" ca="1" si="10"/>
        <v/>
      </c>
      <c r="I79" s="82" t="str">
        <f t="shared" ca="1" si="10"/>
        <v/>
      </c>
      <c r="J79" s="82" t="str">
        <f t="shared" ca="1" si="10"/>
        <v/>
      </c>
      <c r="K79" s="82" t="str">
        <f t="shared" ca="1" si="10"/>
        <v/>
      </c>
      <c r="L79" s="82" t="str">
        <f t="shared" ca="1" si="10"/>
        <v/>
      </c>
      <c r="M79" s="82" t="str">
        <f t="shared" ca="1" si="10"/>
        <v/>
      </c>
      <c r="N79" s="82" t="str">
        <f t="shared" ca="1" si="10"/>
        <v/>
      </c>
      <c r="O79" s="82" t="str">
        <f t="shared" ca="1" si="10"/>
        <v/>
      </c>
      <c r="P79" s="82" t="str">
        <f t="shared" ca="1" si="10"/>
        <v/>
      </c>
      <c r="Q79" s="82" t="str">
        <f t="shared" ca="1" si="10"/>
        <v/>
      </c>
      <c r="R79" s="82" t="str">
        <f t="shared" ca="1" si="9"/>
        <v/>
      </c>
    </row>
    <row r="80" spans="1:18">
      <c r="A80" s="22">
        <v>72</v>
      </c>
      <c r="B80" s="23" t="str">
        <f t="shared" ca="1" si="8"/>
        <v/>
      </c>
      <c r="C80" s="82" t="str">
        <f t="shared" ca="1" si="10"/>
        <v/>
      </c>
      <c r="D80" s="82" t="str">
        <f t="shared" ca="1" si="10"/>
        <v/>
      </c>
      <c r="E80" s="82" t="str">
        <f t="shared" ca="1" si="10"/>
        <v/>
      </c>
      <c r="F80" s="82" t="str">
        <f t="shared" ca="1" si="10"/>
        <v/>
      </c>
      <c r="G80" s="82" t="str">
        <f t="shared" ca="1" si="10"/>
        <v/>
      </c>
      <c r="H80" s="82" t="str">
        <f t="shared" ca="1" si="10"/>
        <v/>
      </c>
      <c r="I80" s="82" t="str">
        <f t="shared" ca="1" si="10"/>
        <v/>
      </c>
      <c r="J80" s="82" t="str">
        <f t="shared" ca="1" si="10"/>
        <v/>
      </c>
      <c r="K80" s="82" t="str">
        <f t="shared" ca="1" si="10"/>
        <v/>
      </c>
      <c r="L80" s="82" t="str">
        <f t="shared" ca="1" si="10"/>
        <v/>
      </c>
      <c r="M80" s="82" t="str">
        <f t="shared" ca="1" si="10"/>
        <v/>
      </c>
      <c r="N80" s="82" t="str">
        <f t="shared" ca="1" si="10"/>
        <v/>
      </c>
      <c r="O80" s="82" t="str">
        <f t="shared" ca="1" si="10"/>
        <v/>
      </c>
      <c r="P80" s="82" t="str">
        <f t="shared" ca="1" si="10"/>
        <v/>
      </c>
      <c r="Q80" s="82" t="str">
        <f t="shared" ca="1" si="10"/>
        <v/>
      </c>
      <c r="R80" s="82" t="str">
        <f t="shared" ca="1" si="9"/>
        <v/>
      </c>
    </row>
    <row r="81" spans="1:18">
      <c r="A81" s="22">
        <v>73</v>
      </c>
      <c r="B81" s="23" t="str">
        <f t="shared" ca="1" si="8"/>
        <v/>
      </c>
      <c r="C81" s="82" t="str">
        <f t="shared" ca="1" si="10"/>
        <v/>
      </c>
      <c r="D81" s="82" t="str">
        <f t="shared" ca="1" si="10"/>
        <v/>
      </c>
      <c r="E81" s="82" t="str">
        <f t="shared" ca="1" si="10"/>
        <v/>
      </c>
      <c r="F81" s="82" t="str">
        <f t="shared" ca="1" si="10"/>
        <v/>
      </c>
      <c r="G81" s="82" t="str">
        <f t="shared" ca="1" si="10"/>
        <v/>
      </c>
      <c r="H81" s="82" t="str">
        <f t="shared" ca="1" si="10"/>
        <v/>
      </c>
      <c r="I81" s="82" t="str">
        <f t="shared" ca="1" si="10"/>
        <v/>
      </c>
      <c r="J81" s="82" t="str">
        <f t="shared" ca="1" si="10"/>
        <v/>
      </c>
      <c r="K81" s="82" t="str">
        <f t="shared" ca="1" si="10"/>
        <v/>
      </c>
      <c r="L81" s="82" t="str">
        <f t="shared" ca="1" si="10"/>
        <v/>
      </c>
      <c r="M81" s="82" t="str">
        <f t="shared" ca="1" si="10"/>
        <v/>
      </c>
      <c r="N81" s="82" t="str">
        <f t="shared" ca="1" si="10"/>
        <v/>
      </c>
      <c r="O81" s="82" t="str">
        <f t="shared" ca="1" si="10"/>
        <v/>
      </c>
      <c r="P81" s="82" t="str">
        <f t="shared" ca="1" si="10"/>
        <v/>
      </c>
      <c r="Q81" s="82" t="str">
        <f t="shared" ca="1" si="10"/>
        <v/>
      </c>
      <c r="R81" s="82" t="str">
        <f t="shared" ca="1" si="9"/>
        <v/>
      </c>
    </row>
    <row r="82" spans="1:18">
      <c r="A82" s="22">
        <v>74</v>
      </c>
      <c r="B82" s="23" t="str">
        <f t="shared" ca="1" si="8"/>
        <v/>
      </c>
      <c r="C82" s="82" t="str">
        <f t="shared" ca="1" si="10"/>
        <v/>
      </c>
      <c r="D82" s="82" t="str">
        <f t="shared" ca="1" si="10"/>
        <v/>
      </c>
      <c r="E82" s="82" t="str">
        <f t="shared" ca="1" si="10"/>
        <v/>
      </c>
      <c r="F82" s="82" t="str">
        <f t="shared" ca="1" si="10"/>
        <v/>
      </c>
      <c r="G82" s="82" t="str">
        <f t="shared" ca="1" si="10"/>
        <v/>
      </c>
      <c r="H82" s="82" t="str">
        <f t="shared" ca="1" si="10"/>
        <v/>
      </c>
      <c r="I82" s="82" t="str">
        <f t="shared" ca="1" si="10"/>
        <v/>
      </c>
      <c r="J82" s="82" t="str">
        <f t="shared" ca="1" si="10"/>
        <v/>
      </c>
      <c r="K82" s="82" t="str">
        <f t="shared" ca="1" si="10"/>
        <v/>
      </c>
      <c r="L82" s="82" t="str">
        <f t="shared" ca="1" si="10"/>
        <v/>
      </c>
      <c r="M82" s="82" t="str">
        <f t="shared" ca="1" si="10"/>
        <v/>
      </c>
      <c r="N82" s="82" t="str">
        <f t="shared" ca="1" si="10"/>
        <v/>
      </c>
      <c r="O82" s="82" t="str">
        <f t="shared" ca="1" si="10"/>
        <v/>
      </c>
      <c r="P82" s="82" t="str">
        <f t="shared" ca="1" si="10"/>
        <v/>
      </c>
      <c r="Q82" s="82" t="str">
        <f t="shared" ca="1" si="10"/>
        <v/>
      </c>
      <c r="R82" s="82" t="str">
        <f t="shared" ca="1" si="9"/>
        <v/>
      </c>
    </row>
    <row r="83" spans="1:18">
      <c r="A83" s="22">
        <v>75</v>
      </c>
      <c r="B83" s="23" t="str">
        <f t="shared" ca="1" si="8"/>
        <v/>
      </c>
      <c r="C83" s="82" t="str">
        <f t="shared" ca="1" si="10"/>
        <v/>
      </c>
      <c r="D83" s="82" t="str">
        <f t="shared" ca="1" si="10"/>
        <v/>
      </c>
      <c r="E83" s="82" t="str">
        <f t="shared" ca="1" si="10"/>
        <v/>
      </c>
      <c r="F83" s="82" t="str">
        <f t="shared" ca="1" si="10"/>
        <v/>
      </c>
      <c r="G83" s="82" t="str">
        <f t="shared" ca="1" si="10"/>
        <v/>
      </c>
      <c r="H83" s="82" t="str">
        <f t="shared" ca="1" si="10"/>
        <v/>
      </c>
      <c r="I83" s="82" t="str">
        <f t="shared" ca="1" si="10"/>
        <v/>
      </c>
      <c r="J83" s="82" t="str">
        <f t="shared" ca="1" si="10"/>
        <v/>
      </c>
      <c r="K83" s="82" t="str">
        <f t="shared" ca="1" si="10"/>
        <v/>
      </c>
      <c r="L83" s="82" t="str">
        <f t="shared" ca="1" si="10"/>
        <v/>
      </c>
      <c r="M83" s="82" t="str">
        <f t="shared" ca="1" si="10"/>
        <v/>
      </c>
      <c r="N83" s="82" t="str">
        <f t="shared" ca="1" si="10"/>
        <v/>
      </c>
      <c r="O83" s="82" t="str">
        <f t="shared" ca="1" si="10"/>
        <v/>
      </c>
      <c r="P83" s="82" t="str">
        <f t="shared" ca="1" si="10"/>
        <v/>
      </c>
      <c r="Q83" s="82" t="str">
        <f t="shared" ca="1" si="10"/>
        <v/>
      </c>
      <c r="R83" s="82" t="str">
        <f t="shared" ca="1" si="9"/>
        <v/>
      </c>
    </row>
    <row r="84" spans="1:18">
      <c r="A84" s="22">
        <v>76</v>
      </c>
      <c r="B84" s="23" t="str">
        <f t="shared" ca="1" si="8"/>
        <v/>
      </c>
      <c r="C84" s="82" t="str">
        <f t="shared" ca="1" si="10"/>
        <v/>
      </c>
      <c r="D84" s="82" t="str">
        <f t="shared" ca="1" si="10"/>
        <v/>
      </c>
      <c r="E84" s="82" t="str">
        <f t="shared" ca="1" si="10"/>
        <v/>
      </c>
      <c r="F84" s="82" t="str">
        <f t="shared" ca="1" si="10"/>
        <v/>
      </c>
      <c r="G84" s="82" t="str">
        <f t="shared" ca="1" si="10"/>
        <v/>
      </c>
      <c r="H84" s="82" t="str">
        <f t="shared" ca="1" si="10"/>
        <v/>
      </c>
      <c r="I84" s="82" t="str">
        <f t="shared" ca="1" si="10"/>
        <v/>
      </c>
      <c r="J84" s="82" t="str">
        <f t="shared" ca="1" si="10"/>
        <v/>
      </c>
      <c r="K84" s="82" t="str">
        <f t="shared" ca="1" si="10"/>
        <v/>
      </c>
      <c r="L84" s="82" t="str">
        <f t="shared" ca="1" si="10"/>
        <v/>
      </c>
      <c r="M84" s="82" t="str">
        <f t="shared" ca="1" si="10"/>
        <v/>
      </c>
      <c r="N84" s="82" t="str">
        <f t="shared" ca="1" si="10"/>
        <v/>
      </c>
      <c r="O84" s="82" t="str">
        <f t="shared" ca="1" si="10"/>
        <v/>
      </c>
      <c r="P84" s="82" t="str">
        <f t="shared" ca="1" si="10"/>
        <v/>
      </c>
      <c r="Q84" s="82" t="str">
        <f t="shared" ca="1" si="10"/>
        <v/>
      </c>
      <c r="R84" s="82" t="str">
        <f t="shared" ca="1" si="9"/>
        <v/>
      </c>
    </row>
    <row r="85" spans="1:18">
      <c r="A85" s="22">
        <v>77</v>
      </c>
      <c r="B85" s="23" t="str">
        <f t="shared" ca="1" si="8"/>
        <v/>
      </c>
      <c r="C85" s="82" t="str">
        <f t="shared" ca="1" si="10"/>
        <v/>
      </c>
      <c r="D85" s="82" t="str">
        <f t="shared" ca="1" si="10"/>
        <v/>
      </c>
      <c r="E85" s="82" t="str">
        <f t="shared" ca="1" si="10"/>
        <v/>
      </c>
      <c r="F85" s="82" t="str">
        <f t="shared" ca="1" si="10"/>
        <v/>
      </c>
      <c r="G85" s="82" t="str">
        <f t="shared" ca="1" si="10"/>
        <v/>
      </c>
      <c r="H85" s="82" t="str">
        <f t="shared" ca="1" si="10"/>
        <v/>
      </c>
      <c r="I85" s="82" t="str">
        <f t="shared" ca="1" si="10"/>
        <v/>
      </c>
      <c r="J85" s="82" t="str">
        <f t="shared" ca="1" si="10"/>
        <v/>
      </c>
      <c r="K85" s="82" t="str">
        <f t="shared" ca="1" si="10"/>
        <v/>
      </c>
      <c r="L85" s="82" t="str">
        <f t="shared" ca="1" si="10"/>
        <v/>
      </c>
      <c r="M85" s="82" t="str">
        <f t="shared" ca="1" si="10"/>
        <v/>
      </c>
      <c r="N85" s="82" t="str">
        <f t="shared" ca="1" si="10"/>
        <v/>
      </c>
      <c r="O85" s="82" t="str">
        <f t="shared" ca="1" si="10"/>
        <v/>
      </c>
      <c r="P85" s="82" t="str">
        <f t="shared" ca="1" si="10"/>
        <v/>
      </c>
      <c r="Q85" s="82" t="str">
        <f t="shared" ca="1" si="10"/>
        <v/>
      </c>
      <c r="R85" s="82" t="str">
        <f t="shared" ca="1" si="9"/>
        <v/>
      </c>
    </row>
    <row r="86" spans="1:18">
      <c r="A86" s="22">
        <v>78</v>
      </c>
      <c r="B86" s="23" t="str">
        <f t="shared" ca="1" si="8"/>
        <v/>
      </c>
      <c r="C86" s="82" t="str">
        <f t="shared" ca="1" si="10"/>
        <v/>
      </c>
      <c r="D86" s="82" t="str">
        <f t="shared" ca="1" si="10"/>
        <v/>
      </c>
      <c r="E86" s="82" t="str">
        <f t="shared" ca="1" si="10"/>
        <v/>
      </c>
      <c r="F86" s="82" t="str">
        <f t="shared" ca="1" si="10"/>
        <v/>
      </c>
      <c r="G86" s="82" t="str">
        <f t="shared" ca="1" si="10"/>
        <v/>
      </c>
      <c r="H86" s="82" t="str">
        <f t="shared" ca="1" si="10"/>
        <v/>
      </c>
      <c r="I86" s="82" t="str">
        <f t="shared" ca="1" si="10"/>
        <v/>
      </c>
      <c r="J86" s="82" t="str">
        <f t="shared" ca="1" si="10"/>
        <v/>
      </c>
      <c r="K86" s="82" t="str">
        <f t="shared" ca="1" si="10"/>
        <v/>
      </c>
      <c r="L86" s="82" t="str">
        <f t="shared" ca="1" si="10"/>
        <v/>
      </c>
      <c r="M86" s="82" t="str">
        <f t="shared" ca="1" si="10"/>
        <v/>
      </c>
      <c r="N86" s="82" t="str">
        <f t="shared" ca="1" si="10"/>
        <v/>
      </c>
      <c r="O86" s="82" t="str">
        <f t="shared" ca="1" si="10"/>
        <v/>
      </c>
      <c r="P86" s="82" t="str">
        <f t="shared" ca="1" si="10"/>
        <v/>
      </c>
      <c r="Q86" s="82" t="str">
        <f t="shared" ca="1" si="10"/>
        <v/>
      </c>
      <c r="R86" s="82" t="str">
        <f t="shared" ca="1" si="9"/>
        <v/>
      </c>
    </row>
    <row r="87" spans="1:18">
      <c r="A87" s="22">
        <v>79</v>
      </c>
      <c r="B87" s="23" t="str">
        <f t="shared" ca="1" si="8"/>
        <v/>
      </c>
      <c r="C87" s="82" t="str">
        <f t="shared" ca="1" si="10"/>
        <v/>
      </c>
      <c r="D87" s="82" t="str">
        <f t="shared" ca="1" si="10"/>
        <v/>
      </c>
      <c r="E87" s="82" t="str">
        <f t="shared" ca="1" si="10"/>
        <v/>
      </c>
      <c r="F87" s="82" t="str">
        <f t="shared" ca="1" si="10"/>
        <v/>
      </c>
      <c r="G87" s="82" t="str">
        <f t="shared" ca="1" si="10"/>
        <v/>
      </c>
      <c r="H87" s="82" t="str">
        <f t="shared" ca="1" si="10"/>
        <v/>
      </c>
      <c r="I87" s="82" t="str">
        <f t="shared" ca="1" si="10"/>
        <v/>
      </c>
      <c r="J87" s="82" t="str">
        <f t="shared" ca="1" si="10"/>
        <v/>
      </c>
      <c r="K87" s="82" t="str">
        <f t="shared" ca="1" si="10"/>
        <v/>
      </c>
      <c r="L87" s="82" t="str">
        <f t="shared" ca="1" si="10"/>
        <v/>
      </c>
      <c r="M87" s="82" t="str">
        <f t="shared" ca="1" si="10"/>
        <v/>
      </c>
      <c r="N87" s="82" t="str">
        <f t="shared" ca="1" si="10"/>
        <v/>
      </c>
      <c r="O87" s="82" t="str">
        <f t="shared" ca="1" si="10"/>
        <v/>
      </c>
      <c r="P87" s="82" t="str">
        <f t="shared" ca="1" si="10"/>
        <v/>
      </c>
      <c r="Q87" s="82" t="str">
        <f t="shared" ca="1" si="10"/>
        <v/>
      </c>
      <c r="R87" s="82" t="str">
        <f t="shared" ca="1" si="9"/>
        <v/>
      </c>
    </row>
    <row r="88" spans="1:18">
      <c r="A88" s="22">
        <v>80</v>
      </c>
      <c r="B88" s="23" t="str">
        <f t="shared" ca="1" si="8"/>
        <v/>
      </c>
      <c r="C88" s="82" t="str">
        <f t="shared" ca="1" si="10"/>
        <v/>
      </c>
      <c r="D88" s="82" t="str">
        <f t="shared" ca="1" si="10"/>
        <v/>
      </c>
      <c r="E88" s="82" t="str">
        <f t="shared" ca="1" si="10"/>
        <v/>
      </c>
      <c r="F88" s="82" t="str">
        <f t="shared" ca="1" si="10"/>
        <v/>
      </c>
      <c r="G88" s="82" t="str">
        <f t="shared" ca="1" si="10"/>
        <v/>
      </c>
      <c r="H88" s="82" t="str">
        <f t="shared" ca="1" si="10"/>
        <v/>
      </c>
      <c r="I88" s="82" t="str">
        <f t="shared" ca="1" si="10"/>
        <v/>
      </c>
      <c r="J88" s="82" t="str">
        <f t="shared" ca="1" si="10"/>
        <v/>
      </c>
      <c r="K88" s="82" t="str">
        <f t="shared" ca="1" si="10"/>
        <v/>
      </c>
      <c r="L88" s="82" t="str">
        <f t="shared" ca="1" si="10"/>
        <v/>
      </c>
      <c r="M88" s="82" t="str">
        <f t="shared" ca="1" si="10"/>
        <v/>
      </c>
      <c r="N88" s="82" t="str">
        <f t="shared" ca="1" si="10"/>
        <v/>
      </c>
      <c r="O88" s="82" t="str">
        <f t="shared" ca="1" si="10"/>
        <v/>
      </c>
      <c r="P88" s="82" t="str">
        <f t="shared" ca="1" si="10"/>
        <v/>
      </c>
      <c r="Q88" s="82" t="str">
        <f t="shared" ca="1" si="10"/>
        <v/>
      </c>
      <c r="R88" s="82" t="str">
        <f t="shared" ca="1" si="9"/>
        <v/>
      </c>
    </row>
    <row r="89" spans="1:18">
      <c r="A89" s="22">
        <v>81</v>
      </c>
      <c r="B89" s="23" t="str">
        <f t="shared" ca="1" si="8"/>
        <v/>
      </c>
      <c r="C89" s="82" t="str">
        <f t="shared" ca="1" si="10"/>
        <v/>
      </c>
      <c r="D89" s="82" t="str">
        <f t="shared" ca="1" si="10"/>
        <v/>
      </c>
      <c r="E89" s="82" t="str">
        <f t="shared" ca="1" si="10"/>
        <v/>
      </c>
      <c r="F89" s="82" t="str">
        <f t="shared" ca="1" si="10"/>
        <v/>
      </c>
      <c r="G89" s="82" t="str">
        <f t="shared" ca="1" si="10"/>
        <v/>
      </c>
      <c r="H89" s="82" t="str">
        <f t="shared" ca="1" si="10"/>
        <v/>
      </c>
      <c r="I89" s="82" t="str">
        <f t="shared" ca="1" si="10"/>
        <v/>
      </c>
      <c r="J89" s="82" t="str">
        <f t="shared" ca="1" si="10"/>
        <v/>
      </c>
      <c r="K89" s="82" t="str">
        <f t="shared" ca="1" si="10"/>
        <v/>
      </c>
      <c r="L89" s="82" t="str">
        <f t="shared" ca="1" si="10"/>
        <v/>
      </c>
      <c r="M89" s="82" t="str">
        <f t="shared" ca="1" si="10"/>
        <v/>
      </c>
      <c r="N89" s="82" t="str">
        <f t="shared" ca="1" si="10"/>
        <v/>
      </c>
      <c r="O89" s="82" t="str">
        <f t="shared" ca="1" si="10"/>
        <v/>
      </c>
      <c r="P89" s="82" t="str">
        <f t="shared" ca="1" si="10"/>
        <v/>
      </c>
      <c r="Q89" s="82" t="str">
        <f t="shared" ca="1" si="10"/>
        <v/>
      </c>
      <c r="R89" s="82" t="str">
        <f t="shared" ca="1" si="9"/>
        <v/>
      </c>
    </row>
    <row r="90" spans="1:18">
      <c r="A90" s="22">
        <v>82</v>
      </c>
      <c r="B90" s="23" t="str">
        <f t="shared" ca="1" si="8"/>
        <v/>
      </c>
      <c r="C90" s="82" t="str">
        <f t="shared" ca="1" si="10"/>
        <v/>
      </c>
      <c r="D90" s="82" t="str">
        <f t="shared" ca="1" si="10"/>
        <v/>
      </c>
      <c r="E90" s="82" t="str">
        <f t="shared" ca="1" si="10"/>
        <v/>
      </c>
      <c r="F90" s="82" t="str">
        <f t="shared" ca="1" si="10"/>
        <v/>
      </c>
      <c r="G90" s="82" t="str">
        <f t="shared" ca="1" si="10"/>
        <v/>
      </c>
      <c r="H90" s="82" t="str">
        <f t="shared" ca="1" si="10"/>
        <v/>
      </c>
      <c r="I90" s="82" t="str">
        <f t="shared" ca="1" si="10"/>
        <v/>
      </c>
      <c r="J90" s="82" t="str">
        <f t="shared" ca="1" si="10"/>
        <v/>
      </c>
      <c r="K90" s="82" t="str">
        <f t="shared" ca="1" si="10"/>
        <v/>
      </c>
      <c r="L90" s="82" t="str">
        <f t="shared" ca="1" si="10"/>
        <v/>
      </c>
      <c r="M90" s="82" t="str">
        <f t="shared" ca="1" si="10"/>
        <v/>
      </c>
      <c r="N90" s="82" t="str">
        <f t="shared" ca="1" si="10"/>
        <v/>
      </c>
      <c r="O90" s="82" t="str">
        <f t="shared" ca="1" si="10"/>
        <v/>
      </c>
      <c r="P90" s="82" t="str">
        <f t="shared" ca="1" si="10"/>
        <v/>
      </c>
      <c r="Q90" s="82" t="str">
        <f t="shared" ca="1" si="10"/>
        <v/>
      </c>
      <c r="R90" s="82" t="str">
        <f t="shared" ca="1" si="9"/>
        <v/>
      </c>
    </row>
    <row r="91" spans="1:18">
      <c r="A91" s="22">
        <v>83</v>
      </c>
      <c r="B91" s="23" t="str">
        <f t="shared" ca="1" si="8"/>
        <v/>
      </c>
      <c r="C91" s="82" t="str">
        <f t="shared" ca="1" si="10"/>
        <v/>
      </c>
      <c r="D91" s="82" t="str">
        <f t="shared" ca="1" si="10"/>
        <v/>
      </c>
      <c r="E91" s="82" t="str">
        <f t="shared" ca="1" si="10"/>
        <v/>
      </c>
      <c r="F91" s="82" t="str">
        <f t="shared" ca="1" si="10"/>
        <v/>
      </c>
      <c r="G91" s="82" t="str">
        <f t="shared" ca="1" si="10"/>
        <v/>
      </c>
      <c r="H91" s="82" t="str">
        <f t="shared" ca="1" si="10"/>
        <v/>
      </c>
      <c r="I91" s="82" t="str">
        <f t="shared" ca="1" si="10"/>
        <v/>
      </c>
      <c r="J91" s="82" t="str">
        <f t="shared" ca="1" si="10"/>
        <v/>
      </c>
      <c r="K91" s="82" t="str">
        <f t="shared" ca="1" si="10"/>
        <v/>
      </c>
      <c r="L91" s="82" t="str">
        <f t="shared" ca="1" si="10"/>
        <v/>
      </c>
      <c r="M91" s="82" t="str">
        <f t="shared" ca="1" si="10"/>
        <v/>
      </c>
      <c r="N91" s="82" t="str">
        <f t="shared" ca="1" si="10"/>
        <v/>
      </c>
      <c r="O91" s="82" t="str">
        <f t="shared" ca="1" si="10"/>
        <v/>
      </c>
      <c r="P91" s="82" t="str">
        <f t="shared" ca="1" si="10"/>
        <v/>
      </c>
      <c r="Q91" s="82" t="str">
        <f t="shared" ca="1" si="10"/>
        <v/>
      </c>
      <c r="R91" s="82" t="str">
        <f t="shared" ca="1" si="9"/>
        <v/>
      </c>
    </row>
    <row r="92" spans="1:18">
      <c r="A92" s="22">
        <v>84</v>
      </c>
      <c r="B92" s="23" t="str">
        <f t="shared" ca="1" si="8"/>
        <v/>
      </c>
      <c r="C92" s="82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82" t="str">
        <f t="shared" ca="1" si="11"/>
        <v/>
      </c>
      <c r="E92" s="82" t="str">
        <f t="shared" ca="1" si="11"/>
        <v/>
      </c>
      <c r="F92" s="82" t="str">
        <f t="shared" ca="1" si="11"/>
        <v/>
      </c>
      <c r="G92" s="82" t="str">
        <f t="shared" ca="1" si="11"/>
        <v/>
      </c>
      <c r="H92" s="82" t="str">
        <f t="shared" ca="1" si="11"/>
        <v/>
      </c>
      <c r="I92" s="82" t="str">
        <f t="shared" ca="1" si="11"/>
        <v/>
      </c>
      <c r="J92" s="82" t="str">
        <f t="shared" ca="1" si="11"/>
        <v/>
      </c>
      <c r="K92" s="82" t="str">
        <f t="shared" ca="1" si="11"/>
        <v/>
      </c>
      <c r="L92" s="82" t="str">
        <f t="shared" ca="1" si="11"/>
        <v/>
      </c>
      <c r="M92" s="82" t="str">
        <f t="shared" ca="1" si="11"/>
        <v/>
      </c>
      <c r="N92" s="82" t="str">
        <f t="shared" ca="1" si="11"/>
        <v/>
      </c>
      <c r="O92" s="82" t="str">
        <f t="shared" ca="1" si="11"/>
        <v/>
      </c>
      <c r="P92" s="82" t="str">
        <f t="shared" ca="1" si="11"/>
        <v/>
      </c>
      <c r="Q92" s="82" t="str">
        <f t="shared" ca="1" si="11"/>
        <v/>
      </c>
      <c r="R92" s="82" t="str">
        <f t="shared" ca="1" si="9"/>
        <v/>
      </c>
    </row>
    <row r="93" spans="1:18">
      <c r="A93" s="22">
        <v>85</v>
      </c>
      <c r="B93" s="23" t="str">
        <f t="shared" ca="1" si="8"/>
        <v/>
      </c>
      <c r="C93" s="82" t="str">
        <f t="shared" ca="1" si="11"/>
        <v/>
      </c>
      <c r="D93" s="82" t="str">
        <f t="shared" ca="1" si="11"/>
        <v/>
      </c>
      <c r="E93" s="82" t="str">
        <f t="shared" ca="1" si="11"/>
        <v/>
      </c>
      <c r="F93" s="82" t="str">
        <f t="shared" ca="1" si="11"/>
        <v/>
      </c>
      <c r="G93" s="82" t="str">
        <f t="shared" ca="1" si="11"/>
        <v/>
      </c>
      <c r="H93" s="82" t="str">
        <f t="shared" ca="1" si="11"/>
        <v/>
      </c>
      <c r="I93" s="82" t="str">
        <f t="shared" ca="1" si="11"/>
        <v/>
      </c>
      <c r="J93" s="82" t="str">
        <f t="shared" ca="1" si="11"/>
        <v/>
      </c>
      <c r="K93" s="82" t="str">
        <f t="shared" ca="1" si="11"/>
        <v/>
      </c>
      <c r="L93" s="82" t="str">
        <f t="shared" ca="1" si="11"/>
        <v/>
      </c>
      <c r="M93" s="82" t="str">
        <f t="shared" ca="1" si="11"/>
        <v/>
      </c>
      <c r="N93" s="82" t="str">
        <f t="shared" ca="1" si="11"/>
        <v/>
      </c>
      <c r="O93" s="82" t="str">
        <f t="shared" ca="1" si="11"/>
        <v/>
      </c>
      <c r="P93" s="82" t="str">
        <f t="shared" ca="1" si="11"/>
        <v/>
      </c>
      <c r="Q93" s="82" t="str">
        <f t="shared" ca="1" si="11"/>
        <v/>
      </c>
      <c r="R93" s="82" t="str">
        <f t="shared" ca="1" si="9"/>
        <v/>
      </c>
    </row>
    <row r="94" spans="1:18">
      <c r="A94" s="22">
        <v>86</v>
      </c>
      <c r="B94" s="23" t="str">
        <f t="shared" ca="1" si="8"/>
        <v/>
      </c>
      <c r="C94" s="82" t="str">
        <f t="shared" ca="1" si="11"/>
        <v/>
      </c>
      <c r="D94" s="82" t="str">
        <f t="shared" ca="1" si="11"/>
        <v/>
      </c>
      <c r="E94" s="82" t="str">
        <f t="shared" ca="1" si="11"/>
        <v/>
      </c>
      <c r="F94" s="82" t="str">
        <f t="shared" ca="1" si="11"/>
        <v/>
      </c>
      <c r="G94" s="82" t="str">
        <f t="shared" ca="1" si="11"/>
        <v/>
      </c>
      <c r="H94" s="82" t="str">
        <f t="shared" ca="1" si="11"/>
        <v/>
      </c>
      <c r="I94" s="82" t="str">
        <f t="shared" ca="1" si="11"/>
        <v/>
      </c>
      <c r="J94" s="82" t="str">
        <f t="shared" ca="1" si="11"/>
        <v/>
      </c>
      <c r="K94" s="82" t="str">
        <f t="shared" ca="1" si="11"/>
        <v/>
      </c>
      <c r="L94" s="82" t="str">
        <f t="shared" ca="1" si="11"/>
        <v/>
      </c>
      <c r="M94" s="82" t="str">
        <f t="shared" ca="1" si="11"/>
        <v/>
      </c>
      <c r="N94" s="82" t="str">
        <f t="shared" ca="1" si="11"/>
        <v/>
      </c>
      <c r="O94" s="82" t="str">
        <f t="shared" ca="1" si="11"/>
        <v/>
      </c>
      <c r="P94" s="82" t="str">
        <f t="shared" ca="1" si="11"/>
        <v/>
      </c>
      <c r="Q94" s="82" t="str">
        <f t="shared" ca="1" si="11"/>
        <v/>
      </c>
      <c r="R94" s="82" t="str">
        <f t="shared" ca="1" si="9"/>
        <v/>
      </c>
    </row>
    <row r="95" spans="1:18">
      <c r="A95" s="22">
        <v>87</v>
      </c>
      <c r="B95" s="23" t="str">
        <f t="shared" ca="1" si="8"/>
        <v/>
      </c>
      <c r="C95" s="82" t="str">
        <f t="shared" ca="1" si="11"/>
        <v/>
      </c>
      <c r="D95" s="82" t="str">
        <f t="shared" ca="1" si="11"/>
        <v/>
      </c>
      <c r="E95" s="82" t="str">
        <f t="shared" ca="1" si="11"/>
        <v/>
      </c>
      <c r="F95" s="82" t="str">
        <f t="shared" ca="1" si="11"/>
        <v/>
      </c>
      <c r="G95" s="82" t="str">
        <f t="shared" ca="1" si="11"/>
        <v/>
      </c>
      <c r="H95" s="82" t="str">
        <f t="shared" ca="1" si="11"/>
        <v/>
      </c>
      <c r="I95" s="82" t="str">
        <f t="shared" ca="1" si="11"/>
        <v/>
      </c>
      <c r="J95" s="82" t="str">
        <f t="shared" ca="1" si="11"/>
        <v/>
      </c>
      <c r="K95" s="82" t="str">
        <f t="shared" ca="1" si="11"/>
        <v/>
      </c>
      <c r="L95" s="82" t="str">
        <f t="shared" ca="1" si="11"/>
        <v/>
      </c>
      <c r="M95" s="82" t="str">
        <f t="shared" ca="1" si="11"/>
        <v/>
      </c>
      <c r="N95" s="82" t="str">
        <f t="shared" ca="1" si="11"/>
        <v/>
      </c>
      <c r="O95" s="82" t="str">
        <f t="shared" ca="1" si="11"/>
        <v/>
      </c>
      <c r="P95" s="82" t="str">
        <f t="shared" ca="1" si="11"/>
        <v/>
      </c>
      <c r="Q95" s="82" t="str">
        <f t="shared" ca="1" si="11"/>
        <v/>
      </c>
      <c r="R95" s="82" t="str">
        <f t="shared" ca="1" si="9"/>
        <v/>
      </c>
    </row>
    <row r="96" spans="1:18">
      <c r="A96" s="22">
        <v>88</v>
      </c>
      <c r="B96" s="23" t="str">
        <f t="shared" ca="1" si="8"/>
        <v/>
      </c>
      <c r="C96" s="82" t="str">
        <f t="shared" ca="1" si="11"/>
        <v/>
      </c>
      <c r="D96" s="82" t="str">
        <f t="shared" ca="1" si="11"/>
        <v/>
      </c>
      <c r="E96" s="82" t="str">
        <f t="shared" ca="1" si="11"/>
        <v/>
      </c>
      <c r="F96" s="82" t="str">
        <f t="shared" ca="1" si="11"/>
        <v/>
      </c>
      <c r="G96" s="82" t="str">
        <f t="shared" ca="1" si="11"/>
        <v/>
      </c>
      <c r="H96" s="82" t="str">
        <f t="shared" ca="1" si="11"/>
        <v/>
      </c>
      <c r="I96" s="82" t="str">
        <f t="shared" ca="1" si="11"/>
        <v/>
      </c>
      <c r="J96" s="82" t="str">
        <f t="shared" ca="1" si="11"/>
        <v/>
      </c>
      <c r="K96" s="82" t="str">
        <f t="shared" ca="1" si="11"/>
        <v/>
      </c>
      <c r="L96" s="82" t="str">
        <f t="shared" ca="1" si="11"/>
        <v/>
      </c>
      <c r="M96" s="82" t="str">
        <f t="shared" ca="1" si="11"/>
        <v/>
      </c>
      <c r="N96" s="82" t="str">
        <f t="shared" ca="1" si="11"/>
        <v/>
      </c>
      <c r="O96" s="82" t="str">
        <f t="shared" ca="1" si="11"/>
        <v/>
      </c>
      <c r="P96" s="82" t="str">
        <f t="shared" ca="1" si="11"/>
        <v/>
      </c>
      <c r="Q96" s="82" t="str">
        <f t="shared" ca="1" si="11"/>
        <v/>
      </c>
      <c r="R96" s="82" t="str">
        <f t="shared" ca="1" si="9"/>
        <v/>
      </c>
    </row>
    <row r="97" spans="1:18">
      <c r="A97" s="22">
        <v>89</v>
      </c>
      <c r="B97" s="23" t="str">
        <f t="shared" ca="1" si="8"/>
        <v/>
      </c>
      <c r="C97" s="82" t="str">
        <f t="shared" ca="1" si="11"/>
        <v/>
      </c>
      <c r="D97" s="82" t="str">
        <f t="shared" ca="1" si="11"/>
        <v/>
      </c>
      <c r="E97" s="82" t="str">
        <f t="shared" ca="1" si="11"/>
        <v/>
      </c>
      <c r="F97" s="82" t="str">
        <f t="shared" ca="1" si="11"/>
        <v/>
      </c>
      <c r="G97" s="82" t="str">
        <f t="shared" ca="1" si="11"/>
        <v/>
      </c>
      <c r="H97" s="82" t="str">
        <f t="shared" ca="1" si="11"/>
        <v/>
      </c>
      <c r="I97" s="82" t="str">
        <f t="shared" ca="1" si="11"/>
        <v/>
      </c>
      <c r="J97" s="82" t="str">
        <f t="shared" ca="1" si="11"/>
        <v/>
      </c>
      <c r="K97" s="82" t="str">
        <f t="shared" ca="1" si="11"/>
        <v/>
      </c>
      <c r="L97" s="82" t="str">
        <f t="shared" ca="1" si="11"/>
        <v/>
      </c>
      <c r="M97" s="82" t="str">
        <f t="shared" ca="1" si="11"/>
        <v/>
      </c>
      <c r="N97" s="82" t="str">
        <f t="shared" ca="1" si="11"/>
        <v/>
      </c>
      <c r="O97" s="82" t="str">
        <f t="shared" ca="1" si="11"/>
        <v/>
      </c>
      <c r="P97" s="82" t="str">
        <f t="shared" ca="1" si="11"/>
        <v/>
      </c>
      <c r="Q97" s="82" t="str">
        <f t="shared" ca="1" si="11"/>
        <v/>
      </c>
      <c r="R97" s="82" t="str">
        <f t="shared" ca="1" si="9"/>
        <v/>
      </c>
    </row>
    <row r="98" spans="1:18">
      <c r="A98" s="22">
        <v>90</v>
      </c>
      <c r="B98" s="23" t="str">
        <f t="shared" ca="1" si="8"/>
        <v/>
      </c>
      <c r="C98" s="82" t="str">
        <f t="shared" ca="1" si="11"/>
        <v/>
      </c>
      <c r="D98" s="82" t="str">
        <f t="shared" ca="1" si="11"/>
        <v/>
      </c>
      <c r="E98" s="82" t="str">
        <f t="shared" ca="1" si="11"/>
        <v/>
      </c>
      <c r="F98" s="82" t="str">
        <f t="shared" ca="1" si="11"/>
        <v/>
      </c>
      <c r="G98" s="82" t="str">
        <f t="shared" ca="1" si="11"/>
        <v/>
      </c>
      <c r="H98" s="82" t="str">
        <f t="shared" ca="1" si="11"/>
        <v/>
      </c>
      <c r="I98" s="82" t="str">
        <f t="shared" ca="1" si="11"/>
        <v/>
      </c>
      <c r="J98" s="82" t="str">
        <f t="shared" ca="1" si="11"/>
        <v/>
      </c>
      <c r="K98" s="82" t="str">
        <f t="shared" ca="1" si="11"/>
        <v/>
      </c>
      <c r="L98" s="82" t="str">
        <f t="shared" ca="1" si="11"/>
        <v/>
      </c>
      <c r="M98" s="82" t="str">
        <f t="shared" ca="1" si="11"/>
        <v/>
      </c>
      <c r="N98" s="82" t="str">
        <f t="shared" ca="1" si="11"/>
        <v/>
      </c>
      <c r="O98" s="82" t="str">
        <f t="shared" ca="1" si="11"/>
        <v/>
      </c>
      <c r="P98" s="82" t="str">
        <f t="shared" ca="1" si="11"/>
        <v/>
      </c>
      <c r="Q98" s="82" t="str">
        <f t="shared" ca="1" si="11"/>
        <v/>
      </c>
      <c r="R98" s="82" t="str">
        <f t="shared" ca="1" si="9"/>
        <v/>
      </c>
    </row>
    <row r="99" spans="1:18">
      <c r="A99" s="22">
        <v>91</v>
      </c>
      <c r="B99" s="23" t="str">
        <f t="shared" ca="1" si="8"/>
        <v/>
      </c>
      <c r="C99" s="82" t="str">
        <f t="shared" ca="1" si="11"/>
        <v/>
      </c>
      <c r="D99" s="82" t="str">
        <f t="shared" ca="1" si="11"/>
        <v/>
      </c>
      <c r="E99" s="82" t="str">
        <f t="shared" ca="1" si="11"/>
        <v/>
      </c>
      <c r="F99" s="82" t="str">
        <f t="shared" ca="1" si="11"/>
        <v/>
      </c>
      <c r="G99" s="82" t="str">
        <f t="shared" ca="1" si="11"/>
        <v/>
      </c>
      <c r="H99" s="82" t="str">
        <f t="shared" ca="1" si="11"/>
        <v/>
      </c>
      <c r="I99" s="82" t="str">
        <f t="shared" ca="1" si="11"/>
        <v/>
      </c>
      <c r="J99" s="82" t="str">
        <f t="shared" ca="1" si="11"/>
        <v/>
      </c>
      <c r="K99" s="82" t="str">
        <f t="shared" ca="1" si="11"/>
        <v/>
      </c>
      <c r="L99" s="82" t="str">
        <f t="shared" ca="1" si="11"/>
        <v/>
      </c>
      <c r="M99" s="82" t="str">
        <f t="shared" ca="1" si="11"/>
        <v/>
      </c>
      <c r="N99" s="82" t="str">
        <f t="shared" ca="1" si="11"/>
        <v/>
      </c>
      <c r="O99" s="82" t="str">
        <f t="shared" ca="1" si="11"/>
        <v/>
      </c>
      <c r="P99" s="82" t="str">
        <f t="shared" ca="1" si="11"/>
        <v/>
      </c>
      <c r="Q99" s="82" t="str">
        <f t="shared" ca="1" si="11"/>
        <v/>
      </c>
      <c r="R99" s="82" t="str">
        <f t="shared" ca="1" si="9"/>
        <v/>
      </c>
    </row>
    <row r="100" spans="1:18">
      <c r="A100" s="22">
        <v>92</v>
      </c>
      <c r="B100" s="23" t="str">
        <f t="shared" ca="1" si="8"/>
        <v/>
      </c>
      <c r="C100" s="82" t="str">
        <f t="shared" ca="1" si="11"/>
        <v/>
      </c>
      <c r="D100" s="82" t="str">
        <f t="shared" ca="1" si="11"/>
        <v/>
      </c>
      <c r="E100" s="82" t="str">
        <f t="shared" ca="1" si="11"/>
        <v/>
      </c>
      <c r="F100" s="82" t="str">
        <f t="shared" ca="1" si="11"/>
        <v/>
      </c>
      <c r="G100" s="82" t="str">
        <f t="shared" ca="1" si="11"/>
        <v/>
      </c>
      <c r="H100" s="82" t="str">
        <f t="shared" ca="1" si="11"/>
        <v/>
      </c>
      <c r="I100" s="82" t="str">
        <f t="shared" ca="1" si="11"/>
        <v/>
      </c>
      <c r="J100" s="82" t="str">
        <f t="shared" ca="1" si="11"/>
        <v/>
      </c>
      <c r="K100" s="82" t="str">
        <f t="shared" ca="1" si="11"/>
        <v/>
      </c>
      <c r="L100" s="82" t="str">
        <f t="shared" ca="1" si="11"/>
        <v/>
      </c>
      <c r="M100" s="82" t="str">
        <f t="shared" ca="1" si="11"/>
        <v/>
      </c>
      <c r="N100" s="82" t="str">
        <f t="shared" ca="1" si="11"/>
        <v/>
      </c>
      <c r="O100" s="82" t="str">
        <f t="shared" ca="1" si="11"/>
        <v/>
      </c>
      <c r="P100" s="82" t="str">
        <f t="shared" ca="1" si="11"/>
        <v/>
      </c>
      <c r="Q100" s="82" t="str">
        <f t="shared" ca="1" si="11"/>
        <v/>
      </c>
      <c r="R100" s="82" t="str">
        <f t="shared" ca="1" si="9"/>
        <v/>
      </c>
    </row>
    <row r="101" spans="1:18">
      <c r="A101" s="22">
        <v>93</v>
      </c>
      <c r="B101" s="23" t="str">
        <f t="shared" ca="1" si="8"/>
        <v/>
      </c>
      <c r="C101" s="82" t="str">
        <f t="shared" ca="1" si="11"/>
        <v/>
      </c>
      <c r="D101" s="82" t="str">
        <f t="shared" ca="1" si="11"/>
        <v/>
      </c>
      <c r="E101" s="82" t="str">
        <f t="shared" ca="1" si="11"/>
        <v/>
      </c>
      <c r="F101" s="82" t="str">
        <f t="shared" ca="1" si="11"/>
        <v/>
      </c>
      <c r="G101" s="82" t="str">
        <f t="shared" ca="1" si="11"/>
        <v/>
      </c>
      <c r="H101" s="82" t="str">
        <f t="shared" ca="1" si="11"/>
        <v/>
      </c>
      <c r="I101" s="82" t="str">
        <f t="shared" ca="1" si="11"/>
        <v/>
      </c>
      <c r="J101" s="82" t="str">
        <f t="shared" ca="1" si="11"/>
        <v/>
      </c>
      <c r="K101" s="82" t="str">
        <f t="shared" ca="1" si="11"/>
        <v/>
      </c>
      <c r="L101" s="82" t="str">
        <f t="shared" ca="1" si="11"/>
        <v/>
      </c>
      <c r="M101" s="82" t="str">
        <f t="shared" ca="1" si="11"/>
        <v/>
      </c>
      <c r="N101" s="82" t="str">
        <f t="shared" ca="1" si="11"/>
        <v/>
      </c>
      <c r="O101" s="82" t="str">
        <f t="shared" ca="1" si="11"/>
        <v/>
      </c>
      <c r="P101" s="82" t="str">
        <f t="shared" ca="1" si="11"/>
        <v/>
      </c>
      <c r="Q101" s="82" t="str">
        <f t="shared" ca="1" si="11"/>
        <v/>
      </c>
      <c r="R101" s="82" t="str">
        <f t="shared" ca="1" si="9"/>
        <v/>
      </c>
    </row>
    <row r="102" spans="1:18">
      <c r="A102" s="22">
        <v>94</v>
      </c>
      <c r="B102" s="23" t="str">
        <f t="shared" ca="1" si="8"/>
        <v/>
      </c>
      <c r="C102" s="82" t="str">
        <f t="shared" ca="1" si="11"/>
        <v/>
      </c>
      <c r="D102" s="82" t="str">
        <f t="shared" ca="1" si="11"/>
        <v/>
      </c>
      <c r="E102" s="82" t="str">
        <f t="shared" ca="1" si="11"/>
        <v/>
      </c>
      <c r="F102" s="82" t="str">
        <f t="shared" ca="1" si="11"/>
        <v/>
      </c>
      <c r="G102" s="82" t="str">
        <f t="shared" ca="1" si="11"/>
        <v/>
      </c>
      <c r="H102" s="82" t="str">
        <f t="shared" ca="1" si="11"/>
        <v/>
      </c>
      <c r="I102" s="82" t="str">
        <f t="shared" ca="1" si="11"/>
        <v/>
      </c>
      <c r="J102" s="82" t="str">
        <f t="shared" ca="1" si="11"/>
        <v/>
      </c>
      <c r="K102" s="82" t="str">
        <f t="shared" ca="1" si="11"/>
        <v/>
      </c>
      <c r="L102" s="82" t="str">
        <f t="shared" ca="1" si="11"/>
        <v/>
      </c>
      <c r="M102" s="82" t="str">
        <f t="shared" ca="1" si="11"/>
        <v/>
      </c>
      <c r="N102" s="82" t="str">
        <f t="shared" ca="1" si="11"/>
        <v/>
      </c>
      <c r="O102" s="82" t="str">
        <f t="shared" ca="1" si="11"/>
        <v/>
      </c>
      <c r="P102" s="82" t="str">
        <f t="shared" ca="1" si="11"/>
        <v/>
      </c>
      <c r="Q102" s="82" t="str">
        <f t="shared" ca="1" si="11"/>
        <v/>
      </c>
      <c r="R102" s="82" t="str">
        <f t="shared" ca="1" si="9"/>
        <v/>
      </c>
    </row>
    <row r="103" spans="1:18">
      <c r="A103" s="22">
        <v>95</v>
      </c>
      <c r="B103" s="23" t="str">
        <f t="shared" ca="1" si="8"/>
        <v/>
      </c>
      <c r="C103" s="82" t="str">
        <f t="shared" ca="1" si="11"/>
        <v/>
      </c>
      <c r="D103" s="82" t="str">
        <f t="shared" ca="1" si="11"/>
        <v/>
      </c>
      <c r="E103" s="82" t="str">
        <f t="shared" ca="1" si="11"/>
        <v/>
      </c>
      <c r="F103" s="82" t="str">
        <f t="shared" ca="1" si="11"/>
        <v/>
      </c>
      <c r="G103" s="82" t="str">
        <f t="shared" ca="1" si="11"/>
        <v/>
      </c>
      <c r="H103" s="82" t="str">
        <f t="shared" ca="1" si="11"/>
        <v/>
      </c>
      <c r="I103" s="82" t="str">
        <f t="shared" ca="1" si="11"/>
        <v/>
      </c>
      <c r="J103" s="82" t="str">
        <f t="shared" ca="1" si="11"/>
        <v/>
      </c>
      <c r="K103" s="82" t="str">
        <f t="shared" ca="1" si="11"/>
        <v/>
      </c>
      <c r="L103" s="82" t="str">
        <f t="shared" ca="1" si="11"/>
        <v/>
      </c>
      <c r="M103" s="82" t="str">
        <f t="shared" ca="1" si="11"/>
        <v/>
      </c>
      <c r="N103" s="82" t="str">
        <f t="shared" ca="1" si="11"/>
        <v/>
      </c>
      <c r="O103" s="82" t="str">
        <f t="shared" ca="1" si="11"/>
        <v/>
      </c>
      <c r="P103" s="82" t="str">
        <f t="shared" ca="1" si="11"/>
        <v/>
      </c>
      <c r="Q103" s="82" t="str">
        <f t="shared" ca="1" si="11"/>
        <v/>
      </c>
      <c r="R103" s="82" t="str">
        <f t="shared" ca="1" si="9"/>
        <v/>
      </c>
    </row>
    <row r="104" spans="1:18">
      <c r="A104" s="22">
        <v>96</v>
      </c>
      <c r="B104" s="23" t="str">
        <f t="shared" ca="1" si="8"/>
        <v/>
      </c>
      <c r="C104" s="82" t="str">
        <f t="shared" ca="1" si="11"/>
        <v/>
      </c>
      <c r="D104" s="82" t="str">
        <f t="shared" ca="1" si="11"/>
        <v/>
      </c>
      <c r="E104" s="82" t="str">
        <f t="shared" ca="1" si="11"/>
        <v/>
      </c>
      <c r="F104" s="82" t="str">
        <f t="shared" ca="1" si="11"/>
        <v/>
      </c>
      <c r="G104" s="82" t="str">
        <f t="shared" ca="1" si="11"/>
        <v/>
      </c>
      <c r="H104" s="82" t="str">
        <f t="shared" ca="1" si="11"/>
        <v/>
      </c>
      <c r="I104" s="82" t="str">
        <f t="shared" ca="1" si="11"/>
        <v/>
      </c>
      <c r="J104" s="82" t="str">
        <f t="shared" ca="1" si="11"/>
        <v/>
      </c>
      <c r="K104" s="82" t="str">
        <f t="shared" ca="1" si="11"/>
        <v/>
      </c>
      <c r="L104" s="82" t="str">
        <f t="shared" ca="1" si="11"/>
        <v/>
      </c>
      <c r="M104" s="82" t="str">
        <f t="shared" ca="1" si="11"/>
        <v/>
      </c>
      <c r="N104" s="82" t="str">
        <f t="shared" ca="1" si="11"/>
        <v/>
      </c>
      <c r="O104" s="82" t="str">
        <f t="shared" ca="1" si="11"/>
        <v/>
      </c>
      <c r="P104" s="82" t="str">
        <f t="shared" ca="1" si="11"/>
        <v/>
      </c>
      <c r="Q104" s="82" t="str">
        <f t="shared" ca="1" si="11"/>
        <v/>
      </c>
      <c r="R104" s="82" t="str">
        <f t="shared" ca="1" si="9"/>
        <v/>
      </c>
    </row>
    <row r="105" spans="1:18">
      <c r="A105" s="22">
        <v>97</v>
      </c>
      <c r="B105" s="23" t="str">
        <f t="shared" ca="1" si="8"/>
        <v/>
      </c>
      <c r="C105" s="82" t="str">
        <f t="shared" ca="1" si="11"/>
        <v/>
      </c>
      <c r="D105" s="82" t="str">
        <f t="shared" ca="1" si="11"/>
        <v/>
      </c>
      <c r="E105" s="82" t="str">
        <f t="shared" ca="1" si="11"/>
        <v/>
      </c>
      <c r="F105" s="82" t="str">
        <f t="shared" ca="1" si="11"/>
        <v/>
      </c>
      <c r="G105" s="82" t="str">
        <f t="shared" ca="1" si="11"/>
        <v/>
      </c>
      <c r="H105" s="82" t="str">
        <f t="shared" ca="1" si="11"/>
        <v/>
      </c>
      <c r="I105" s="82" t="str">
        <f t="shared" ca="1" si="11"/>
        <v/>
      </c>
      <c r="J105" s="82" t="str">
        <f t="shared" ca="1" si="11"/>
        <v/>
      </c>
      <c r="K105" s="82" t="str">
        <f t="shared" ca="1" si="11"/>
        <v/>
      </c>
      <c r="L105" s="82" t="str">
        <f t="shared" ca="1" si="11"/>
        <v/>
      </c>
      <c r="M105" s="82" t="str">
        <f t="shared" ca="1" si="11"/>
        <v/>
      </c>
      <c r="N105" s="82" t="str">
        <f t="shared" ca="1" si="11"/>
        <v/>
      </c>
      <c r="O105" s="82" t="str">
        <f t="shared" ca="1" si="11"/>
        <v/>
      </c>
      <c r="P105" s="82" t="str">
        <f t="shared" ca="1" si="11"/>
        <v/>
      </c>
      <c r="Q105" s="82" t="str">
        <f t="shared" ca="1" si="11"/>
        <v/>
      </c>
      <c r="R105" s="82" t="str">
        <f t="shared" ca="1" si="9"/>
        <v/>
      </c>
    </row>
    <row r="106" spans="1:18">
      <c r="A106" s="22">
        <v>98</v>
      </c>
      <c r="B106" s="23" t="str">
        <f t="shared" ca="1" si="8"/>
        <v/>
      </c>
      <c r="C106" s="82" t="str">
        <f t="shared" ca="1" si="11"/>
        <v/>
      </c>
      <c r="D106" s="82" t="str">
        <f t="shared" ca="1" si="11"/>
        <v/>
      </c>
      <c r="E106" s="82" t="str">
        <f t="shared" ca="1" si="11"/>
        <v/>
      </c>
      <c r="F106" s="82" t="str">
        <f t="shared" ca="1" si="11"/>
        <v/>
      </c>
      <c r="G106" s="82" t="str">
        <f t="shared" ca="1" si="11"/>
        <v/>
      </c>
      <c r="H106" s="82" t="str">
        <f t="shared" ca="1" si="11"/>
        <v/>
      </c>
      <c r="I106" s="82" t="str">
        <f t="shared" ca="1" si="11"/>
        <v/>
      </c>
      <c r="J106" s="82" t="str">
        <f t="shared" ca="1" si="11"/>
        <v/>
      </c>
      <c r="K106" s="82" t="str">
        <f t="shared" ca="1" si="11"/>
        <v/>
      </c>
      <c r="L106" s="82" t="str">
        <f t="shared" ca="1" si="11"/>
        <v/>
      </c>
      <c r="M106" s="82" t="str">
        <f t="shared" ca="1" si="11"/>
        <v/>
      </c>
      <c r="N106" s="82" t="str">
        <f t="shared" ca="1" si="11"/>
        <v/>
      </c>
      <c r="O106" s="82" t="str">
        <f t="shared" ca="1" si="11"/>
        <v/>
      </c>
      <c r="P106" s="82" t="str">
        <f t="shared" ca="1" si="11"/>
        <v/>
      </c>
      <c r="Q106" s="82" t="str">
        <f t="shared" ca="1" si="11"/>
        <v/>
      </c>
      <c r="R106" s="82" t="str">
        <f t="shared" ca="1" si="9"/>
        <v/>
      </c>
    </row>
    <row r="107" spans="1:18">
      <c r="A107" s="22">
        <v>99</v>
      </c>
      <c r="B107" s="23" t="str">
        <f t="shared" ca="1" si="8"/>
        <v/>
      </c>
      <c r="C107" s="82" t="str">
        <f t="shared" ca="1" si="11"/>
        <v/>
      </c>
      <c r="D107" s="82" t="str">
        <f t="shared" ca="1" si="11"/>
        <v/>
      </c>
      <c r="E107" s="82" t="str">
        <f t="shared" ca="1" si="11"/>
        <v/>
      </c>
      <c r="F107" s="82" t="str">
        <f t="shared" ca="1" si="11"/>
        <v/>
      </c>
      <c r="G107" s="82" t="str">
        <f t="shared" ca="1" si="11"/>
        <v/>
      </c>
      <c r="H107" s="82" t="str">
        <f t="shared" ca="1" si="11"/>
        <v/>
      </c>
      <c r="I107" s="82" t="str">
        <f t="shared" ca="1" si="11"/>
        <v/>
      </c>
      <c r="J107" s="82" t="str">
        <f t="shared" ca="1" si="11"/>
        <v/>
      </c>
      <c r="K107" s="82" t="str">
        <f t="shared" ca="1" si="11"/>
        <v/>
      </c>
      <c r="L107" s="82" t="str">
        <f t="shared" ca="1" si="11"/>
        <v/>
      </c>
      <c r="M107" s="82" t="str">
        <f t="shared" ca="1" si="11"/>
        <v/>
      </c>
      <c r="N107" s="82" t="str">
        <f t="shared" ca="1" si="11"/>
        <v/>
      </c>
      <c r="O107" s="82" t="str">
        <f t="shared" ca="1" si="11"/>
        <v/>
      </c>
      <c r="P107" s="82" t="str">
        <f t="shared" ca="1" si="11"/>
        <v/>
      </c>
      <c r="Q107" s="82" t="str">
        <f t="shared" ca="1" si="11"/>
        <v/>
      </c>
      <c r="R107" s="82" t="str">
        <f t="shared" ca="1" si="9"/>
        <v/>
      </c>
    </row>
    <row r="108" spans="1:18">
      <c r="A108" s="22">
        <v>100</v>
      </c>
      <c r="B108" s="23" t="str">
        <f t="shared" ca="1" si="8"/>
        <v/>
      </c>
      <c r="C108" s="82" t="str">
        <f t="shared" ca="1" si="11"/>
        <v/>
      </c>
      <c r="D108" s="82" t="str">
        <f t="shared" ca="1" si="11"/>
        <v/>
      </c>
      <c r="E108" s="82" t="str">
        <f t="shared" ca="1" si="11"/>
        <v/>
      </c>
      <c r="F108" s="82" t="str">
        <f t="shared" ca="1" si="11"/>
        <v/>
      </c>
      <c r="G108" s="82" t="str">
        <f t="shared" ca="1" si="11"/>
        <v/>
      </c>
      <c r="H108" s="82" t="str">
        <f t="shared" ca="1" si="11"/>
        <v/>
      </c>
      <c r="I108" s="82" t="str">
        <f t="shared" ca="1" si="11"/>
        <v/>
      </c>
      <c r="J108" s="82" t="str">
        <f t="shared" ca="1" si="11"/>
        <v/>
      </c>
      <c r="K108" s="82" t="str">
        <f t="shared" ca="1" si="11"/>
        <v/>
      </c>
      <c r="L108" s="82" t="str">
        <f t="shared" ca="1" si="11"/>
        <v/>
      </c>
      <c r="M108" s="82" t="str">
        <f t="shared" ca="1" si="11"/>
        <v/>
      </c>
      <c r="N108" s="82" t="str">
        <f t="shared" ca="1" si="11"/>
        <v/>
      </c>
      <c r="O108" s="82" t="str">
        <f t="shared" ca="1" si="11"/>
        <v/>
      </c>
      <c r="P108" s="82" t="str">
        <f t="shared" ca="1" si="11"/>
        <v/>
      </c>
      <c r="Q108" s="82" t="str">
        <f t="shared" ca="1" si="11"/>
        <v/>
      </c>
      <c r="R108" s="82" t="str">
        <f t="shared" ca="1" si="9"/>
        <v/>
      </c>
    </row>
    <row r="109" spans="1:18">
      <c r="A109" s="22">
        <v>101</v>
      </c>
      <c r="B109" s="23" t="str">
        <f t="shared" ca="1" si="8"/>
        <v/>
      </c>
      <c r="C109" s="82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82" t="str">
        <f t="shared" ca="1" si="12"/>
        <v/>
      </c>
      <c r="E109" s="82" t="str">
        <f t="shared" ca="1" si="12"/>
        <v/>
      </c>
      <c r="F109" s="82" t="str">
        <f t="shared" ca="1" si="12"/>
        <v/>
      </c>
      <c r="G109" s="82" t="str">
        <f t="shared" ca="1" si="12"/>
        <v/>
      </c>
      <c r="H109" s="82" t="str">
        <f t="shared" ca="1" si="12"/>
        <v/>
      </c>
      <c r="I109" s="82" t="str">
        <f t="shared" ca="1" si="12"/>
        <v/>
      </c>
      <c r="J109" s="82" t="str">
        <f t="shared" ca="1" si="12"/>
        <v/>
      </c>
      <c r="K109" s="82" t="str">
        <f t="shared" ca="1" si="12"/>
        <v/>
      </c>
      <c r="L109" s="82" t="str">
        <f t="shared" ca="1" si="12"/>
        <v/>
      </c>
      <c r="M109" s="82" t="str">
        <f t="shared" ca="1" si="12"/>
        <v/>
      </c>
      <c r="N109" s="82" t="str">
        <f t="shared" ca="1" si="12"/>
        <v/>
      </c>
      <c r="O109" s="82" t="str">
        <f t="shared" ca="1" si="12"/>
        <v/>
      </c>
      <c r="P109" s="82" t="str">
        <f t="shared" ca="1" si="12"/>
        <v/>
      </c>
      <c r="Q109" s="82" t="str">
        <f t="shared" ca="1" si="12"/>
        <v/>
      </c>
      <c r="R109" s="82" t="str">
        <f t="shared" ref="R109:R112" ca="1" si="13">IF(B109=$S$4,$T$4,"")</f>
        <v/>
      </c>
    </row>
    <row r="110" spans="1:18">
      <c r="A110" s="22">
        <v>102</v>
      </c>
      <c r="B110" s="23" t="str">
        <f t="shared" ca="1" si="8"/>
        <v/>
      </c>
      <c r="C110" s="82" t="str">
        <f t="shared" ca="1" si="12"/>
        <v/>
      </c>
      <c r="D110" s="82" t="str">
        <f t="shared" ca="1" si="12"/>
        <v/>
      </c>
      <c r="E110" s="82" t="str">
        <f t="shared" ca="1" si="12"/>
        <v/>
      </c>
      <c r="F110" s="82" t="str">
        <f t="shared" ca="1" si="12"/>
        <v/>
      </c>
      <c r="G110" s="82" t="str">
        <f t="shared" ca="1" si="12"/>
        <v/>
      </c>
      <c r="H110" s="82" t="str">
        <f t="shared" ca="1" si="12"/>
        <v/>
      </c>
      <c r="I110" s="82" t="str">
        <f t="shared" ca="1" si="12"/>
        <v/>
      </c>
      <c r="J110" s="82" t="str">
        <f t="shared" ca="1" si="12"/>
        <v/>
      </c>
      <c r="K110" s="82" t="str">
        <f t="shared" ca="1" si="12"/>
        <v/>
      </c>
      <c r="L110" s="82" t="str">
        <f t="shared" ca="1" si="12"/>
        <v/>
      </c>
      <c r="M110" s="82" t="str">
        <f t="shared" ca="1" si="12"/>
        <v/>
      </c>
      <c r="N110" s="82" t="str">
        <f t="shared" ca="1" si="12"/>
        <v/>
      </c>
      <c r="O110" s="82" t="str">
        <f t="shared" ca="1" si="12"/>
        <v/>
      </c>
      <c r="P110" s="82" t="str">
        <f t="shared" ca="1" si="12"/>
        <v/>
      </c>
      <c r="Q110" s="82" t="str">
        <f t="shared" ca="1" si="12"/>
        <v/>
      </c>
      <c r="R110" s="82" t="str">
        <f t="shared" ca="1" si="13"/>
        <v/>
      </c>
    </row>
    <row r="111" spans="1:18">
      <c r="A111" s="22">
        <v>103</v>
      </c>
      <c r="B111" s="23" t="str">
        <f t="shared" ca="1" si="8"/>
        <v/>
      </c>
      <c r="C111" s="82" t="str">
        <f t="shared" ca="1" si="12"/>
        <v/>
      </c>
      <c r="D111" s="82" t="str">
        <f t="shared" ca="1" si="12"/>
        <v/>
      </c>
      <c r="E111" s="82" t="str">
        <f t="shared" ca="1" si="12"/>
        <v/>
      </c>
      <c r="F111" s="82" t="str">
        <f t="shared" ca="1" si="12"/>
        <v/>
      </c>
      <c r="G111" s="82" t="str">
        <f t="shared" ca="1" si="12"/>
        <v/>
      </c>
      <c r="H111" s="82" t="str">
        <f t="shared" ca="1" si="12"/>
        <v/>
      </c>
      <c r="I111" s="82" t="str">
        <f t="shared" ca="1" si="12"/>
        <v/>
      </c>
      <c r="J111" s="82" t="str">
        <f t="shared" ca="1" si="12"/>
        <v/>
      </c>
      <c r="K111" s="82" t="str">
        <f t="shared" ca="1" si="12"/>
        <v/>
      </c>
      <c r="L111" s="82" t="str">
        <f t="shared" ca="1" si="12"/>
        <v/>
      </c>
      <c r="M111" s="82" t="str">
        <f t="shared" ca="1" si="12"/>
        <v/>
      </c>
      <c r="N111" s="82" t="str">
        <f t="shared" ca="1" si="12"/>
        <v/>
      </c>
      <c r="O111" s="82" t="str">
        <f t="shared" ca="1" si="12"/>
        <v/>
      </c>
      <c r="P111" s="82" t="str">
        <f t="shared" ca="1" si="12"/>
        <v/>
      </c>
      <c r="Q111" s="82" t="str">
        <f t="shared" ca="1" si="12"/>
        <v/>
      </c>
      <c r="R111" s="82" t="str">
        <f t="shared" ca="1" si="13"/>
        <v/>
      </c>
    </row>
    <row r="112" spans="1:18">
      <c r="A112" s="22">
        <v>104</v>
      </c>
      <c r="B112" s="23" t="str">
        <f t="shared" ca="1" si="8"/>
        <v/>
      </c>
      <c r="C112" s="82" t="str">
        <f t="shared" ca="1" si="12"/>
        <v/>
      </c>
      <c r="D112" s="82" t="str">
        <f t="shared" ca="1" si="12"/>
        <v/>
      </c>
      <c r="E112" s="82" t="str">
        <f t="shared" ca="1" si="12"/>
        <v/>
      </c>
      <c r="F112" s="82" t="str">
        <f t="shared" ca="1" si="12"/>
        <v/>
      </c>
      <c r="G112" s="82" t="str">
        <f t="shared" ca="1" si="12"/>
        <v/>
      </c>
      <c r="H112" s="82" t="str">
        <f t="shared" ca="1" si="12"/>
        <v/>
      </c>
      <c r="I112" s="82" t="str">
        <f t="shared" ca="1" si="12"/>
        <v/>
      </c>
      <c r="J112" s="82" t="str">
        <f t="shared" ca="1" si="12"/>
        <v/>
      </c>
      <c r="K112" s="82" t="str">
        <f t="shared" ca="1" si="12"/>
        <v/>
      </c>
      <c r="L112" s="82" t="str">
        <f t="shared" ca="1" si="12"/>
        <v/>
      </c>
      <c r="M112" s="82" t="str">
        <f t="shared" ca="1" si="12"/>
        <v/>
      </c>
      <c r="N112" s="82" t="str">
        <f t="shared" ca="1" si="12"/>
        <v/>
      </c>
      <c r="O112" s="82" t="str">
        <f t="shared" ca="1" si="12"/>
        <v/>
      </c>
      <c r="P112" s="82" t="str">
        <f t="shared" ca="1" si="12"/>
        <v/>
      </c>
      <c r="Q112" s="82" t="str">
        <f t="shared" ca="1" si="12"/>
        <v/>
      </c>
      <c r="R112" s="82" t="str">
        <f t="shared" ca="1" si="13"/>
        <v/>
      </c>
    </row>
    <row r="113" spans="1:18">
      <c r="A113" s="22">
        <v>105</v>
      </c>
      <c r="B113" s="23" t="str">
        <f t="shared" ca="1" si="8"/>
        <v/>
      </c>
      <c r="C113" s="82" t="str">
        <f t="shared" ca="1" si="12"/>
        <v/>
      </c>
      <c r="D113" s="82" t="str">
        <f t="shared" ca="1" si="12"/>
        <v/>
      </c>
      <c r="E113" s="82" t="str">
        <f t="shared" ca="1" si="12"/>
        <v/>
      </c>
      <c r="F113" s="82" t="str">
        <f t="shared" ca="1" si="12"/>
        <v/>
      </c>
      <c r="G113" s="82" t="str">
        <f t="shared" ca="1" si="12"/>
        <v/>
      </c>
      <c r="H113" s="82" t="str">
        <f t="shared" ca="1" si="12"/>
        <v/>
      </c>
      <c r="I113" s="82" t="str">
        <f t="shared" ca="1" si="12"/>
        <v/>
      </c>
      <c r="J113" s="82" t="str">
        <f t="shared" ca="1" si="12"/>
        <v/>
      </c>
      <c r="K113" s="82" t="str">
        <f t="shared" ca="1" si="12"/>
        <v/>
      </c>
      <c r="L113" s="82" t="str">
        <f t="shared" ca="1" si="12"/>
        <v/>
      </c>
      <c r="M113" s="82" t="str">
        <f t="shared" ca="1" si="12"/>
        <v/>
      </c>
      <c r="N113" s="82" t="str">
        <f t="shared" ca="1" si="12"/>
        <v/>
      </c>
      <c r="O113" s="82" t="str">
        <f t="shared" ca="1" si="12"/>
        <v/>
      </c>
      <c r="P113" s="82" t="str">
        <f t="shared" ca="1" si="12"/>
        <v/>
      </c>
      <c r="Q113" s="82" t="str">
        <f t="shared" ca="1" si="12"/>
        <v/>
      </c>
      <c r="R113" s="82" t="str">
        <f t="shared" ref="R113:R134" ca="1" si="14">IF(B113=$S$4,$T$4,"")</f>
        <v/>
      </c>
    </row>
    <row r="114" spans="1:18">
      <c r="A114" s="22">
        <v>106</v>
      </c>
      <c r="B114" s="23" t="str">
        <f t="shared" ca="1" si="8"/>
        <v/>
      </c>
      <c r="C114" s="82" t="str">
        <f t="shared" ca="1" si="12"/>
        <v/>
      </c>
      <c r="D114" s="82" t="str">
        <f t="shared" ca="1" si="12"/>
        <v/>
      </c>
      <c r="E114" s="82" t="str">
        <f t="shared" ca="1" si="12"/>
        <v/>
      </c>
      <c r="F114" s="82" t="str">
        <f t="shared" ca="1" si="12"/>
        <v/>
      </c>
      <c r="G114" s="82" t="str">
        <f t="shared" ca="1" si="12"/>
        <v/>
      </c>
      <c r="H114" s="82" t="str">
        <f t="shared" ca="1" si="12"/>
        <v/>
      </c>
      <c r="I114" s="82" t="str">
        <f t="shared" ca="1" si="12"/>
        <v/>
      </c>
      <c r="J114" s="82" t="str">
        <f t="shared" ca="1" si="12"/>
        <v/>
      </c>
      <c r="K114" s="82" t="str">
        <f t="shared" ca="1" si="12"/>
        <v/>
      </c>
      <c r="L114" s="82" t="str">
        <f t="shared" ca="1" si="12"/>
        <v/>
      </c>
      <c r="M114" s="82" t="str">
        <f t="shared" ca="1" si="12"/>
        <v/>
      </c>
      <c r="N114" s="82" t="str">
        <f t="shared" ca="1" si="12"/>
        <v/>
      </c>
      <c r="O114" s="82" t="str">
        <f t="shared" ca="1" si="12"/>
        <v/>
      </c>
      <c r="P114" s="82" t="str">
        <f t="shared" ca="1" si="12"/>
        <v/>
      </c>
      <c r="Q114" s="82" t="str">
        <f t="shared" ca="1" si="12"/>
        <v/>
      </c>
      <c r="R114" s="82" t="str">
        <f t="shared" ca="1" si="14"/>
        <v/>
      </c>
    </row>
    <row r="115" spans="1:18">
      <c r="A115" s="22">
        <v>107</v>
      </c>
      <c r="B115" s="23" t="str">
        <f t="shared" ca="1" si="8"/>
        <v/>
      </c>
      <c r="C115" s="82" t="str">
        <f t="shared" ca="1" si="12"/>
        <v/>
      </c>
      <c r="D115" s="82" t="str">
        <f t="shared" ca="1" si="12"/>
        <v/>
      </c>
      <c r="E115" s="82" t="str">
        <f t="shared" ca="1" si="12"/>
        <v/>
      </c>
      <c r="F115" s="82" t="str">
        <f t="shared" ca="1" si="12"/>
        <v/>
      </c>
      <c r="G115" s="82" t="str">
        <f t="shared" ca="1" si="12"/>
        <v/>
      </c>
      <c r="H115" s="82" t="str">
        <f t="shared" ca="1" si="12"/>
        <v/>
      </c>
      <c r="I115" s="82" t="str">
        <f t="shared" ca="1" si="12"/>
        <v/>
      </c>
      <c r="J115" s="82" t="str">
        <f t="shared" ca="1" si="12"/>
        <v/>
      </c>
      <c r="K115" s="82" t="str">
        <f t="shared" ca="1" si="12"/>
        <v/>
      </c>
      <c r="L115" s="82" t="str">
        <f t="shared" ca="1" si="12"/>
        <v/>
      </c>
      <c r="M115" s="82" t="str">
        <f t="shared" ca="1" si="12"/>
        <v/>
      </c>
      <c r="N115" s="82" t="str">
        <f t="shared" ca="1" si="12"/>
        <v/>
      </c>
      <c r="O115" s="82" t="str">
        <f t="shared" ca="1" si="12"/>
        <v/>
      </c>
      <c r="P115" s="82" t="str">
        <f t="shared" ca="1" si="12"/>
        <v/>
      </c>
      <c r="Q115" s="82" t="str">
        <f t="shared" ca="1" si="12"/>
        <v/>
      </c>
      <c r="R115" s="82" t="str">
        <f t="shared" ca="1" si="14"/>
        <v/>
      </c>
    </row>
    <row r="116" spans="1:18">
      <c r="A116" s="22">
        <v>108</v>
      </c>
      <c r="B116" s="23" t="str">
        <f t="shared" ca="1" si="8"/>
        <v/>
      </c>
      <c r="C116" s="82" t="str">
        <f t="shared" ca="1" si="12"/>
        <v/>
      </c>
      <c r="D116" s="82" t="str">
        <f t="shared" ca="1" si="12"/>
        <v/>
      </c>
      <c r="E116" s="82" t="str">
        <f t="shared" ca="1" si="12"/>
        <v/>
      </c>
      <c r="F116" s="82" t="str">
        <f t="shared" ca="1" si="12"/>
        <v/>
      </c>
      <c r="G116" s="82" t="str">
        <f t="shared" ca="1" si="12"/>
        <v/>
      </c>
      <c r="H116" s="82" t="str">
        <f t="shared" ca="1" si="12"/>
        <v/>
      </c>
      <c r="I116" s="82" t="str">
        <f t="shared" ca="1" si="12"/>
        <v/>
      </c>
      <c r="J116" s="82" t="str">
        <f t="shared" ca="1" si="12"/>
        <v/>
      </c>
      <c r="K116" s="82" t="str">
        <f t="shared" ca="1" si="12"/>
        <v/>
      </c>
      <c r="L116" s="82" t="str">
        <f t="shared" ca="1" si="12"/>
        <v/>
      </c>
      <c r="M116" s="82" t="str">
        <f t="shared" ca="1" si="12"/>
        <v/>
      </c>
      <c r="N116" s="82" t="str">
        <f t="shared" ca="1" si="12"/>
        <v/>
      </c>
      <c r="O116" s="82" t="str">
        <f t="shared" ca="1" si="12"/>
        <v/>
      </c>
      <c r="P116" s="82" t="str">
        <f t="shared" ca="1" si="12"/>
        <v/>
      </c>
      <c r="Q116" s="82" t="str">
        <f t="shared" ca="1" si="12"/>
        <v/>
      </c>
      <c r="R116" s="82" t="str">
        <f t="shared" ca="1" si="14"/>
        <v/>
      </c>
    </row>
    <row r="117" spans="1:18">
      <c r="A117" s="22">
        <v>109</v>
      </c>
      <c r="B117" s="23" t="str">
        <f t="shared" ca="1" si="8"/>
        <v/>
      </c>
      <c r="C117" s="82" t="str">
        <f t="shared" ca="1" si="12"/>
        <v/>
      </c>
      <c r="D117" s="82" t="str">
        <f t="shared" ca="1" si="12"/>
        <v/>
      </c>
      <c r="E117" s="82" t="str">
        <f t="shared" ca="1" si="12"/>
        <v/>
      </c>
      <c r="F117" s="82" t="str">
        <f t="shared" ca="1" si="12"/>
        <v/>
      </c>
      <c r="G117" s="82" t="str">
        <f t="shared" ca="1" si="12"/>
        <v/>
      </c>
      <c r="H117" s="82" t="str">
        <f t="shared" ca="1" si="12"/>
        <v/>
      </c>
      <c r="I117" s="82" t="str">
        <f t="shared" ca="1" si="12"/>
        <v/>
      </c>
      <c r="J117" s="82" t="str">
        <f t="shared" ca="1" si="12"/>
        <v/>
      </c>
      <c r="K117" s="82" t="str">
        <f t="shared" ca="1" si="12"/>
        <v/>
      </c>
      <c r="L117" s="82" t="str">
        <f t="shared" ca="1" si="12"/>
        <v/>
      </c>
      <c r="M117" s="82" t="str">
        <f t="shared" ca="1" si="12"/>
        <v/>
      </c>
      <c r="N117" s="82" t="str">
        <f t="shared" ca="1" si="12"/>
        <v/>
      </c>
      <c r="O117" s="82" t="str">
        <f t="shared" ca="1" si="12"/>
        <v/>
      </c>
      <c r="P117" s="82" t="str">
        <f t="shared" ca="1" si="12"/>
        <v/>
      </c>
      <c r="Q117" s="82" t="str">
        <f t="shared" ca="1" si="12"/>
        <v/>
      </c>
      <c r="R117" s="82" t="str">
        <f t="shared" ca="1" si="14"/>
        <v/>
      </c>
    </row>
    <row r="118" spans="1:18">
      <c r="A118" s="22">
        <v>110</v>
      </c>
      <c r="B118" s="23" t="str">
        <f t="shared" ca="1" si="8"/>
        <v/>
      </c>
      <c r="C118" s="82" t="str">
        <f t="shared" ca="1" si="12"/>
        <v/>
      </c>
      <c r="D118" s="82" t="str">
        <f t="shared" ca="1" si="12"/>
        <v/>
      </c>
      <c r="E118" s="82" t="str">
        <f t="shared" ca="1" si="12"/>
        <v/>
      </c>
      <c r="F118" s="82" t="str">
        <f t="shared" ca="1" si="12"/>
        <v/>
      </c>
      <c r="G118" s="82" t="str">
        <f t="shared" ca="1" si="12"/>
        <v/>
      </c>
      <c r="H118" s="82" t="str">
        <f t="shared" ca="1" si="12"/>
        <v/>
      </c>
      <c r="I118" s="82" t="str">
        <f t="shared" ca="1" si="12"/>
        <v/>
      </c>
      <c r="J118" s="82" t="str">
        <f t="shared" ca="1" si="12"/>
        <v/>
      </c>
      <c r="K118" s="82" t="str">
        <f t="shared" ca="1" si="12"/>
        <v/>
      </c>
      <c r="L118" s="82" t="str">
        <f t="shared" ca="1" si="12"/>
        <v/>
      </c>
      <c r="M118" s="82" t="str">
        <f t="shared" ca="1" si="12"/>
        <v/>
      </c>
      <c r="N118" s="82" t="str">
        <f t="shared" ca="1" si="12"/>
        <v/>
      </c>
      <c r="O118" s="82" t="str">
        <f t="shared" ca="1" si="12"/>
        <v/>
      </c>
      <c r="P118" s="82" t="str">
        <f t="shared" ca="1" si="12"/>
        <v/>
      </c>
      <c r="Q118" s="82" t="str">
        <f t="shared" ca="1" si="12"/>
        <v/>
      </c>
      <c r="R118" s="82" t="str">
        <f t="shared" ca="1" si="14"/>
        <v/>
      </c>
    </row>
    <row r="119" spans="1:18">
      <c r="A119" s="22">
        <v>111</v>
      </c>
      <c r="B119" s="23" t="str">
        <f t="shared" ca="1" si="8"/>
        <v/>
      </c>
      <c r="C119" s="82" t="str">
        <f t="shared" ca="1" si="12"/>
        <v/>
      </c>
      <c r="D119" s="82" t="str">
        <f t="shared" ca="1" si="12"/>
        <v/>
      </c>
      <c r="E119" s="82" t="str">
        <f t="shared" ca="1" si="12"/>
        <v/>
      </c>
      <c r="F119" s="82" t="str">
        <f t="shared" ca="1" si="12"/>
        <v/>
      </c>
      <c r="G119" s="82" t="str">
        <f t="shared" ca="1" si="12"/>
        <v/>
      </c>
      <c r="H119" s="82" t="str">
        <f t="shared" ca="1" si="12"/>
        <v/>
      </c>
      <c r="I119" s="82" t="str">
        <f t="shared" ca="1" si="12"/>
        <v/>
      </c>
      <c r="J119" s="82" t="str">
        <f t="shared" ca="1" si="12"/>
        <v/>
      </c>
      <c r="K119" s="82" t="str">
        <f t="shared" ca="1" si="12"/>
        <v/>
      </c>
      <c r="L119" s="82" t="str">
        <f t="shared" ca="1" si="12"/>
        <v/>
      </c>
      <c r="M119" s="82" t="str">
        <f t="shared" ca="1" si="12"/>
        <v/>
      </c>
      <c r="N119" s="82" t="str">
        <f t="shared" ca="1" si="12"/>
        <v/>
      </c>
      <c r="O119" s="82" t="str">
        <f t="shared" ca="1" si="12"/>
        <v/>
      </c>
      <c r="P119" s="82" t="str">
        <f t="shared" ca="1" si="12"/>
        <v/>
      </c>
      <c r="Q119" s="82" t="str">
        <f t="shared" ca="1" si="12"/>
        <v/>
      </c>
      <c r="R119" s="82" t="str">
        <f t="shared" ca="1" si="14"/>
        <v/>
      </c>
    </row>
    <row r="120" spans="1:18">
      <c r="A120" s="22">
        <v>112</v>
      </c>
      <c r="B120" s="23" t="str">
        <f t="shared" ca="1" si="8"/>
        <v/>
      </c>
      <c r="C120" s="82" t="str">
        <f t="shared" ca="1" si="12"/>
        <v/>
      </c>
      <c r="D120" s="82" t="str">
        <f t="shared" ca="1" si="12"/>
        <v/>
      </c>
      <c r="E120" s="82" t="str">
        <f t="shared" ca="1" si="12"/>
        <v/>
      </c>
      <c r="F120" s="82" t="str">
        <f t="shared" ca="1" si="12"/>
        <v/>
      </c>
      <c r="G120" s="82" t="str">
        <f t="shared" ca="1" si="12"/>
        <v/>
      </c>
      <c r="H120" s="82" t="str">
        <f t="shared" ca="1" si="12"/>
        <v/>
      </c>
      <c r="I120" s="82" t="str">
        <f t="shared" ca="1" si="12"/>
        <v/>
      </c>
      <c r="J120" s="82" t="str">
        <f t="shared" ca="1" si="12"/>
        <v/>
      </c>
      <c r="K120" s="82" t="str">
        <f t="shared" ca="1" si="12"/>
        <v/>
      </c>
      <c r="L120" s="82" t="str">
        <f t="shared" ca="1" si="12"/>
        <v/>
      </c>
      <c r="M120" s="82" t="str">
        <f t="shared" ca="1" si="12"/>
        <v/>
      </c>
      <c r="N120" s="82" t="str">
        <f t="shared" ca="1" si="12"/>
        <v/>
      </c>
      <c r="O120" s="82" t="str">
        <f t="shared" ca="1" si="12"/>
        <v/>
      </c>
      <c r="P120" s="82" t="str">
        <f t="shared" ca="1" si="12"/>
        <v/>
      </c>
      <c r="Q120" s="82" t="str">
        <f t="shared" ca="1" si="12"/>
        <v/>
      </c>
      <c r="R120" s="82" t="str">
        <f t="shared" ca="1" si="14"/>
        <v/>
      </c>
    </row>
    <row r="121" spans="1:18">
      <c r="A121" s="22">
        <v>113</v>
      </c>
      <c r="B121" s="23" t="str">
        <f t="shared" ca="1" si="8"/>
        <v/>
      </c>
      <c r="C121" s="82" t="str">
        <f t="shared" ca="1" si="12"/>
        <v/>
      </c>
      <c r="D121" s="82" t="str">
        <f t="shared" ca="1" si="12"/>
        <v/>
      </c>
      <c r="E121" s="82" t="str">
        <f t="shared" ca="1" si="12"/>
        <v/>
      </c>
      <c r="F121" s="82" t="str">
        <f t="shared" ca="1" si="12"/>
        <v/>
      </c>
      <c r="G121" s="82" t="str">
        <f t="shared" ca="1" si="12"/>
        <v/>
      </c>
      <c r="H121" s="82" t="str">
        <f t="shared" ca="1" si="12"/>
        <v/>
      </c>
      <c r="I121" s="82" t="str">
        <f t="shared" ca="1" si="12"/>
        <v/>
      </c>
      <c r="J121" s="82" t="str">
        <f t="shared" ca="1" si="12"/>
        <v/>
      </c>
      <c r="K121" s="82" t="str">
        <f t="shared" ca="1" si="12"/>
        <v/>
      </c>
      <c r="L121" s="82" t="str">
        <f t="shared" ca="1" si="12"/>
        <v/>
      </c>
      <c r="M121" s="82" t="str">
        <f t="shared" ca="1" si="12"/>
        <v/>
      </c>
      <c r="N121" s="82" t="str">
        <f t="shared" ca="1" si="12"/>
        <v/>
      </c>
      <c r="O121" s="82" t="str">
        <f t="shared" ca="1" si="12"/>
        <v/>
      </c>
      <c r="P121" s="82" t="str">
        <f t="shared" ca="1" si="12"/>
        <v/>
      </c>
      <c r="Q121" s="82" t="str">
        <f t="shared" ca="1" si="12"/>
        <v/>
      </c>
      <c r="R121" s="82" t="str">
        <f t="shared" ca="1" si="14"/>
        <v/>
      </c>
    </row>
    <row r="122" spans="1:18">
      <c r="A122" s="22">
        <v>114</v>
      </c>
      <c r="B122" s="23" t="str">
        <f t="shared" ca="1" si="8"/>
        <v/>
      </c>
      <c r="C122" s="82" t="str">
        <f t="shared" ca="1" si="12"/>
        <v/>
      </c>
      <c r="D122" s="82" t="str">
        <f t="shared" ca="1" si="12"/>
        <v/>
      </c>
      <c r="E122" s="82" t="str">
        <f t="shared" ca="1" si="12"/>
        <v/>
      </c>
      <c r="F122" s="82" t="str">
        <f t="shared" ca="1" si="12"/>
        <v/>
      </c>
      <c r="G122" s="82" t="str">
        <f t="shared" ca="1" si="12"/>
        <v/>
      </c>
      <c r="H122" s="82" t="str">
        <f t="shared" ca="1" si="12"/>
        <v/>
      </c>
      <c r="I122" s="82" t="str">
        <f t="shared" ca="1" si="12"/>
        <v/>
      </c>
      <c r="J122" s="82" t="str">
        <f t="shared" ca="1" si="12"/>
        <v/>
      </c>
      <c r="K122" s="82" t="str">
        <f t="shared" ca="1" si="12"/>
        <v/>
      </c>
      <c r="L122" s="82" t="str">
        <f t="shared" ca="1" si="12"/>
        <v/>
      </c>
      <c r="M122" s="82" t="str">
        <f t="shared" ca="1" si="12"/>
        <v/>
      </c>
      <c r="N122" s="82" t="str">
        <f t="shared" ca="1" si="12"/>
        <v/>
      </c>
      <c r="O122" s="82" t="str">
        <f t="shared" ca="1" si="12"/>
        <v/>
      </c>
      <c r="P122" s="82" t="str">
        <f t="shared" ca="1" si="12"/>
        <v/>
      </c>
      <c r="Q122" s="82" t="str">
        <f t="shared" ca="1" si="12"/>
        <v/>
      </c>
      <c r="R122" s="82" t="str">
        <f t="shared" ca="1" si="14"/>
        <v/>
      </c>
    </row>
    <row r="123" spans="1:18">
      <c r="A123" s="22">
        <v>115</v>
      </c>
      <c r="B123" s="23" t="str">
        <f t="shared" ca="1" si="8"/>
        <v/>
      </c>
      <c r="C123" s="82" t="str">
        <f t="shared" ca="1" si="12"/>
        <v/>
      </c>
      <c r="D123" s="82" t="str">
        <f t="shared" ca="1" si="12"/>
        <v/>
      </c>
      <c r="E123" s="82" t="str">
        <f t="shared" ca="1" si="12"/>
        <v/>
      </c>
      <c r="F123" s="82" t="str">
        <f t="shared" ca="1" si="12"/>
        <v/>
      </c>
      <c r="G123" s="82" t="str">
        <f t="shared" ca="1" si="12"/>
        <v/>
      </c>
      <c r="H123" s="82" t="str">
        <f t="shared" ca="1" si="12"/>
        <v/>
      </c>
      <c r="I123" s="82" t="str">
        <f t="shared" ca="1" si="12"/>
        <v/>
      </c>
      <c r="J123" s="82" t="str">
        <f t="shared" ca="1" si="12"/>
        <v/>
      </c>
      <c r="K123" s="82" t="str">
        <f t="shared" ca="1" si="12"/>
        <v/>
      </c>
      <c r="L123" s="82" t="str">
        <f t="shared" ca="1" si="12"/>
        <v/>
      </c>
      <c r="M123" s="82" t="str">
        <f t="shared" ca="1" si="12"/>
        <v/>
      </c>
      <c r="N123" s="82" t="str">
        <f t="shared" ca="1" si="12"/>
        <v/>
      </c>
      <c r="O123" s="82" t="str">
        <f t="shared" ca="1" si="12"/>
        <v/>
      </c>
      <c r="P123" s="82" t="str">
        <f t="shared" ca="1" si="12"/>
        <v/>
      </c>
      <c r="Q123" s="82" t="str">
        <f t="shared" ca="1" si="12"/>
        <v/>
      </c>
      <c r="R123" s="82" t="str">
        <f t="shared" ca="1" si="14"/>
        <v/>
      </c>
    </row>
    <row r="124" spans="1:18">
      <c r="A124" s="22">
        <v>116</v>
      </c>
      <c r="B124" s="23" t="str">
        <f t="shared" ca="1" si="8"/>
        <v/>
      </c>
      <c r="C124" s="82" t="str">
        <f t="shared" ca="1" si="12"/>
        <v/>
      </c>
      <c r="D124" s="82" t="str">
        <f t="shared" ca="1" si="12"/>
        <v/>
      </c>
      <c r="E124" s="82" t="str">
        <f t="shared" ca="1" si="12"/>
        <v/>
      </c>
      <c r="F124" s="82" t="str">
        <f t="shared" ca="1" si="12"/>
        <v/>
      </c>
      <c r="G124" s="82" t="str">
        <f t="shared" ca="1" si="12"/>
        <v/>
      </c>
      <c r="H124" s="82" t="str">
        <f t="shared" ca="1" si="12"/>
        <v/>
      </c>
      <c r="I124" s="82" t="str">
        <f t="shared" ca="1" si="12"/>
        <v/>
      </c>
      <c r="J124" s="82" t="str">
        <f t="shared" ca="1" si="12"/>
        <v/>
      </c>
      <c r="K124" s="82" t="str">
        <f t="shared" ca="1" si="12"/>
        <v/>
      </c>
      <c r="L124" s="82" t="str">
        <f t="shared" ca="1" si="12"/>
        <v/>
      </c>
      <c r="M124" s="82" t="str">
        <f t="shared" ca="1" si="12"/>
        <v/>
      </c>
      <c r="N124" s="82" t="str">
        <f t="shared" ca="1" si="12"/>
        <v/>
      </c>
      <c r="O124" s="82" t="str">
        <f t="shared" ca="1" si="12"/>
        <v/>
      </c>
      <c r="P124" s="82" t="str">
        <f t="shared" ca="1" si="12"/>
        <v/>
      </c>
      <c r="Q124" s="82" t="str">
        <f t="shared" ca="1" si="12"/>
        <v/>
      </c>
      <c r="R124" s="82" t="str">
        <f t="shared" ca="1" si="14"/>
        <v/>
      </c>
    </row>
    <row r="125" spans="1:18">
      <c r="A125" s="22">
        <v>117</v>
      </c>
      <c r="B125" s="23" t="str">
        <f t="shared" ca="1" si="8"/>
        <v/>
      </c>
      <c r="C125" s="82" t="str">
        <f t="shared" ca="1" si="12"/>
        <v/>
      </c>
      <c r="D125" s="82" t="str">
        <f t="shared" ca="1" si="12"/>
        <v/>
      </c>
      <c r="E125" s="82" t="str">
        <f t="shared" ca="1" si="12"/>
        <v/>
      </c>
      <c r="F125" s="82" t="str">
        <f t="shared" ca="1" si="12"/>
        <v/>
      </c>
      <c r="G125" s="82" t="str">
        <f t="shared" ca="1" si="12"/>
        <v/>
      </c>
      <c r="H125" s="82" t="str">
        <f t="shared" ca="1" si="12"/>
        <v/>
      </c>
      <c r="I125" s="82" t="str">
        <f t="shared" ca="1" si="12"/>
        <v/>
      </c>
      <c r="J125" s="82" t="str">
        <f t="shared" ca="1" si="12"/>
        <v/>
      </c>
      <c r="K125" s="82" t="str">
        <f t="shared" ca="1" si="12"/>
        <v/>
      </c>
      <c r="L125" s="82" t="str">
        <f t="shared" ca="1" si="12"/>
        <v/>
      </c>
      <c r="M125" s="82" t="str">
        <f t="shared" ca="1" si="12"/>
        <v/>
      </c>
      <c r="N125" s="82" t="str">
        <f t="shared" ca="1" si="12"/>
        <v/>
      </c>
      <c r="O125" s="82" t="str">
        <f t="shared" ca="1" si="12"/>
        <v/>
      </c>
      <c r="P125" s="82" t="str">
        <f t="shared" ca="1" si="12"/>
        <v/>
      </c>
      <c r="Q125" s="82" t="str">
        <f t="shared" ca="1" si="12"/>
        <v/>
      </c>
      <c r="R125" s="82" t="str">
        <f t="shared" ca="1" si="14"/>
        <v/>
      </c>
    </row>
    <row r="126" spans="1:18">
      <c r="A126" s="22">
        <v>118</v>
      </c>
      <c r="B126" s="23" t="str">
        <f t="shared" ca="1" si="8"/>
        <v/>
      </c>
      <c r="C126" s="82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82" t="str">
        <f t="shared" ca="1" si="15"/>
        <v/>
      </c>
      <c r="E126" s="82" t="str">
        <f t="shared" ca="1" si="15"/>
        <v/>
      </c>
      <c r="F126" s="82" t="str">
        <f t="shared" ca="1" si="15"/>
        <v/>
      </c>
      <c r="G126" s="82" t="str">
        <f t="shared" ca="1" si="15"/>
        <v/>
      </c>
      <c r="H126" s="82" t="str">
        <f t="shared" ca="1" si="15"/>
        <v/>
      </c>
      <c r="I126" s="82" t="str">
        <f t="shared" ca="1" si="15"/>
        <v/>
      </c>
      <c r="J126" s="82" t="str">
        <f t="shared" ca="1" si="15"/>
        <v/>
      </c>
      <c r="K126" s="82" t="str">
        <f t="shared" ca="1" si="15"/>
        <v/>
      </c>
      <c r="L126" s="82" t="str">
        <f t="shared" ca="1" si="15"/>
        <v/>
      </c>
      <c r="M126" s="82" t="str">
        <f t="shared" ca="1" si="15"/>
        <v/>
      </c>
      <c r="N126" s="82" t="str">
        <f t="shared" ca="1" si="15"/>
        <v/>
      </c>
      <c r="O126" s="82" t="str">
        <f t="shared" ca="1" si="15"/>
        <v/>
      </c>
      <c r="P126" s="82" t="str">
        <f t="shared" ca="1" si="15"/>
        <v/>
      </c>
      <c r="Q126" s="82" t="str">
        <f t="shared" ca="1" si="15"/>
        <v/>
      </c>
      <c r="R126" s="82" t="str">
        <f t="shared" ca="1" si="14"/>
        <v/>
      </c>
    </row>
    <row r="127" spans="1:18">
      <c r="A127" s="22">
        <v>119</v>
      </c>
      <c r="B127" s="23" t="str">
        <f t="shared" ca="1" si="8"/>
        <v/>
      </c>
      <c r="C127" s="82" t="str">
        <f t="shared" ca="1" si="15"/>
        <v/>
      </c>
      <c r="D127" s="82" t="str">
        <f t="shared" ca="1" si="15"/>
        <v/>
      </c>
      <c r="E127" s="82" t="str">
        <f t="shared" ca="1" si="15"/>
        <v/>
      </c>
      <c r="F127" s="82" t="str">
        <f t="shared" ca="1" si="15"/>
        <v/>
      </c>
      <c r="G127" s="82" t="str">
        <f t="shared" ca="1" si="15"/>
        <v/>
      </c>
      <c r="H127" s="82" t="str">
        <f t="shared" ca="1" si="15"/>
        <v/>
      </c>
      <c r="I127" s="82" t="str">
        <f t="shared" ca="1" si="15"/>
        <v/>
      </c>
      <c r="J127" s="82" t="str">
        <f t="shared" ca="1" si="15"/>
        <v/>
      </c>
      <c r="K127" s="82" t="str">
        <f t="shared" ca="1" si="15"/>
        <v/>
      </c>
      <c r="L127" s="82" t="str">
        <f t="shared" ca="1" si="15"/>
        <v/>
      </c>
      <c r="M127" s="82" t="str">
        <f t="shared" ca="1" si="15"/>
        <v/>
      </c>
      <c r="N127" s="82" t="str">
        <f t="shared" ca="1" si="15"/>
        <v/>
      </c>
      <c r="O127" s="82" t="str">
        <f t="shared" ca="1" si="15"/>
        <v/>
      </c>
      <c r="P127" s="82" t="str">
        <f t="shared" ca="1" si="15"/>
        <v/>
      </c>
      <c r="Q127" s="82" t="str">
        <f t="shared" ca="1" si="15"/>
        <v/>
      </c>
      <c r="R127" s="82" t="str">
        <f t="shared" ca="1" si="14"/>
        <v/>
      </c>
    </row>
    <row r="128" spans="1:18">
      <c r="A128" s="22">
        <v>120</v>
      </c>
      <c r="B128" s="23" t="str">
        <f t="shared" ca="1" si="8"/>
        <v/>
      </c>
      <c r="C128" s="82" t="str">
        <f t="shared" ca="1" si="15"/>
        <v/>
      </c>
      <c r="D128" s="82" t="str">
        <f t="shared" ca="1" si="15"/>
        <v/>
      </c>
      <c r="E128" s="82" t="str">
        <f t="shared" ca="1" si="15"/>
        <v/>
      </c>
      <c r="F128" s="82" t="str">
        <f t="shared" ca="1" si="15"/>
        <v/>
      </c>
      <c r="G128" s="82" t="str">
        <f t="shared" ca="1" si="15"/>
        <v/>
      </c>
      <c r="H128" s="82" t="str">
        <f t="shared" ca="1" si="15"/>
        <v/>
      </c>
      <c r="I128" s="82" t="str">
        <f t="shared" ca="1" si="15"/>
        <v/>
      </c>
      <c r="J128" s="82" t="str">
        <f t="shared" ca="1" si="15"/>
        <v/>
      </c>
      <c r="K128" s="82" t="str">
        <f t="shared" ca="1" si="15"/>
        <v/>
      </c>
      <c r="L128" s="82" t="str">
        <f t="shared" ca="1" si="15"/>
        <v/>
      </c>
      <c r="M128" s="82" t="str">
        <f t="shared" ca="1" si="15"/>
        <v/>
      </c>
      <c r="N128" s="82" t="str">
        <f t="shared" ca="1" si="15"/>
        <v/>
      </c>
      <c r="O128" s="82" t="str">
        <f t="shared" ca="1" si="15"/>
        <v/>
      </c>
      <c r="P128" s="82" t="str">
        <f t="shared" ca="1" si="15"/>
        <v/>
      </c>
      <c r="Q128" s="82" t="str">
        <f t="shared" ca="1" si="15"/>
        <v/>
      </c>
      <c r="R128" s="82" t="str">
        <f t="shared" ca="1" si="14"/>
        <v/>
      </c>
    </row>
    <row r="129" spans="1:18">
      <c r="A129" s="22">
        <v>121</v>
      </c>
      <c r="B129" s="23" t="str">
        <f t="shared" ca="1" si="8"/>
        <v/>
      </c>
      <c r="C129" s="82" t="str">
        <f t="shared" ca="1" si="15"/>
        <v/>
      </c>
      <c r="D129" s="82" t="str">
        <f t="shared" ca="1" si="15"/>
        <v/>
      </c>
      <c r="E129" s="82" t="str">
        <f t="shared" ca="1" si="15"/>
        <v/>
      </c>
      <c r="F129" s="82" t="str">
        <f t="shared" ca="1" si="15"/>
        <v/>
      </c>
      <c r="G129" s="82" t="str">
        <f t="shared" ca="1" si="15"/>
        <v/>
      </c>
      <c r="H129" s="82" t="str">
        <f t="shared" ca="1" si="15"/>
        <v/>
      </c>
      <c r="I129" s="82" t="str">
        <f t="shared" ca="1" si="15"/>
        <v/>
      </c>
      <c r="J129" s="82" t="str">
        <f t="shared" ca="1" si="15"/>
        <v/>
      </c>
      <c r="K129" s="82" t="str">
        <f t="shared" ca="1" si="15"/>
        <v/>
      </c>
      <c r="L129" s="82" t="str">
        <f t="shared" ca="1" si="15"/>
        <v/>
      </c>
      <c r="M129" s="82" t="str">
        <f t="shared" ca="1" si="15"/>
        <v/>
      </c>
      <c r="N129" s="82" t="str">
        <f t="shared" ca="1" si="15"/>
        <v/>
      </c>
      <c r="O129" s="82" t="str">
        <f t="shared" ca="1" si="15"/>
        <v/>
      </c>
      <c r="P129" s="82" t="str">
        <f t="shared" ca="1" si="15"/>
        <v/>
      </c>
      <c r="Q129" s="82" t="str">
        <f t="shared" ca="1" si="15"/>
        <v/>
      </c>
      <c r="R129" s="82" t="str">
        <f t="shared" ca="1" si="14"/>
        <v/>
      </c>
    </row>
    <row r="130" spans="1:18">
      <c r="A130" s="22">
        <v>122</v>
      </c>
      <c r="B130" s="23" t="str">
        <f t="shared" ca="1" si="8"/>
        <v/>
      </c>
      <c r="C130" s="82" t="str">
        <f t="shared" ca="1" si="15"/>
        <v/>
      </c>
      <c r="D130" s="82" t="str">
        <f t="shared" ca="1" si="15"/>
        <v/>
      </c>
      <c r="E130" s="82" t="str">
        <f t="shared" ca="1" si="15"/>
        <v/>
      </c>
      <c r="F130" s="82" t="str">
        <f t="shared" ca="1" si="15"/>
        <v/>
      </c>
      <c r="G130" s="82" t="str">
        <f t="shared" ca="1" si="15"/>
        <v/>
      </c>
      <c r="H130" s="82" t="str">
        <f t="shared" ca="1" si="15"/>
        <v/>
      </c>
      <c r="I130" s="82" t="str">
        <f t="shared" ca="1" si="15"/>
        <v/>
      </c>
      <c r="J130" s="82" t="str">
        <f t="shared" ca="1" si="15"/>
        <v/>
      </c>
      <c r="K130" s="82" t="str">
        <f t="shared" ca="1" si="15"/>
        <v/>
      </c>
      <c r="L130" s="82" t="str">
        <f t="shared" ca="1" si="15"/>
        <v/>
      </c>
      <c r="M130" s="82" t="str">
        <f t="shared" ca="1" si="15"/>
        <v/>
      </c>
      <c r="N130" s="82" t="str">
        <f t="shared" ca="1" si="15"/>
        <v/>
      </c>
      <c r="O130" s="82" t="str">
        <f t="shared" ca="1" si="15"/>
        <v/>
      </c>
      <c r="P130" s="82" t="str">
        <f t="shared" ca="1" si="15"/>
        <v/>
      </c>
      <c r="Q130" s="82" t="str">
        <f t="shared" ca="1" si="15"/>
        <v/>
      </c>
      <c r="R130" s="82" t="str">
        <f t="shared" ca="1" si="14"/>
        <v/>
      </c>
    </row>
    <row r="131" spans="1:18">
      <c r="A131" s="22">
        <v>123</v>
      </c>
      <c r="B131" s="23" t="str">
        <f t="shared" ca="1" si="8"/>
        <v/>
      </c>
      <c r="C131" s="82" t="str">
        <f t="shared" ca="1" si="15"/>
        <v/>
      </c>
      <c r="D131" s="82" t="str">
        <f t="shared" ca="1" si="15"/>
        <v/>
      </c>
      <c r="E131" s="82" t="str">
        <f t="shared" ca="1" si="15"/>
        <v/>
      </c>
      <c r="F131" s="82" t="str">
        <f t="shared" ca="1" si="15"/>
        <v/>
      </c>
      <c r="G131" s="82" t="str">
        <f t="shared" ca="1" si="15"/>
        <v/>
      </c>
      <c r="H131" s="82" t="str">
        <f t="shared" ca="1" si="15"/>
        <v/>
      </c>
      <c r="I131" s="82" t="str">
        <f t="shared" ca="1" si="15"/>
        <v/>
      </c>
      <c r="J131" s="82" t="str">
        <f t="shared" ca="1" si="15"/>
        <v/>
      </c>
      <c r="K131" s="82" t="str">
        <f t="shared" ca="1" si="15"/>
        <v/>
      </c>
      <c r="L131" s="82" t="str">
        <f t="shared" ca="1" si="15"/>
        <v/>
      </c>
      <c r="M131" s="82" t="str">
        <f t="shared" ca="1" si="15"/>
        <v/>
      </c>
      <c r="N131" s="82" t="str">
        <f t="shared" ca="1" si="15"/>
        <v/>
      </c>
      <c r="O131" s="82" t="str">
        <f t="shared" ca="1" si="15"/>
        <v/>
      </c>
      <c r="P131" s="82" t="str">
        <f t="shared" ca="1" si="15"/>
        <v/>
      </c>
      <c r="Q131" s="82" t="str">
        <f t="shared" ca="1" si="15"/>
        <v/>
      </c>
      <c r="R131" s="82" t="str">
        <f t="shared" ca="1" si="14"/>
        <v/>
      </c>
    </row>
    <row r="132" spans="1:18">
      <c r="A132" s="22">
        <v>124</v>
      </c>
      <c r="B132" s="23" t="str">
        <f t="shared" ca="1" si="8"/>
        <v/>
      </c>
      <c r="C132" s="82" t="str">
        <f t="shared" ca="1" si="15"/>
        <v/>
      </c>
      <c r="D132" s="82" t="str">
        <f t="shared" ca="1" si="15"/>
        <v/>
      </c>
      <c r="E132" s="82" t="str">
        <f t="shared" ca="1" si="15"/>
        <v/>
      </c>
      <c r="F132" s="82" t="str">
        <f t="shared" ca="1" si="15"/>
        <v/>
      </c>
      <c r="G132" s="82" t="str">
        <f t="shared" ca="1" si="15"/>
        <v/>
      </c>
      <c r="H132" s="82" t="str">
        <f t="shared" ca="1" si="15"/>
        <v/>
      </c>
      <c r="I132" s="82" t="str">
        <f t="shared" ca="1" si="15"/>
        <v/>
      </c>
      <c r="J132" s="82" t="str">
        <f t="shared" ca="1" si="15"/>
        <v/>
      </c>
      <c r="K132" s="82" t="str">
        <f t="shared" ca="1" si="15"/>
        <v/>
      </c>
      <c r="L132" s="82" t="str">
        <f t="shared" ca="1" si="15"/>
        <v/>
      </c>
      <c r="M132" s="82" t="str">
        <f t="shared" ca="1" si="15"/>
        <v/>
      </c>
      <c r="N132" s="82" t="str">
        <f t="shared" ca="1" si="15"/>
        <v/>
      </c>
      <c r="O132" s="82" t="str">
        <f t="shared" ca="1" si="15"/>
        <v/>
      </c>
      <c r="P132" s="82" t="str">
        <f t="shared" ca="1" si="15"/>
        <v/>
      </c>
      <c r="Q132" s="82" t="str">
        <f t="shared" ca="1" si="15"/>
        <v/>
      </c>
      <c r="R132" s="82" t="str">
        <f t="shared" ca="1" si="14"/>
        <v/>
      </c>
    </row>
    <row r="133" spans="1:18">
      <c r="A133" s="22">
        <v>125</v>
      </c>
      <c r="B133" s="23" t="str">
        <f t="shared" ca="1" si="8"/>
        <v/>
      </c>
      <c r="C133" s="82" t="str">
        <f t="shared" ca="1" si="15"/>
        <v/>
      </c>
      <c r="D133" s="82" t="str">
        <f t="shared" ca="1" si="15"/>
        <v/>
      </c>
      <c r="E133" s="82" t="str">
        <f t="shared" ca="1" si="15"/>
        <v/>
      </c>
      <c r="F133" s="82" t="str">
        <f t="shared" ca="1" si="15"/>
        <v/>
      </c>
      <c r="G133" s="82" t="str">
        <f t="shared" ca="1" si="15"/>
        <v/>
      </c>
      <c r="H133" s="82" t="str">
        <f t="shared" ca="1" si="15"/>
        <v/>
      </c>
      <c r="I133" s="82" t="str">
        <f t="shared" ca="1" si="15"/>
        <v/>
      </c>
      <c r="J133" s="82" t="str">
        <f t="shared" ca="1" si="15"/>
        <v/>
      </c>
      <c r="K133" s="82" t="str">
        <f t="shared" ca="1" si="15"/>
        <v/>
      </c>
      <c r="L133" s="82" t="str">
        <f t="shared" ca="1" si="15"/>
        <v/>
      </c>
      <c r="M133" s="82" t="str">
        <f t="shared" ca="1" si="15"/>
        <v/>
      </c>
      <c r="N133" s="82" t="str">
        <f t="shared" ca="1" si="15"/>
        <v/>
      </c>
      <c r="O133" s="82" t="str">
        <f t="shared" ca="1" si="15"/>
        <v/>
      </c>
      <c r="P133" s="82" t="str">
        <f t="shared" ca="1" si="15"/>
        <v/>
      </c>
      <c r="Q133" s="82" t="str">
        <f t="shared" ca="1" si="15"/>
        <v/>
      </c>
      <c r="R133" s="82" t="str">
        <f t="shared" ca="1" si="14"/>
        <v/>
      </c>
    </row>
    <row r="134" spans="1:18">
      <c r="A134" s="22">
        <v>126</v>
      </c>
      <c r="B134" s="23" t="str">
        <f t="shared" ca="1" si="8"/>
        <v/>
      </c>
      <c r="C134" s="82" t="str">
        <f t="shared" ca="1" si="15"/>
        <v/>
      </c>
      <c r="D134" s="82" t="str">
        <f t="shared" ca="1" si="15"/>
        <v/>
      </c>
      <c r="E134" s="82" t="str">
        <f t="shared" ca="1" si="15"/>
        <v/>
      </c>
      <c r="F134" s="82" t="str">
        <f t="shared" ca="1" si="15"/>
        <v/>
      </c>
      <c r="G134" s="82" t="str">
        <f t="shared" ca="1" si="15"/>
        <v/>
      </c>
      <c r="H134" s="82" t="str">
        <f t="shared" ca="1" si="15"/>
        <v/>
      </c>
      <c r="I134" s="82" t="str">
        <f t="shared" ca="1" si="15"/>
        <v/>
      </c>
      <c r="J134" s="82" t="str">
        <f t="shared" ca="1" si="15"/>
        <v/>
      </c>
      <c r="K134" s="82" t="str">
        <f t="shared" ca="1" si="15"/>
        <v/>
      </c>
      <c r="L134" s="82" t="str">
        <f t="shared" ca="1" si="15"/>
        <v/>
      </c>
      <c r="M134" s="82" t="str">
        <f t="shared" ca="1" si="15"/>
        <v/>
      </c>
      <c r="N134" s="82" t="str">
        <f t="shared" ca="1" si="15"/>
        <v/>
      </c>
      <c r="O134" s="82" t="str">
        <f t="shared" ca="1" si="15"/>
        <v/>
      </c>
      <c r="P134" s="82" t="str">
        <f t="shared" ca="1" si="15"/>
        <v/>
      </c>
      <c r="Q134" s="82" t="str">
        <f t="shared" ca="1" si="15"/>
        <v/>
      </c>
      <c r="R134" s="82" t="str">
        <f t="shared" ca="1" si="14"/>
        <v/>
      </c>
    </row>
    <row r="135" spans="1:18">
      <c r="A135" s="22">
        <v>127</v>
      </c>
      <c r="B135" s="23" t="str">
        <f t="shared" ca="1" si="8"/>
        <v/>
      </c>
      <c r="C135" s="82" t="str">
        <f t="shared" ca="1" si="15"/>
        <v/>
      </c>
      <c r="D135" s="82" t="str">
        <f t="shared" ca="1" si="15"/>
        <v/>
      </c>
      <c r="E135" s="82" t="str">
        <f t="shared" ca="1" si="15"/>
        <v/>
      </c>
      <c r="F135" s="82" t="str">
        <f t="shared" ca="1" si="15"/>
        <v/>
      </c>
      <c r="G135" s="82" t="str">
        <f t="shared" ca="1" si="15"/>
        <v/>
      </c>
      <c r="H135" s="82" t="str">
        <f t="shared" ca="1" si="15"/>
        <v/>
      </c>
      <c r="I135" s="82" t="str">
        <f t="shared" ca="1" si="15"/>
        <v/>
      </c>
      <c r="J135" s="82" t="str">
        <f t="shared" ca="1" si="15"/>
        <v/>
      </c>
      <c r="K135" s="82" t="str">
        <f t="shared" ca="1" si="15"/>
        <v/>
      </c>
      <c r="L135" s="82" t="str">
        <f t="shared" ca="1" si="15"/>
        <v/>
      </c>
      <c r="M135" s="82" t="str">
        <f t="shared" ca="1" si="15"/>
        <v/>
      </c>
      <c r="N135" s="82" t="str">
        <f t="shared" ca="1" si="15"/>
        <v/>
      </c>
      <c r="O135" s="82" t="str">
        <f t="shared" ca="1" si="15"/>
        <v/>
      </c>
      <c r="P135" s="82" t="str">
        <f t="shared" ca="1" si="15"/>
        <v/>
      </c>
      <c r="Q135" s="82" t="str">
        <f t="shared" ca="1" si="15"/>
        <v/>
      </c>
      <c r="R135" s="82" t="str">
        <f t="shared" ref="R135:R198" ca="1" si="16">IF(B135=$S$4,$T$4,"")</f>
        <v/>
      </c>
    </row>
    <row r="136" spans="1:18">
      <c r="A136" s="22">
        <v>128</v>
      </c>
      <c r="B136" s="23" t="str">
        <f t="shared" ca="1" si="8"/>
        <v/>
      </c>
      <c r="C136" s="82" t="str">
        <f t="shared" ca="1" si="15"/>
        <v/>
      </c>
      <c r="D136" s="82" t="str">
        <f t="shared" ca="1" si="15"/>
        <v/>
      </c>
      <c r="E136" s="82" t="str">
        <f t="shared" ca="1" si="15"/>
        <v/>
      </c>
      <c r="F136" s="82" t="str">
        <f t="shared" ca="1" si="15"/>
        <v/>
      </c>
      <c r="G136" s="82" t="str">
        <f t="shared" ca="1" si="15"/>
        <v/>
      </c>
      <c r="H136" s="82" t="str">
        <f t="shared" ca="1" si="15"/>
        <v/>
      </c>
      <c r="I136" s="82" t="str">
        <f t="shared" ca="1" si="15"/>
        <v/>
      </c>
      <c r="J136" s="82" t="str">
        <f t="shared" ca="1" si="15"/>
        <v/>
      </c>
      <c r="K136" s="82" t="str">
        <f t="shared" ca="1" si="15"/>
        <v/>
      </c>
      <c r="L136" s="82" t="str">
        <f t="shared" ca="1" si="15"/>
        <v/>
      </c>
      <c r="M136" s="82" t="str">
        <f t="shared" ca="1" si="15"/>
        <v/>
      </c>
      <c r="N136" s="82" t="str">
        <f t="shared" ca="1" si="15"/>
        <v/>
      </c>
      <c r="O136" s="82" t="str">
        <f t="shared" ca="1" si="15"/>
        <v/>
      </c>
      <c r="P136" s="82" t="str">
        <f t="shared" ca="1" si="15"/>
        <v/>
      </c>
      <c r="Q136" s="82" t="str">
        <f t="shared" ca="1" si="15"/>
        <v/>
      </c>
      <c r="R136" s="82" t="str">
        <f t="shared" ca="1" si="16"/>
        <v/>
      </c>
    </row>
    <row r="137" spans="1:18">
      <c r="A137" s="22">
        <v>129</v>
      </c>
      <c r="B137" s="23" t="str">
        <f t="shared" ca="1" si="8"/>
        <v/>
      </c>
      <c r="C137" s="82" t="str">
        <f t="shared" ca="1" si="15"/>
        <v/>
      </c>
      <c r="D137" s="82" t="str">
        <f t="shared" ca="1" si="15"/>
        <v/>
      </c>
      <c r="E137" s="82" t="str">
        <f t="shared" ca="1" si="15"/>
        <v/>
      </c>
      <c r="F137" s="82" t="str">
        <f t="shared" ca="1" si="15"/>
        <v/>
      </c>
      <c r="G137" s="82" t="str">
        <f t="shared" ca="1" si="15"/>
        <v/>
      </c>
      <c r="H137" s="82" t="str">
        <f t="shared" ca="1" si="15"/>
        <v/>
      </c>
      <c r="I137" s="82" t="str">
        <f t="shared" ca="1" si="15"/>
        <v/>
      </c>
      <c r="J137" s="82" t="str">
        <f t="shared" ca="1" si="15"/>
        <v/>
      </c>
      <c r="K137" s="82" t="str">
        <f t="shared" ca="1" si="15"/>
        <v/>
      </c>
      <c r="L137" s="82" t="str">
        <f t="shared" ca="1" si="15"/>
        <v/>
      </c>
      <c r="M137" s="82" t="str">
        <f t="shared" ca="1" si="15"/>
        <v/>
      </c>
      <c r="N137" s="82" t="str">
        <f t="shared" ca="1" si="15"/>
        <v/>
      </c>
      <c r="O137" s="82" t="str">
        <f t="shared" ca="1" si="15"/>
        <v/>
      </c>
      <c r="P137" s="82" t="str">
        <f t="shared" ca="1" si="15"/>
        <v/>
      </c>
      <c r="Q137" s="82" t="str">
        <f t="shared" ca="1" si="15"/>
        <v/>
      </c>
      <c r="R137" s="82" t="str">
        <f t="shared" ca="1" si="16"/>
        <v/>
      </c>
    </row>
    <row r="138" spans="1:18">
      <c r="A138" s="22">
        <v>130</v>
      </c>
      <c r="B138" s="23" t="str">
        <f t="shared" ref="B138:B201" ca="1" si="17">IF($B137="","",IF($B137=";",$I$3,IF($B137=$I$3,"",IF(ISNA(VLOOKUP($A$1&amp;"-"&amp;$A138,INDIRECT($E$2&amp;$E$3),1,0)),";",$S$4))))</f>
        <v/>
      </c>
      <c r="C138" s="82" t="str">
        <f t="shared" ca="1" si="15"/>
        <v/>
      </c>
      <c r="D138" s="82" t="str">
        <f t="shared" ca="1" si="15"/>
        <v/>
      </c>
      <c r="E138" s="82" t="str">
        <f t="shared" ca="1" si="15"/>
        <v/>
      </c>
      <c r="F138" s="82" t="str">
        <f t="shared" ca="1" si="15"/>
        <v/>
      </c>
      <c r="G138" s="82" t="str">
        <f t="shared" ca="1" si="15"/>
        <v/>
      </c>
      <c r="H138" s="82" t="str">
        <f t="shared" ca="1" si="15"/>
        <v/>
      </c>
      <c r="I138" s="82" t="str">
        <f t="shared" ca="1" si="15"/>
        <v/>
      </c>
      <c r="J138" s="82" t="str">
        <f t="shared" ca="1" si="15"/>
        <v/>
      </c>
      <c r="K138" s="82" t="str">
        <f t="shared" ca="1" si="15"/>
        <v/>
      </c>
      <c r="L138" s="82" t="str">
        <f t="shared" ca="1" si="15"/>
        <v/>
      </c>
      <c r="M138" s="82" t="str">
        <f t="shared" ca="1" si="15"/>
        <v/>
      </c>
      <c r="N138" s="82" t="str">
        <f t="shared" ca="1" si="15"/>
        <v/>
      </c>
      <c r="O138" s="82" t="str">
        <f t="shared" ca="1" si="15"/>
        <v/>
      </c>
      <c r="P138" s="82" t="str">
        <f t="shared" ca="1" si="15"/>
        <v/>
      </c>
      <c r="Q138" s="82" t="str">
        <f t="shared" ca="1" si="15"/>
        <v/>
      </c>
      <c r="R138" s="82" t="str">
        <f t="shared" ca="1" si="16"/>
        <v/>
      </c>
    </row>
    <row r="139" spans="1:18">
      <c r="A139" s="22">
        <v>131</v>
      </c>
      <c r="B139" s="23" t="str">
        <f t="shared" ca="1" si="17"/>
        <v/>
      </c>
      <c r="C139" s="82" t="str">
        <f t="shared" ca="1" si="15"/>
        <v/>
      </c>
      <c r="D139" s="82" t="str">
        <f t="shared" ca="1" si="15"/>
        <v/>
      </c>
      <c r="E139" s="82" t="str">
        <f t="shared" ca="1" si="15"/>
        <v/>
      </c>
      <c r="F139" s="82" t="str">
        <f t="shared" ca="1" si="15"/>
        <v/>
      </c>
      <c r="G139" s="82" t="str">
        <f t="shared" ca="1" si="15"/>
        <v/>
      </c>
      <c r="H139" s="82" t="str">
        <f t="shared" ca="1" si="15"/>
        <v/>
      </c>
      <c r="I139" s="82" t="str">
        <f t="shared" ca="1" si="15"/>
        <v/>
      </c>
      <c r="J139" s="82" t="str">
        <f t="shared" ca="1" si="15"/>
        <v/>
      </c>
      <c r="K139" s="82" t="str">
        <f t="shared" ca="1" si="15"/>
        <v/>
      </c>
      <c r="L139" s="82" t="str">
        <f t="shared" ca="1" si="15"/>
        <v/>
      </c>
      <c r="M139" s="82" t="str">
        <f t="shared" ca="1" si="15"/>
        <v/>
      </c>
      <c r="N139" s="82" t="str">
        <f t="shared" ca="1" si="15"/>
        <v/>
      </c>
      <c r="O139" s="82" t="str">
        <f t="shared" ca="1" si="15"/>
        <v/>
      </c>
      <c r="P139" s="82" t="str">
        <f t="shared" ca="1" si="15"/>
        <v/>
      </c>
      <c r="Q139" s="82" t="str">
        <f t="shared" ca="1" si="15"/>
        <v/>
      </c>
      <c r="R139" s="82" t="str">
        <f t="shared" ca="1" si="16"/>
        <v/>
      </c>
    </row>
    <row r="140" spans="1:18">
      <c r="A140" s="22">
        <v>132</v>
      </c>
      <c r="B140" s="23" t="str">
        <f t="shared" ca="1" si="17"/>
        <v/>
      </c>
      <c r="C140" s="82" t="str">
        <f t="shared" ca="1" si="15"/>
        <v/>
      </c>
      <c r="D140" s="82" t="str">
        <f t="shared" ca="1" si="15"/>
        <v/>
      </c>
      <c r="E140" s="82" t="str">
        <f t="shared" ca="1" si="15"/>
        <v/>
      </c>
      <c r="F140" s="82" t="str">
        <f t="shared" ca="1" si="15"/>
        <v/>
      </c>
      <c r="G140" s="82" t="str">
        <f t="shared" ca="1" si="15"/>
        <v/>
      </c>
      <c r="H140" s="82" t="str">
        <f t="shared" ca="1" si="15"/>
        <v/>
      </c>
      <c r="I140" s="82" t="str">
        <f t="shared" ca="1" si="15"/>
        <v/>
      </c>
      <c r="J140" s="82" t="str">
        <f t="shared" ca="1" si="15"/>
        <v/>
      </c>
      <c r="K140" s="82" t="str">
        <f t="shared" ca="1" si="15"/>
        <v/>
      </c>
      <c r="L140" s="82" t="str">
        <f t="shared" ca="1" si="15"/>
        <v/>
      </c>
      <c r="M140" s="82" t="str">
        <f t="shared" ca="1" si="15"/>
        <v/>
      </c>
      <c r="N140" s="82" t="str">
        <f t="shared" ca="1" si="15"/>
        <v/>
      </c>
      <c r="O140" s="82" t="str">
        <f t="shared" ca="1" si="15"/>
        <v/>
      </c>
      <c r="P140" s="82" t="str">
        <f t="shared" ca="1" si="15"/>
        <v/>
      </c>
      <c r="Q140" s="82" t="str">
        <f t="shared" ca="1" si="15"/>
        <v/>
      </c>
      <c r="R140" s="82" t="str">
        <f t="shared" ca="1" si="16"/>
        <v/>
      </c>
    </row>
    <row r="141" spans="1:18">
      <c r="A141" s="22">
        <v>133</v>
      </c>
      <c r="B141" s="23" t="str">
        <f t="shared" ca="1" si="17"/>
        <v/>
      </c>
      <c r="C141" s="82" t="str">
        <f t="shared" ca="1" si="15"/>
        <v/>
      </c>
      <c r="D141" s="82" t="str">
        <f t="shared" ca="1" si="15"/>
        <v/>
      </c>
      <c r="E141" s="82" t="str">
        <f t="shared" ca="1" si="15"/>
        <v/>
      </c>
      <c r="F141" s="82" t="str">
        <f t="shared" ca="1" si="15"/>
        <v/>
      </c>
      <c r="G141" s="82" t="str">
        <f t="shared" ca="1" si="15"/>
        <v/>
      </c>
      <c r="H141" s="82" t="str">
        <f t="shared" ca="1" si="15"/>
        <v/>
      </c>
      <c r="I141" s="82" t="str">
        <f t="shared" ca="1" si="15"/>
        <v/>
      </c>
      <c r="J141" s="82" t="str">
        <f t="shared" ca="1" si="15"/>
        <v/>
      </c>
      <c r="K141" s="82" t="str">
        <f t="shared" ca="1" si="15"/>
        <v/>
      </c>
      <c r="L141" s="82" t="str">
        <f t="shared" ca="1" si="15"/>
        <v/>
      </c>
      <c r="M141" s="82" t="str">
        <f t="shared" ca="1" si="15"/>
        <v/>
      </c>
      <c r="N141" s="82" t="str">
        <f t="shared" ca="1" si="15"/>
        <v/>
      </c>
      <c r="O141" s="82" t="str">
        <f t="shared" ca="1" si="15"/>
        <v/>
      </c>
      <c r="P141" s="82" t="str">
        <f t="shared" ca="1" si="15"/>
        <v/>
      </c>
      <c r="Q141" s="82" t="str">
        <f t="shared" ca="1" si="15"/>
        <v/>
      </c>
      <c r="R141" s="82" t="str">
        <f t="shared" ca="1" si="16"/>
        <v/>
      </c>
    </row>
    <row r="142" spans="1:18">
      <c r="A142" s="22">
        <v>134</v>
      </c>
      <c r="B142" s="23" t="str">
        <f t="shared" ca="1" si="17"/>
        <v/>
      </c>
      <c r="C142" s="82" t="str">
        <f t="shared" ca="1" si="15"/>
        <v/>
      </c>
      <c r="D142" s="82" t="str">
        <f t="shared" ca="1" si="15"/>
        <v/>
      </c>
      <c r="E142" s="82" t="str">
        <f t="shared" ca="1" si="15"/>
        <v/>
      </c>
      <c r="F142" s="82" t="str">
        <f t="shared" ca="1" si="15"/>
        <v/>
      </c>
      <c r="G142" s="82" t="str">
        <f t="shared" ca="1" si="15"/>
        <v/>
      </c>
      <c r="H142" s="82" t="str">
        <f t="shared" ca="1" si="15"/>
        <v/>
      </c>
      <c r="I142" s="82" t="str">
        <f t="shared" ca="1" si="15"/>
        <v/>
      </c>
      <c r="J142" s="82" t="str">
        <f t="shared" ca="1" si="15"/>
        <v/>
      </c>
      <c r="K142" s="82" t="str">
        <f t="shared" ca="1" si="15"/>
        <v/>
      </c>
      <c r="L142" s="82" t="str">
        <f t="shared" ca="1" si="15"/>
        <v/>
      </c>
      <c r="M142" s="82" t="str">
        <f t="shared" ca="1" si="15"/>
        <v/>
      </c>
      <c r="N142" s="82" t="str">
        <f t="shared" ca="1" si="15"/>
        <v/>
      </c>
      <c r="O142" s="82" t="str">
        <f t="shared" ca="1" si="15"/>
        <v/>
      </c>
      <c r="P142" s="82" t="str">
        <f t="shared" ca="1" si="15"/>
        <v/>
      </c>
      <c r="Q142" s="82" t="str">
        <f t="shared" ca="1" si="15"/>
        <v/>
      </c>
      <c r="R142" s="82" t="str">
        <f t="shared" ca="1" si="16"/>
        <v/>
      </c>
    </row>
    <row r="143" spans="1:18">
      <c r="A143" s="22">
        <v>135</v>
      </c>
      <c r="B143" s="23" t="str">
        <f t="shared" ca="1" si="17"/>
        <v/>
      </c>
      <c r="C143" s="82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82" t="str">
        <f t="shared" ca="1" si="18"/>
        <v/>
      </c>
      <c r="E143" s="82" t="str">
        <f t="shared" ca="1" si="18"/>
        <v/>
      </c>
      <c r="F143" s="82" t="str">
        <f t="shared" ca="1" si="18"/>
        <v/>
      </c>
      <c r="G143" s="82" t="str">
        <f t="shared" ca="1" si="18"/>
        <v/>
      </c>
      <c r="H143" s="82" t="str">
        <f t="shared" ca="1" si="18"/>
        <v/>
      </c>
      <c r="I143" s="82" t="str">
        <f t="shared" ca="1" si="18"/>
        <v/>
      </c>
      <c r="J143" s="82" t="str">
        <f t="shared" ca="1" si="18"/>
        <v/>
      </c>
      <c r="K143" s="82" t="str">
        <f t="shared" ca="1" si="18"/>
        <v/>
      </c>
      <c r="L143" s="82" t="str">
        <f t="shared" ca="1" si="18"/>
        <v/>
      </c>
      <c r="M143" s="82" t="str">
        <f t="shared" ca="1" si="18"/>
        <v/>
      </c>
      <c r="N143" s="82" t="str">
        <f t="shared" ca="1" si="18"/>
        <v/>
      </c>
      <c r="O143" s="82" t="str">
        <f t="shared" ca="1" si="18"/>
        <v/>
      </c>
      <c r="P143" s="82" t="str">
        <f t="shared" ca="1" si="18"/>
        <v/>
      </c>
      <c r="Q143" s="82" t="str">
        <f t="shared" ca="1" si="18"/>
        <v/>
      </c>
      <c r="R143" s="82" t="str">
        <f t="shared" ca="1" si="16"/>
        <v/>
      </c>
    </row>
    <row r="144" spans="1:18">
      <c r="A144" s="22">
        <v>136</v>
      </c>
      <c r="B144" s="23" t="str">
        <f t="shared" ca="1" si="17"/>
        <v/>
      </c>
      <c r="C144" s="82" t="str">
        <f t="shared" ca="1" si="18"/>
        <v/>
      </c>
      <c r="D144" s="82" t="str">
        <f t="shared" ca="1" si="18"/>
        <v/>
      </c>
      <c r="E144" s="82" t="str">
        <f t="shared" ca="1" si="18"/>
        <v/>
      </c>
      <c r="F144" s="82" t="str">
        <f t="shared" ca="1" si="18"/>
        <v/>
      </c>
      <c r="G144" s="82" t="str">
        <f t="shared" ca="1" si="18"/>
        <v/>
      </c>
      <c r="H144" s="82" t="str">
        <f t="shared" ca="1" si="18"/>
        <v/>
      </c>
      <c r="I144" s="82" t="str">
        <f t="shared" ca="1" si="18"/>
        <v/>
      </c>
      <c r="J144" s="82" t="str">
        <f t="shared" ca="1" si="18"/>
        <v/>
      </c>
      <c r="K144" s="82" t="str">
        <f t="shared" ca="1" si="18"/>
        <v/>
      </c>
      <c r="L144" s="82" t="str">
        <f t="shared" ca="1" si="18"/>
        <v/>
      </c>
      <c r="M144" s="82" t="str">
        <f t="shared" ca="1" si="18"/>
        <v/>
      </c>
      <c r="N144" s="82" t="str">
        <f t="shared" ca="1" si="18"/>
        <v/>
      </c>
      <c r="O144" s="82" t="str">
        <f t="shared" ca="1" si="18"/>
        <v/>
      </c>
      <c r="P144" s="82" t="str">
        <f t="shared" ca="1" si="18"/>
        <v/>
      </c>
      <c r="Q144" s="82" t="str">
        <f t="shared" ca="1" si="18"/>
        <v/>
      </c>
      <c r="R144" s="82" t="str">
        <f t="shared" ca="1" si="16"/>
        <v/>
      </c>
    </row>
    <row r="145" spans="1:18">
      <c r="A145" s="22">
        <v>137</v>
      </c>
      <c r="B145" s="23" t="str">
        <f t="shared" ca="1" si="17"/>
        <v/>
      </c>
      <c r="C145" s="82" t="str">
        <f t="shared" ca="1" si="18"/>
        <v/>
      </c>
      <c r="D145" s="82" t="str">
        <f t="shared" ca="1" si="18"/>
        <v/>
      </c>
      <c r="E145" s="82" t="str">
        <f t="shared" ca="1" si="18"/>
        <v/>
      </c>
      <c r="F145" s="82" t="str">
        <f t="shared" ca="1" si="18"/>
        <v/>
      </c>
      <c r="G145" s="82" t="str">
        <f t="shared" ca="1" si="18"/>
        <v/>
      </c>
      <c r="H145" s="82" t="str">
        <f t="shared" ca="1" si="18"/>
        <v/>
      </c>
      <c r="I145" s="82" t="str">
        <f t="shared" ca="1" si="18"/>
        <v/>
      </c>
      <c r="J145" s="82" t="str">
        <f t="shared" ca="1" si="18"/>
        <v/>
      </c>
      <c r="K145" s="82" t="str">
        <f t="shared" ca="1" si="18"/>
        <v/>
      </c>
      <c r="L145" s="82" t="str">
        <f t="shared" ca="1" si="18"/>
        <v/>
      </c>
      <c r="M145" s="82" t="str">
        <f t="shared" ca="1" si="18"/>
        <v/>
      </c>
      <c r="N145" s="82" t="str">
        <f t="shared" ca="1" si="18"/>
        <v/>
      </c>
      <c r="O145" s="82" t="str">
        <f t="shared" ca="1" si="18"/>
        <v/>
      </c>
      <c r="P145" s="82" t="str">
        <f t="shared" ca="1" si="18"/>
        <v/>
      </c>
      <c r="Q145" s="82" t="str">
        <f t="shared" ca="1" si="18"/>
        <v/>
      </c>
      <c r="R145" s="82" t="str">
        <f t="shared" ca="1" si="16"/>
        <v/>
      </c>
    </row>
    <row r="146" spans="1:18">
      <c r="A146" s="22">
        <v>138</v>
      </c>
      <c r="B146" s="23" t="str">
        <f t="shared" ca="1" si="17"/>
        <v/>
      </c>
      <c r="C146" s="82" t="str">
        <f t="shared" ca="1" si="18"/>
        <v/>
      </c>
      <c r="D146" s="82" t="str">
        <f t="shared" ca="1" si="18"/>
        <v/>
      </c>
      <c r="E146" s="82" t="str">
        <f t="shared" ca="1" si="18"/>
        <v/>
      </c>
      <c r="F146" s="82" t="str">
        <f t="shared" ca="1" si="18"/>
        <v/>
      </c>
      <c r="G146" s="82" t="str">
        <f t="shared" ca="1" si="18"/>
        <v/>
      </c>
      <c r="H146" s="82" t="str">
        <f t="shared" ca="1" si="18"/>
        <v/>
      </c>
      <c r="I146" s="82" t="str">
        <f t="shared" ca="1" si="18"/>
        <v/>
      </c>
      <c r="J146" s="82" t="str">
        <f t="shared" ca="1" si="18"/>
        <v/>
      </c>
      <c r="K146" s="82" t="str">
        <f t="shared" ca="1" si="18"/>
        <v/>
      </c>
      <c r="L146" s="82" t="str">
        <f t="shared" ca="1" si="18"/>
        <v/>
      </c>
      <c r="M146" s="82" t="str">
        <f t="shared" ca="1" si="18"/>
        <v/>
      </c>
      <c r="N146" s="82" t="str">
        <f t="shared" ca="1" si="18"/>
        <v/>
      </c>
      <c r="O146" s="82" t="str">
        <f t="shared" ca="1" si="18"/>
        <v/>
      </c>
      <c r="P146" s="82" t="str">
        <f t="shared" ca="1" si="18"/>
        <v/>
      </c>
      <c r="Q146" s="82" t="str">
        <f t="shared" ca="1" si="18"/>
        <v/>
      </c>
      <c r="R146" s="82" t="str">
        <f t="shared" ca="1" si="16"/>
        <v/>
      </c>
    </row>
    <row r="147" spans="1:18">
      <c r="A147" s="22">
        <v>139</v>
      </c>
      <c r="B147" s="23" t="str">
        <f t="shared" ca="1" si="17"/>
        <v/>
      </c>
      <c r="C147" s="82" t="str">
        <f t="shared" ca="1" si="18"/>
        <v/>
      </c>
      <c r="D147" s="82" t="str">
        <f t="shared" ca="1" si="18"/>
        <v/>
      </c>
      <c r="E147" s="82" t="str">
        <f t="shared" ca="1" si="18"/>
        <v/>
      </c>
      <c r="F147" s="82" t="str">
        <f t="shared" ca="1" si="18"/>
        <v/>
      </c>
      <c r="G147" s="82" t="str">
        <f t="shared" ca="1" si="18"/>
        <v/>
      </c>
      <c r="H147" s="82" t="str">
        <f t="shared" ca="1" si="18"/>
        <v/>
      </c>
      <c r="I147" s="82" t="str">
        <f t="shared" ca="1" si="18"/>
        <v/>
      </c>
      <c r="J147" s="82" t="str">
        <f t="shared" ca="1" si="18"/>
        <v/>
      </c>
      <c r="K147" s="82" t="str">
        <f t="shared" ca="1" si="18"/>
        <v/>
      </c>
      <c r="L147" s="82" t="str">
        <f t="shared" ca="1" si="18"/>
        <v/>
      </c>
      <c r="M147" s="82" t="str">
        <f t="shared" ca="1" si="18"/>
        <v/>
      </c>
      <c r="N147" s="82" t="str">
        <f t="shared" ca="1" si="18"/>
        <v/>
      </c>
      <c r="O147" s="82" t="str">
        <f t="shared" ca="1" si="18"/>
        <v/>
      </c>
      <c r="P147" s="82" t="str">
        <f t="shared" ca="1" si="18"/>
        <v/>
      </c>
      <c r="Q147" s="82" t="str">
        <f t="shared" ca="1" si="18"/>
        <v/>
      </c>
      <c r="R147" s="82" t="str">
        <f t="shared" ca="1" si="16"/>
        <v/>
      </c>
    </row>
    <row r="148" spans="1:18">
      <c r="A148" s="22">
        <v>140</v>
      </c>
      <c r="B148" s="23" t="str">
        <f t="shared" ca="1" si="17"/>
        <v/>
      </c>
      <c r="C148" s="82" t="str">
        <f t="shared" ca="1" si="18"/>
        <v/>
      </c>
      <c r="D148" s="82" t="str">
        <f t="shared" ca="1" si="18"/>
        <v/>
      </c>
      <c r="E148" s="82" t="str">
        <f t="shared" ca="1" si="18"/>
        <v/>
      </c>
      <c r="F148" s="82" t="str">
        <f t="shared" ca="1" si="18"/>
        <v/>
      </c>
      <c r="G148" s="82" t="str">
        <f t="shared" ca="1" si="18"/>
        <v/>
      </c>
      <c r="H148" s="82" t="str">
        <f t="shared" ca="1" si="18"/>
        <v/>
      </c>
      <c r="I148" s="82" t="str">
        <f t="shared" ca="1" si="18"/>
        <v/>
      </c>
      <c r="J148" s="82" t="str">
        <f t="shared" ca="1" si="18"/>
        <v/>
      </c>
      <c r="K148" s="82" t="str">
        <f t="shared" ca="1" si="18"/>
        <v/>
      </c>
      <c r="L148" s="82" t="str">
        <f t="shared" ca="1" si="18"/>
        <v/>
      </c>
      <c r="M148" s="82" t="str">
        <f t="shared" ca="1" si="18"/>
        <v/>
      </c>
      <c r="N148" s="82" t="str">
        <f t="shared" ca="1" si="18"/>
        <v/>
      </c>
      <c r="O148" s="82" t="str">
        <f t="shared" ca="1" si="18"/>
        <v/>
      </c>
      <c r="P148" s="82" t="str">
        <f t="shared" ca="1" si="18"/>
        <v/>
      </c>
      <c r="Q148" s="82" t="str">
        <f t="shared" ca="1" si="18"/>
        <v/>
      </c>
      <c r="R148" s="82" t="str">
        <f t="shared" ca="1" si="16"/>
        <v/>
      </c>
    </row>
    <row r="149" spans="1:18">
      <c r="A149" s="22">
        <v>141</v>
      </c>
      <c r="B149" s="23" t="str">
        <f t="shared" ca="1" si="17"/>
        <v/>
      </c>
      <c r="C149" s="82" t="str">
        <f t="shared" ca="1" si="18"/>
        <v/>
      </c>
      <c r="D149" s="82" t="str">
        <f t="shared" ca="1" si="18"/>
        <v/>
      </c>
      <c r="E149" s="82" t="str">
        <f t="shared" ca="1" si="18"/>
        <v/>
      </c>
      <c r="F149" s="82" t="str">
        <f t="shared" ca="1" si="18"/>
        <v/>
      </c>
      <c r="G149" s="82" t="str">
        <f t="shared" ca="1" si="18"/>
        <v/>
      </c>
      <c r="H149" s="82" t="str">
        <f t="shared" ca="1" si="18"/>
        <v/>
      </c>
      <c r="I149" s="82" t="str">
        <f t="shared" ca="1" si="18"/>
        <v/>
      </c>
      <c r="J149" s="82" t="str">
        <f t="shared" ca="1" si="18"/>
        <v/>
      </c>
      <c r="K149" s="82" t="str">
        <f t="shared" ca="1" si="18"/>
        <v/>
      </c>
      <c r="L149" s="82" t="str">
        <f t="shared" ca="1" si="18"/>
        <v/>
      </c>
      <c r="M149" s="82" t="str">
        <f t="shared" ca="1" si="18"/>
        <v/>
      </c>
      <c r="N149" s="82" t="str">
        <f t="shared" ca="1" si="18"/>
        <v/>
      </c>
      <c r="O149" s="82" t="str">
        <f t="shared" ca="1" si="18"/>
        <v/>
      </c>
      <c r="P149" s="82" t="str">
        <f t="shared" ca="1" si="18"/>
        <v/>
      </c>
      <c r="Q149" s="82" t="str">
        <f t="shared" ca="1" si="18"/>
        <v/>
      </c>
      <c r="R149" s="82" t="str">
        <f t="shared" ca="1" si="16"/>
        <v/>
      </c>
    </row>
    <row r="150" spans="1:18">
      <c r="A150" s="22">
        <v>142</v>
      </c>
      <c r="B150" s="23" t="str">
        <f t="shared" ca="1" si="17"/>
        <v/>
      </c>
      <c r="C150" s="82" t="str">
        <f t="shared" ca="1" si="18"/>
        <v/>
      </c>
      <c r="D150" s="82" t="str">
        <f t="shared" ca="1" si="18"/>
        <v/>
      </c>
      <c r="E150" s="82" t="str">
        <f t="shared" ca="1" si="18"/>
        <v/>
      </c>
      <c r="F150" s="82" t="str">
        <f t="shared" ca="1" si="18"/>
        <v/>
      </c>
      <c r="G150" s="82" t="str">
        <f t="shared" ca="1" si="18"/>
        <v/>
      </c>
      <c r="H150" s="82" t="str">
        <f t="shared" ca="1" si="18"/>
        <v/>
      </c>
      <c r="I150" s="82" t="str">
        <f t="shared" ca="1" si="18"/>
        <v/>
      </c>
      <c r="J150" s="82" t="str">
        <f t="shared" ca="1" si="18"/>
        <v/>
      </c>
      <c r="K150" s="82" t="str">
        <f t="shared" ca="1" si="18"/>
        <v/>
      </c>
      <c r="L150" s="82" t="str">
        <f t="shared" ca="1" si="18"/>
        <v/>
      </c>
      <c r="M150" s="82" t="str">
        <f t="shared" ca="1" si="18"/>
        <v/>
      </c>
      <c r="N150" s="82" t="str">
        <f t="shared" ca="1" si="18"/>
        <v/>
      </c>
      <c r="O150" s="82" t="str">
        <f t="shared" ca="1" si="18"/>
        <v/>
      </c>
      <c r="P150" s="82" t="str">
        <f t="shared" ca="1" si="18"/>
        <v/>
      </c>
      <c r="Q150" s="82" t="str">
        <f t="shared" ca="1" si="18"/>
        <v/>
      </c>
      <c r="R150" s="82" t="str">
        <f t="shared" ca="1" si="16"/>
        <v/>
      </c>
    </row>
    <row r="151" spans="1:18">
      <c r="A151" s="22">
        <v>143</v>
      </c>
      <c r="B151" s="23" t="str">
        <f t="shared" ca="1" si="17"/>
        <v/>
      </c>
      <c r="C151" s="82" t="str">
        <f t="shared" ca="1" si="18"/>
        <v/>
      </c>
      <c r="D151" s="82" t="str">
        <f t="shared" ca="1" si="18"/>
        <v/>
      </c>
      <c r="E151" s="82" t="str">
        <f t="shared" ca="1" si="18"/>
        <v/>
      </c>
      <c r="F151" s="82" t="str">
        <f t="shared" ca="1" si="18"/>
        <v/>
      </c>
      <c r="G151" s="82" t="str">
        <f t="shared" ca="1" si="18"/>
        <v/>
      </c>
      <c r="H151" s="82" t="str">
        <f t="shared" ca="1" si="18"/>
        <v/>
      </c>
      <c r="I151" s="82" t="str">
        <f t="shared" ca="1" si="18"/>
        <v/>
      </c>
      <c r="J151" s="82" t="str">
        <f t="shared" ca="1" si="18"/>
        <v/>
      </c>
      <c r="K151" s="82" t="str">
        <f t="shared" ca="1" si="18"/>
        <v/>
      </c>
      <c r="L151" s="82" t="str">
        <f t="shared" ca="1" si="18"/>
        <v/>
      </c>
      <c r="M151" s="82" t="str">
        <f t="shared" ca="1" si="18"/>
        <v/>
      </c>
      <c r="N151" s="82" t="str">
        <f t="shared" ca="1" si="18"/>
        <v/>
      </c>
      <c r="O151" s="82" t="str">
        <f t="shared" ca="1" si="18"/>
        <v/>
      </c>
      <c r="P151" s="82" t="str">
        <f t="shared" ca="1" si="18"/>
        <v/>
      </c>
      <c r="Q151" s="82" t="str">
        <f t="shared" ca="1" si="18"/>
        <v/>
      </c>
      <c r="R151" s="82" t="str">
        <f t="shared" ca="1" si="16"/>
        <v/>
      </c>
    </row>
    <row r="152" spans="1:18">
      <c r="A152" s="22">
        <v>144</v>
      </c>
      <c r="B152" s="23" t="str">
        <f t="shared" ca="1" si="17"/>
        <v/>
      </c>
      <c r="C152" s="82" t="str">
        <f t="shared" ca="1" si="18"/>
        <v/>
      </c>
      <c r="D152" s="82" t="str">
        <f t="shared" ca="1" si="18"/>
        <v/>
      </c>
      <c r="E152" s="82" t="str">
        <f t="shared" ca="1" si="18"/>
        <v/>
      </c>
      <c r="F152" s="82" t="str">
        <f t="shared" ca="1" si="18"/>
        <v/>
      </c>
      <c r="G152" s="82" t="str">
        <f t="shared" ca="1" si="18"/>
        <v/>
      </c>
      <c r="H152" s="82" t="str">
        <f t="shared" ca="1" si="18"/>
        <v/>
      </c>
      <c r="I152" s="82" t="str">
        <f t="shared" ca="1" si="18"/>
        <v/>
      </c>
      <c r="J152" s="82" t="str">
        <f t="shared" ca="1" si="18"/>
        <v/>
      </c>
      <c r="K152" s="82" t="str">
        <f t="shared" ca="1" si="18"/>
        <v/>
      </c>
      <c r="L152" s="82" t="str">
        <f t="shared" ca="1" si="18"/>
        <v/>
      </c>
      <c r="M152" s="82" t="str">
        <f t="shared" ca="1" si="18"/>
        <v/>
      </c>
      <c r="N152" s="82" t="str">
        <f t="shared" ca="1" si="18"/>
        <v/>
      </c>
      <c r="O152" s="82" t="str">
        <f t="shared" ca="1" si="18"/>
        <v/>
      </c>
      <c r="P152" s="82" t="str">
        <f t="shared" ca="1" si="18"/>
        <v/>
      </c>
      <c r="Q152" s="82" t="str">
        <f t="shared" ca="1" si="18"/>
        <v/>
      </c>
      <c r="R152" s="82" t="str">
        <f t="shared" ca="1" si="16"/>
        <v/>
      </c>
    </row>
    <row r="153" spans="1:18">
      <c r="A153" s="22">
        <v>145</v>
      </c>
      <c r="B153" s="23" t="str">
        <f t="shared" ca="1" si="17"/>
        <v/>
      </c>
      <c r="C153" s="82" t="str">
        <f t="shared" ca="1" si="18"/>
        <v/>
      </c>
      <c r="D153" s="82" t="str">
        <f t="shared" ca="1" si="18"/>
        <v/>
      </c>
      <c r="E153" s="82" t="str">
        <f t="shared" ca="1" si="18"/>
        <v/>
      </c>
      <c r="F153" s="82" t="str">
        <f t="shared" ca="1" si="18"/>
        <v/>
      </c>
      <c r="G153" s="82" t="str">
        <f t="shared" ca="1" si="18"/>
        <v/>
      </c>
      <c r="H153" s="82" t="str">
        <f t="shared" ca="1" si="18"/>
        <v/>
      </c>
      <c r="I153" s="82" t="str">
        <f t="shared" ca="1" si="18"/>
        <v/>
      </c>
      <c r="J153" s="82" t="str">
        <f t="shared" ca="1" si="18"/>
        <v/>
      </c>
      <c r="K153" s="82" t="str">
        <f t="shared" ca="1" si="18"/>
        <v/>
      </c>
      <c r="L153" s="82" t="str">
        <f t="shared" ca="1" si="18"/>
        <v/>
      </c>
      <c r="M153" s="82" t="str">
        <f t="shared" ca="1" si="18"/>
        <v/>
      </c>
      <c r="N153" s="82" t="str">
        <f t="shared" ca="1" si="18"/>
        <v/>
      </c>
      <c r="O153" s="82" t="str">
        <f t="shared" ca="1" si="18"/>
        <v/>
      </c>
      <c r="P153" s="82" t="str">
        <f t="shared" ca="1" si="18"/>
        <v/>
      </c>
      <c r="Q153" s="82" t="str">
        <f t="shared" ca="1" si="18"/>
        <v/>
      </c>
      <c r="R153" s="82" t="str">
        <f t="shared" ca="1" si="16"/>
        <v/>
      </c>
    </row>
    <row r="154" spans="1:18">
      <c r="A154" s="22">
        <v>146</v>
      </c>
      <c r="B154" s="23" t="str">
        <f t="shared" ca="1" si="17"/>
        <v/>
      </c>
      <c r="C154" s="82" t="str">
        <f t="shared" ca="1" si="18"/>
        <v/>
      </c>
      <c r="D154" s="82" t="str">
        <f t="shared" ca="1" si="18"/>
        <v/>
      </c>
      <c r="E154" s="82" t="str">
        <f t="shared" ca="1" si="18"/>
        <v/>
      </c>
      <c r="F154" s="82" t="str">
        <f t="shared" ca="1" si="18"/>
        <v/>
      </c>
      <c r="G154" s="82" t="str">
        <f t="shared" ca="1" si="18"/>
        <v/>
      </c>
      <c r="H154" s="82" t="str">
        <f t="shared" ca="1" si="18"/>
        <v/>
      </c>
      <c r="I154" s="82" t="str">
        <f t="shared" ca="1" si="18"/>
        <v/>
      </c>
      <c r="J154" s="82" t="str">
        <f t="shared" ca="1" si="18"/>
        <v/>
      </c>
      <c r="K154" s="82" t="str">
        <f t="shared" ca="1" si="18"/>
        <v/>
      </c>
      <c r="L154" s="82" t="str">
        <f t="shared" ca="1" si="18"/>
        <v/>
      </c>
      <c r="M154" s="82" t="str">
        <f t="shared" ca="1" si="18"/>
        <v/>
      </c>
      <c r="N154" s="82" t="str">
        <f t="shared" ca="1" si="18"/>
        <v/>
      </c>
      <c r="O154" s="82" t="str">
        <f t="shared" ca="1" si="18"/>
        <v/>
      </c>
      <c r="P154" s="82" t="str">
        <f t="shared" ca="1" si="18"/>
        <v/>
      </c>
      <c r="Q154" s="82" t="str">
        <f t="shared" ca="1" si="18"/>
        <v/>
      </c>
      <c r="R154" s="82" t="str">
        <f t="shared" ca="1" si="16"/>
        <v/>
      </c>
    </row>
    <row r="155" spans="1:18">
      <c r="A155" s="22">
        <v>147</v>
      </c>
      <c r="B155" s="23" t="str">
        <f t="shared" ca="1" si="17"/>
        <v/>
      </c>
      <c r="C155" s="82" t="str">
        <f t="shared" ca="1" si="18"/>
        <v/>
      </c>
      <c r="D155" s="82" t="str">
        <f t="shared" ca="1" si="18"/>
        <v/>
      </c>
      <c r="E155" s="82" t="str">
        <f t="shared" ca="1" si="18"/>
        <v/>
      </c>
      <c r="F155" s="82" t="str">
        <f t="shared" ca="1" si="18"/>
        <v/>
      </c>
      <c r="G155" s="82" t="str">
        <f t="shared" ca="1" si="18"/>
        <v/>
      </c>
      <c r="H155" s="82" t="str">
        <f t="shared" ca="1" si="18"/>
        <v/>
      </c>
      <c r="I155" s="82" t="str">
        <f t="shared" ca="1" si="18"/>
        <v/>
      </c>
      <c r="J155" s="82" t="str">
        <f t="shared" ca="1" si="18"/>
        <v/>
      </c>
      <c r="K155" s="82" t="str">
        <f t="shared" ca="1" si="18"/>
        <v/>
      </c>
      <c r="L155" s="82" t="str">
        <f t="shared" ca="1" si="18"/>
        <v/>
      </c>
      <c r="M155" s="82" t="str">
        <f t="shared" ca="1" si="18"/>
        <v/>
      </c>
      <c r="N155" s="82" t="str">
        <f t="shared" ca="1" si="18"/>
        <v/>
      </c>
      <c r="O155" s="82" t="str">
        <f t="shared" ca="1" si="18"/>
        <v/>
      </c>
      <c r="P155" s="82" t="str">
        <f t="shared" ca="1" si="18"/>
        <v/>
      </c>
      <c r="Q155" s="82" t="str">
        <f t="shared" ca="1" si="18"/>
        <v/>
      </c>
      <c r="R155" s="82" t="str">
        <f t="shared" ca="1" si="16"/>
        <v/>
      </c>
    </row>
    <row r="156" spans="1:18">
      <c r="A156" s="22">
        <v>148</v>
      </c>
      <c r="B156" s="23" t="str">
        <f t="shared" ca="1" si="17"/>
        <v/>
      </c>
      <c r="C156" s="82" t="str">
        <f t="shared" ca="1" si="18"/>
        <v/>
      </c>
      <c r="D156" s="82" t="str">
        <f t="shared" ca="1" si="18"/>
        <v/>
      </c>
      <c r="E156" s="82" t="str">
        <f t="shared" ca="1" si="18"/>
        <v/>
      </c>
      <c r="F156" s="82" t="str">
        <f t="shared" ca="1" si="18"/>
        <v/>
      </c>
      <c r="G156" s="82" t="str">
        <f t="shared" ca="1" si="18"/>
        <v/>
      </c>
      <c r="H156" s="82" t="str">
        <f t="shared" ca="1" si="18"/>
        <v/>
      </c>
      <c r="I156" s="82" t="str">
        <f t="shared" ca="1" si="18"/>
        <v/>
      </c>
      <c r="J156" s="82" t="str">
        <f t="shared" ca="1" si="18"/>
        <v/>
      </c>
      <c r="K156" s="82" t="str">
        <f t="shared" ca="1" si="18"/>
        <v/>
      </c>
      <c r="L156" s="82" t="str">
        <f t="shared" ca="1" si="18"/>
        <v/>
      </c>
      <c r="M156" s="82" t="str">
        <f t="shared" ca="1" si="18"/>
        <v/>
      </c>
      <c r="N156" s="82" t="str">
        <f t="shared" ca="1" si="18"/>
        <v/>
      </c>
      <c r="O156" s="82" t="str">
        <f t="shared" ca="1" si="18"/>
        <v/>
      </c>
      <c r="P156" s="82" t="str">
        <f t="shared" ca="1" si="18"/>
        <v/>
      </c>
      <c r="Q156" s="82" t="str">
        <f t="shared" ca="1" si="18"/>
        <v/>
      </c>
      <c r="R156" s="82" t="str">
        <f t="shared" ca="1" si="16"/>
        <v/>
      </c>
    </row>
    <row r="157" spans="1:18">
      <c r="A157" s="22">
        <v>149</v>
      </c>
      <c r="B157" s="23" t="str">
        <f t="shared" ca="1" si="17"/>
        <v/>
      </c>
      <c r="C157" s="82" t="str">
        <f t="shared" ca="1" si="18"/>
        <v/>
      </c>
      <c r="D157" s="82" t="str">
        <f t="shared" ca="1" si="18"/>
        <v/>
      </c>
      <c r="E157" s="82" t="str">
        <f t="shared" ca="1" si="18"/>
        <v/>
      </c>
      <c r="F157" s="82" t="str">
        <f t="shared" ca="1" si="18"/>
        <v/>
      </c>
      <c r="G157" s="82" t="str">
        <f t="shared" ca="1" si="18"/>
        <v/>
      </c>
      <c r="H157" s="82" t="str">
        <f t="shared" ca="1" si="18"/>
        <v/>
      </c>
      <c r="I157" s="82" t="str">
        <f t="shared" ca="1" si="18"/>
        <v/>
      </c>
      <c r="J157" s="82" t="str">
        <f t="shared" ca="1" si="18"/>
        <v/>
      </c>
      <c r="K157" s="82" t="str">
        <f t="shared" ca="1" si="18"/>
        <v/>
      </c>
      <c r="L157" s="82" t="str">
        <f t="shared" ca="1" si="18"/>
        <v/>
      </c>
      <c r="M157" s="82" t="str">
        <f t="shared" ca="1" si="18"/>
        <v/>
      </c>
      <c r="N157" s="82" t="str">
        <f t="shared" ca="1" si="18"/>
        <v/>
      </c>
      <c r="O157" s="82" t="str">
        <f t="shared" ca="1" si="18"/>
        <v/>
      </c>
      <c r="P157" s="82" t="str">
        <f t="shared" ca="1" si="18"/>
        <v/>
      </c>
      <c r="Q157" s="82" t="str">
        <f t="shared" ca="1" si="18"/>
        <v/>
      </c>
      <c r="R157" s="82" t="str">
        <f t="shared" ca="1" si="16"/>
        <v/>
      </c>
    </row>
    <row r="158" spans="1:18">
      <c r="A158" s="22">
        <v>150</v>
      </c>
      <c r="B158" s="23" t="str">
        <f t="shared" ca="1" si="17"/>
        <v/>
      </c>
      <c r="C158" s="82" t="str">
        <f t="shared" ca="1" si="18"/>
        <v/>
      </c>
      <c r="D158" s="82" t="str">
        <f t="shared" ca="1" si="18"/>
        <v/>
      </c>
      <c r="E158" s="82" t="str">
        <f t="shared" ca="1" si="18"/>
        <v/>
      </c>
      <c r="F158" s="82" t="str">
        <f t="shared" ca="1" si="18"/>
        <v/>
      </c>
      <c r="G158" s="82" t="str">
        <f t="shared" ca="1" si="18"/>
        <v/>
      </c>
      <c r="H158" s="82" t="str">
        <f t="shared" ca="1" si="18"/>
        <v/>
      </c>
      <c r="I158" s="82" t="str">
        <f t="shared" ca="1" si="18"/>
        <v/>
      </c>
      <c r="J158" s="82" t="str">
        <f t="shared" ca="1" si="18"/>
        <v/>
      </c>
      <c r="K158" s="82" t="str">
        <f t="shared" ca="1" si="18"/>
        <v/>
      </c>
      <c r="L158" s="82" t="str">
        <f t="shared" ca="1" si="18"/>
        <v/>
      </c>
      <c r="M158" s="82" t="str">
        <f t="shared" ca="1" si="18"/>
        <v/>
      </c>
      <c r="N158" s="82" t="str">
        <f t="shared" ca="1" si="18"/>
        <v/>
      </c>
      <c r="O158" s="82" t="str">
        <f t="shared" ca="1" si="18"/>
        <v/>
      </c>
      <c r="P158" s="82" t="str">
        <f t="shared" ca="1" si="18"/>
        <v/>
      </c>
      <c r="Q158" s="82" t="str">
        <f t="shared" ca="1" si="18"/>
        <v/>
      </c>
      <c r="R158" s="82" t="str">
        <f t="shared" ca="1" si="16"/>
        <v/>
      </c>
    </row>
    <row r="159" spans="1:18">
      <c r="A159" s="22">
        <v>151</v>
      </c>
      <c r="B159" s="23" t="str">
        <f t="shared" ca="1" si="17"/>
        <v/>
      </c>
      <c r="C159" s="82" t="str">
        <f t="shared" ca="1" si="18"/>
        <v/>
      </c>
      <c r="D159" s="82" t="str">
        <f t="shared" ca="1" si="18"/>
        <v/>
      </c>
      <c r="E159" s="82" t="str">
        <f t="shared" ca="1" si="18"/>
        <v/>
      </c>
      <c r="F159" s="82" t="str">
        <f t="shared" ca="1" si="18"/>
        <v/>
      </c>
      <c r="G159" s="82" t="str">
        <f t="shared" ca="1" si="18"/>
        <v/>
      </c>
      <c r="H159" s="82" t="str">
        <f t="shared" ca="1" si="18"/>
        <v/>
      </c>
      <c r="I159" s="82" t="str">
        <f t="shared" ca="1" si="18"/>
        <v/>
      </c>
      <c r="J159" s="82" t="str">
        <f t="shared" ca="1" si="18"/>
        <v/>
      </c>
      <c r="K159" s="82" t="str">
        <f t="shared" ca="1" si="18"/>
        <v/>
      </c>
      <c r="L159" s="82" t="str">
        <f t="shared" ca="1" si="18"/>
        <v/>
      </c>
      <c r="M159" s="82" t="str">
        <f t="shared" ca="1" si="18"/>
        <v/>
      </c>
      <c r="N159" s="82" t="str">
        <f t="shared" ca="1" si="18"/>
        <v/>
      </c>
      <c r="O159" s="82" t="str">
        <f t="shared" ca="1" si="18"/>
        <v/>
      </c>
      <c r="P159" s="82" t="str">
        <f t="shared" ca="1" si="18"/>
        <v/>
      </c>
      <c r="Q159" s="82" t="str">
        <f t="shared" ca="1" si="18"/>
        <v/>
      </c>
      <c r="R159" s="82" t="str">
        <f t="shared" ca="1" si="16"/>
        <v/>
      </c>
    </row>
    <row r="160" spans="1:18">
      <c r="A160" s="22">
        <v>152</v>
      </c>
      <c r="B160" s="23" t="str">
        <f t="shared" ca="1" si="17"/>
        <v/>
      </c>
      <c r="C160" s="82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82" t="str">
        <f t="shared" ca="1" si="19"/>
        <v/>
      </c>
      <c r="E160" s="82" t="str">
        <f t="shared" ca="1" si="19"/>
        <v/>
      </c>
      <c r="F160" s="82" t="str">
        <f t="shared" ca="1" si="19"/>
        <v/>
      </c>
      <c r="G160" s="82" t="str">
        <f t="shared" ca="1" si="19"/>
        <v/>
      </c>
      <c r="H160" s="82" t="str">
        <f t="shared" ca="1" si="19"/>
        <v/>
      </c>
      <c r="I160" s="82" t="str">
        <f t="shared" ca="1" si="19"/>
        <v/>
      </c>
      <c r="J160" s="82" t="str">
        <f t="shared" ca="1" si="19"/>
        <v/>
      </c>
      <c r="K160" s="82" t="str">
        <f t="shared" ca="1" si="19"/>
        <v/>
      </c>
      <c r="L160" s="82" t="str">
        <f t="shared" ca="1" si="19"/>
        <v/>
      </c>
      <c r="M160" s="82" t="str">
        <f t="shared" ca="1" si="19"/>
        <v/>
      </c>
      <c r="N160" s="82" t="str">
        <f t="shared" ca="1" si="19"/>
        <v/>
      </c>
      <c r="O160" s="82" t="str">
        <f t="shared" ca="1" si="19"/>
        <v/>
      </c>
      <c r="P160" s="82" t="str">
        <f t="shared" ca="1" si="19"/>
        <v/>
      </c>
      <c r="Q160" s="82" t="str">
        <f t="shared" ca="1" si="19"/>
        <v/>
      </c>
      <c r="R160" s="82" t="str">
        <f t="shared" ca="1" si="16"/>
        <v/>
      </c>
    </row>
    <row r="161" spans="1:18">
      <c r="A161" s="22">
        <v>153</v>
      </c>
      <c r="B161" s="23" t="str">
        <f t="shared" ca="1" si="17"/>
        <v/>
      </c>
      <c r="C161" s="82" t="str">
        <f t="shared" ca="1" si="19"/>
        <v/>
      </c>
      <c r="D161" s="82" t="str">
        <f t="shared" ca="1" si="19"/>
        <v/>
      </c>
      <c r="E161" s="82" t="str">
        <f t="shared" ca="1" si="19"/>
        <v/>
      </c>
      <c r="F161" s="82" t="str">
        <f t="shared" ca="1" si="19"/>
        <v/>
      </c>
      <c r="G161" s="82" t="str">
        <f t="shared" ca="1" si="19"/>
        <v/>
      </c>
      <c r="H161" s="82" t="str">
        <f t="shared" ca="1" si="19"/>
        <v/>
      </c>
      <c r="I161" s="82" t="str">
        <f t="shared" ca="1" si="19"/>
        <v/>
      </c>
      <c r="J161" s="82" t="str">
        <f t="shared" ca="1" si="19"/>
        <v/>
      </c>
      <c r="K161" s="82" t="str">
        <f t="shared" ca="1" si="19"/>
        <v/>
      </c>
      <c r="L161" s="82" t="str">
        <f t="shared" ca="1" si="19"/>
        <v/>
      </c>
      <c r="M161" s="82" t="str">
        <f t="shared" ca="1" si="19"/>
        <v/>
      </c>
      <c r="N161" s="82" t="str">
        <f t="shared" ca="1" si="19"/>
        <v/>
      </c>
      <c r="O161" s="82" t="str">
        <f t="shared" ca="1" si="19"/>
        <v/>
      </c>
      <c r="P161" s="82" t="str">
        <f t="shared" ca="1" si="19"/>
        <v/>
      </c>
      <c r="Q161" s="82" t="str">
        <f t="shared" ca="1" si="19"/>
        <v/>
      </c>
      <c r="R161" s="82" t="str">
        <f t="shared" ca="1" si="16"/>
        <v/>
      </c>
    </row>
    <row r="162" spans="1:18">
      <c r="A162" s="22">
        <v>154</v>
      </c>
      <c r="B162" s="23" t="str">
        <f t="shared" ca="1" si="17"/>
        <v/>
      </c>
      <c r="C162" s="82" t="str">
        <f t="shared" ca="1" si="19"/>
        <v/>
      </c>
      <c r="D162" s="82" t="str">
        <f t="shared" ca="1" si="19"/>
        <v/>
      </c>
      <c r="E162" s="82" t="str">
        <f t="shared" ca="1" si="19"/>
        <v/>
      </c>
      <c r="F162" s="82" t="str">
        <f t="shared" ca="1" si="19"/>
        <v/>
      </c>
      <c r="G162" s="82" t="str">
        <f t="shared" ca="1" si="19"/>
        <v/>
      </c>
      <c r="H162" s="82" t="str">
        <f t="shared" ca="1" si="19"/>
        <v/>
      </c>
      <c r="I162" s="82" t="str">
        <f t="shared" ca="1" si="19"/>
        <v/>
      </c>
      <c r="J162" s="82" t="str">
        <f t="shared" ca="1" si="19"/>
        <v/>
      </c>
      <c r="K162" s="82" t="str">
        <f t="shared" ca="1" si="19"/>
        <v/>
      </c>
      <c r="L162" s="82" t="str">
        <f t="shared" ca="1" si="19"/>
        <v/>
      </c>
      <c r="M162" s="82" t="str">
        <f t="shared" ca="1" si="19"/>
        <v/>
      </c>
      <c r="N162" s="82" t="str">
        <f t="shared" ca="1" si="19"/>
        <v/>
      </c>
      <c r="O162" s="82" t="str">
        <f t="shared" ca="1" si="19"/>
        <v/>
      </c>
      <c r="P162" s="82" t="str">
        <f t="shared" ca="1" si="19"/>
        <v/>
      </c>
      <c r="Q162" s="82" t="str">
        <f t="shared" ca="1" si="19"/>
        <v/>
      </c>
      <c r="R162" s="82" t="str">
        <f t="shared" ca="1" si="16"/>
        <v/>
      </c>
    </row>
    <row r="163" spans="1:18">
      <c r="A163" s="22">
        <v>155</v>
      </c>
      <c r="B163" s="23" t="str">
        <f t="shared" ca="1" si="17"/>
        <v/>
      </c>
      <c r="C163" s="82" t="str">
        <f t="shared" ca="1" si="19"/>
        <v/>
      </c>
      <c r="D163" s="82" t="str">
        <f t="shared" ca="1" si="19"/>
        <v/>
      </c>
      <c r="E163" s="82" t="str">
        <f t="shared" ca="1" si="19"/>
        <v/>
      </c>
      <c r="F163" s="82" t="str">
        <f t="shared" ca="1" si="19"/>
        <v/>
      </c>
      <c r="G163" s="82" t="str">
        <f t="shared" ca="1" si="19"/>
        <v/>
      </c>
      <c r="H163" s="82" t="str">
        <f t="shared" ca="1" si="19"/>
        <v/>
      </c>
      <c r="I163" s="82" t="str">
        <f t="shared" ca="1" si="19"/>
        <v/>
      </c>
      <c r="J163" s="82" t="str">
        <f t="shared" ca="1" si="19"/>
        <v/>
      </c>
      <c r="K163" s="82" t="str">
        <f t="shared" ca="1" si="19"/>
        <v/>
      </c>
      <c r="L163" s="82" t="str">
        <f t="shared" ca="1" si="19"/>
        <v/>
      </c>
      <c r="M163" s="82" t="str">
        <f t="shared" ca="1" si="19"/>
        <v/>
      </c>
      <c r="N163" s="82" t="str">
        <f t="shared" ca="1" si="19"/>
        <v/>
      </c>
      <c r="O163" s="82" t="str">
        <f t="shared" ca="1" si="19"/>
        <v/>
      </c>
      <c r="P163" s="82" t="str">
        <f t="shared" ca="1" si="19"/>
        <v/>
      </c>
      <c r="Q163" s="82" t="str">
        <f t="shared" ca="1" si="19"/>
        <v/>
      </c>
      <c r="R163" s="82" t="str">
        <f t="shared" ca="1" si="16"/>
        <v/>
      </c>
    </row>
    <row r="164" spans="1:18">
      <c r="A164" s="22">
        <v>156</v>
      </c>
      <c r="B164" s="23" t="str">
        <f t="shared" ca="1" si="17"/>
        <v/>
      </c>
      <c r="C164" s="82" t="str">
        <f t="shared" ca="1" si="19"/>
        <v/>
      </c>
      <c r="D164" s="82" t="str">
        <f t="shared" ca="1" si="19"/>
        <v/>
      </c>
      <c r="E164" s="82" t="str">
        <f t="shared" ca="1" si="19"/>
        <v/>
      </c>
      <c r="F164" s="82" t="str">
        <f t="shared" ca="1" si="19"/>
        <v/>
      </c>
      <c r="G164" s="82" t="str">
        <f t="shared" ca="1" si="19"/>
        <v/>
      </c>
      <c r="H164" s="82" t="str">
        <f t="shared" ca="1" si="19"/>
        <v/>
      </c>
      <c r="I164" s="82" t="str">
        <f t="shared" ca="1" si="19"/>
        <v/>
      </c>
      <c r="J164" s="82" t="str">
        <f t="shared" ca="1" si="19"/>
        <v/>
      </c>
      <c r="K164" s="82" t="str">
        <f t="shared" ca="1" si="19"/>
        <v/>
      </c>
      <c r="L164" s="82" t="str">
        <f t="shared" ca="1" si="19"/>
        <v/>
      </c>
      <c r="M164" s="82" t="str">
        <f t="shared" ca="1" si="19"/>
        <v/>
      </c>
      <c r="N164" s="82" t="str">
        <f t="shared" ca="1" si="19"/>
        <v/>
      </c>
      <c r="O164" s="82" t="str">
        <f t="shared" ca="1" si="19"/>
        <v/>
      </c>
      <c r="P164" s="82" t="str">
        <f t="shared" ca="1" si="19"/>
        <v/>
      </c>
      <c r="Q164" s="82" t="str">
        <f t="shared" ca="1" si="19"/>
        <v/>
      </c>
      <c r="R164" s="82" t="str">
        <f t="shared" ca="1" si="16"/>
        <v/>
      </c>
    </row>
    <row r="165" spans="1:18">
      <c r="A165" s="22">
        <v>157</v>
      </c>
      <c r="B165" s="23" t="str">
        <f t="shared" ca="1" si="17"/>
        <v/>
      </c>
      <c r="C165" s="82" t="str">
        <f t="shared" ca="1" si="19"/>
        <v/>
      </c>
      <c r="D165" s="82" t="str">
        <f t="shared" ca="1" si="19"/>
        <v/>
      </c>
      <c r="E165" s="82" t="str">
        <f t="shared" ca="1" si="19"/>
        <v/>
      </c>
      <c r="F165" s="82" t="str">
        <f t="shared" ca="1" si="19"/>
        <v/>
      </c>
      <c r="G165" s="82" t="str">
        <f t="shared" ca="1" si="19"/>
        <v/>
      </c>
      <c r="H165" s="82" t="str">
        <f t="shared" ca="1" si="19"/>
        <v/>
      </c>
      <c r="I165" s="82" t="str">
        <f t="shared" ca="1" si="19"/>
        <v/>
      </c>
      <c r="J165" s="82" t="str">
        <f t="shared" ca="1" si="19"/>
        <v/>
      </c>
      <c r="K165" s="82" t="str">
        <f t="shared" ca="1" si="19"/>
        <v/>
      </c>
      <c r="L165" s="82" t="str">
        <f t="shared" ca="1" si="19"/>
        <v/>
      </c>
      <c r="M165" s="82" t="str">
        <f t="shared" ca="1" si="19"/>
        <v/>
      </c>
      <c r="N165" s="82" t="str">
        <f t="shared" ca="1" si="19"/>
        <v/>
      </c>
      <c r="O165" s="82" t="str">
        <f t="shared" ca="1" si="19"/>
        <v/>
      </c>
      <c r="P165" s="82" t="str">
        <f t="shared" ca="1" si="19"/>
        <v/>
      </c>
      <c r="Q165" s="82" t="str">
        <f t="shared" ca="1" si="19"/>
        <v/>
      </c>
      <c r="R165" s="82" t="str">
        <f t="shared" ca="1" si="16"/>
        <v/>
      </c>
    </row>
    <row r="166" spans="1:18">
      <c r="A166" s="22">
        <v>158</v>
      </c>
      <c r="B166" s="23" t="str">
        <f t="shared" ca="1" si="17"/>
        <v/>
      </c>
      <c r="C166" s="82" t="str">
        <f t="shared" ca="1" si="19"/>
        <v/>
      </c>
      <c r="D166" s="82" t="str">
        <f t="shared" ca="1" si="19"/>
        <v/>
      </c>
      <c r="E166" s="82" t="str">
        <f t="shared" ca="1" si="19"/>
        <v/>
      </c>
      <c r="F166" s="82" t="str">
        <f t="shared" ca="1" si="19"/>
        <v/>
      </c>
      <c r="G166" s="82" t="str">
        <f t="shared" ca="1" si="19"/>
        <v/>
      </c>
      <c r="H166" s="82" t="str">
        <f t="shared" ca="1" si="19"/>
        <v/>
      </c>
      <c r="I166" s="82" t="str">
        <f t="shared" ca="1" si="19"/>
        <v/>
      </c>
      <c r="J166" s="82" t="str">
        <f t="shared" ca="1" si="19"/>
        <v/>
      </c>
      <c r="K166" s="82" t="str">
        <f t="shared" ca="1" si="19"/>
        <v/>
      </c>
      <c r="L166" s="82" t="str">
        <f t="shared" ca="1" si="19"/>
        <v/>
      </c>
      <c r="M166" s="82" t="str">
        <f t="shared" ca="1" si="19"/>
        <v/>
      </c>
      <c r="N166" s="82" t="str">
        <f t="shared" ca="1" si="19"/>
        <v/>
      </c>
      <c r="O166" s="82" t="str">
        <f t="shared" ca="1" si="19"/>
        <v/>
      </c>
      <c r="P166" s="82" t="str">
        <f t="shared" ca="1" si="19"/>
        <v/>
      </c>
      <c r="Q166" s="82" t="str">
        <f t="shared" ca="1" si="19"/>
        <v/>
      </c>
      <c r="R166" s="82" t="str">
        <f t="shared" ca="1" si="16"/>
        <v/>
      </c>
    </row>
    <row r="167" spans="1:18">
      <c r="A167" s="22">
        <v>159</v>
      </c>
      <c r="B167" s="23" t="str">
        <f t="shared" ca="1" si="17"/>
        <v/>
      </c>
      <c r="C167" s="82" t="str">
        <f t="shared" ca="1" si="19"/>
        <v/>
      </c>
      <c r="D167" s="82" t="str">
        <f t="shared" ca="1" si="19"/>
        <v/>
      </c>
      <c r="E167" s="82" t="str">
        <f t="shared" ca="1" si="19"/>
        <v/>
      </c>
      <c r="F167" s="82" t="str">
        <f t="shared" ca="1" si="19"/>
        <v/>
      </c>
      <c r="G167" s="82" t="str">
        <f t="shared" ca="1" si="19"/>
        <v/>
      </c>
      <c r="H167" s="82" t="str">
        <f t="shared" ca="1" si="19"/>
        <v/>
      </c>
      <c r="I167" s="82" t="str">
        <f t="shared" ca="1" si="19"/>
        <v/>
      </c>
      <c r="J167" s="82" t="str">
        <f t="shared" ca="1" si="19"/>
        <v/>
      </c>
      <c r="K167" s="82" t="str">
        <f t="shared" ca="1" si="19"/>
        <v/>
      </c>
      <c r="L167" s="82" t="str">
        <f t="shared" ca="1" si="19"/>
        <v/>
      </c>
      <c r="M167" s="82" t="str">
        <f t="shared" ca="1" si="19"/>
        <v/>
      </c>
      <c r="N167" s="82" t="str">
        <f t="shared" ca="1" si="19"/>
        <v/>
      </c>
      <c r="O167" s="82" t="str">
        <f t="shared" ca="1" si="19"/>
        <v/>
      </c>
      <c r="P167" s="82" t="str">
        <f t="shared" ca="1" si="19"/>
        <v/>
      </c>
      <c r="Q167" s="82" t="str">
        <f t="shared" ca="1" si="19"/>
        <v/>
      </c>
      <c r="R167" s="82" t="str">
        <f t="shared" ca="1" si="16"/>
        <v/>
      </c>
    </row>
    <row r="168" spans="1:18">
      <c r="A168" s="22">
        <v>160</v>
      </c>
      <c r="B168" s="23" t="str">
        <f t="shared" ca="1" si="17"/>
        <v/>
      </c>
      <c r="C168" s="82" t="str">
        <f t="shared" ca="1" si="19"/>
        <v/>
      </c>
      <c r="D168" s="82" t="str">
        <f t="shared" ca="1" si="19"/>
        <v/>
      </c>
      <c r="E168" s="82" t="str">
        <f t="shared" ca="1" si="19"/>
        <v/>
      </c>
      <c r="F168" s="82" t="str">
        <f t="shared" ca="1" si="19"/>
        <v/>
      </c>
      <c r="G168" s="82" t="str">
        <f t="shared" ca="1" si="19"/>
        <v/>
      </c>
      <c r="H168" s="82" t="str">
        <f t="shared" ca="1" si="19"/>
        <v/>
      </c>
      <c r="I168" s="82" t="str">
        <f t="shared" ca="1" si="19"/>
        <v/>
      </c>
      <c r="J168" s="82" t="str">
        <f t="shared" ca="1" si="19"/>
        <v/>
      </c>
      <c r="K168" s="82" t="str">
        <f t="shared" ca="1" si="19"/>
        <v/>
      </c>
      <c r="L168" s="82" t="str">
        <f t="shared" ca="1" si="19"/>
        <v/>
      </c>
      <c r="M168" s="82" t="str">
        <f t="shared" ca="1" si="19"/>
        <v/>
      </c>
      <c r="N168" s="82" t="str">
        <f t="shared" ca="1" si="19"/>
        <v/>
      </c>
      <c r="O168" s="82" t="str">
        <f t="shared" ca="1" si="19"/>
        <v/>
      </c>
      <c r="P168" s="82" t="str">
        <f t="shared" ca="1" si="19"/>
        <v/>
      </c>
      <c r="Q168" s="82" t="str">
        <f t="shared" ca="1" si="19"/>
        <v/>
      </c>
      <c r="R168" s="82" t="str">
        <f t="shared" ca="1" si="16"/>
        <v/>
      </c>
    </row>
    <row r="169" spans="1:18">
      <c r="A169" s="22">
        <v>161</v>
      </c>
      <c r="B169" s="23" t="str">
        <f t="shared" ca="1" si="17"/>
        <v/>
      </c>
      <c r="C169" s="82" t="str">
        <f t="shared" ca="1" si="19"/>
        <v/>
      </c>
      <c r="D169" s="82" t="str">
        <f t="shared" ca="1" si="19"/>
        <v/>
      </c>
      <c r="E169" s="82" t="str">
        <f t="shared" ca="1" si="19"/>
        <v/>
      </c>
      <c r="F169" s="82" t="str">
        <f t="shared" ca="1" si="19"/>
        <v/>
      </c>
      <c r="G169" s="82" t="str">
        <f t="shared" ca="1" si="19"/>
        <v/>
      </c>
      <c r="H169" s="82" t="str">
        <f t="shared" ca="1" si="19"/>
        <v/>
      </c>
      <c r="I169" s="82" t="str">
        <f t="shared" ca="1" si="19"/>
        <v/>
      </c>
      <c r="J169" s="82" t="str">
        <f t="shared" ca="1" si="19"/>
        <v/>
      </c>
      <c r="K169" s="82" t="str">
        <f t="shared" ca="1" si="19"/>
        <v/>
      </c>
      <c r="L169" s="82" t="str">
        <f t="shared" ca="1" si="19"/>
        <v/>
      </c>
      <c r="M169" s="82" t="str">
        <f t="shared" ca="1" si="19"/>
        <v/>
      </c>
      <c r="N169" s="82" t="str">
        <f t="shared" ca="1" si="19"/>
        <v/>
      </c>
      <c r="O169" s="82" t="str">
        <f t="shared" ca="1" si="19"/>
        <v/>
      </c>
      <c r="P169" s="82" t="str">
        <f t="shared" ca="1" si="19"/>
        <v/>
      </c>
      <c r="Q169" s="82" t="str">
        <f t="shared" ca="1" si="19"/>
        <v/>
      </c>
      <c r="R169" s="82" t="str">
        <f t="shared" ca="1" si="16"/>
        <v/>
      </c>
    </row>
    <row r="170" spans="1:18">
      <c r="A170" s="22">
        <v>162</v>
      </c>
      <c r="B170" s="23" t="str">
        <f t="shared" ca="1" si="17"/>
        <v/>
      </c>
      <c r="C170" s="82" t="str">
        <f t="shared" ca="1" si="19"/>
        <v/>
      </c>
      <c r="D170" s="82" t="str">
        <f t="shared" ca="1" si="19"/>
        <v/>
      </c>
      <c r="E170" s="82" t="str">
        <f t="shared" ca="1" si="19"/>
        <v/>
      </c>
      <c r="F170" s="82" t="str">
        <f t="shared" ca="1" si="19"/>
        <v/>
      </c>
      <c r="G170" s="82" t="str">
        <f t="shared" ca="1" si="19"/>
        <v/>
      </c>
      <c r="H170" s="82" t="str">
        <f t="shared" ca="1" si="19"/>
        <v/>
      </c>
      <c r="I170" s="82" t="str">
        <f t="shared" ca="1" si="19"/>
        <v/>
      </c>
      <c r="J170" s="82" t="str">
        <f t="shared" ca="1" si="19"/>
        <v/>
      </c>
      <c r="K170" s="82" t="str">
        <f t="shared" ca="1" si="19"/>
        <v/>
      </c>
      <c r="L170" s="82" t="str">
        <f t="shared" ca="1" si="19"/>
        <v/>
      </c>
      <c r="M170" s="82" t="str">
        <f t="shared" ca="1" si="19"/>
        <v/>
      </c>
      <c r="N170" s="82" t="str">
        <f t="shared" ca="1" si="19"/>
        <v/>
      </c>
      <c r="O170" s="82" t="str">
        <f t="shared" ca="1" si="19"/>
        <v/>
      </c>
      <c r="P170" s="82" t="str">
        <f t="shared" ca="1" si="19"/>
        <v/>
      </c>
      <c r="Q170" s="82" t="str">
        <f t="shared" ca="1" si="19"/>
        <v/>
      </c>
      <c r="R170" s="82" t="str">
        <f t="shared" ca="1" si="16"/>
        <v/>
      </c>
    </row>
    <row r="171" spans="1:18">
      <c r="A171" s="22">
        <v>163</v>
      </c>
      <c r="B171" s="23" t="str">
        <f t="shared" ca="1" si="17"/>
        <v/>
      </c>
      <c r="C171" s="82" t="str">
        <f t="shared" ca="1" si="19"/>
        <v/>
      </c>
      <c r="D171" s="82" t="str">
        <f t="shared" ca="1" si="19"/>
        <v/>
      </c>
      <c r="E171" s="82" t="str">
        <f t="shared" ca="1" si="19"/>
        <v/>
      </c>
      <c r="F171" s="82" t="str">
        <f t="shared" ca="1" si="19"/>
        <v/>
      </c>
      <c r="G171" s="82" t="str">
        <f t="shared" ca="1" si="19"/>
        <v/>
      </c>
      <c r="H171" s="82" t="str">
        <f t="shared" ca="1" si="19"/>
        <v/>
      </c>
      <c r="I171" s="82" t="str">
        <f t="shared" ca="1" si="19"/>
        <v/>
      </c>
      <c r="J171" s="82" t="str">
        <f t="shared" ca="1" si="19"/>
        <v/>
      </c>
      <c r="K171" s="82" t="str">
        <f t="shared" ca="1" si="19"/>
        <v/>
      </c>
      <c r="L171" s="82" t="str">
        <f t="shared" ca="1" si="19"/>
        <v/>
      </c>
      <c r="M171" s="82" t="str">
        <f t="shared" ca="1" si="19"/>
        <v/>
      </c>
      <c r="N171" s="82" t="str">
        <f t="shared" ca="1" si="19"/>
        <v/>
      </c>
      <c r="O171" s="82" t="str">
        <f t="shared" ca="1" si="19"/>
        <v/>
      </c>
      <c r="P171" s="82" t="str">
        <f t="shared" ca="1" si="19"/>
        <v/>
      </c>
      <c r="Q171" s="82" t="str">
        <f t="shared" ca="1" si="19"/>
        <v/>
      </c>
      <c r="R171" s="82" t="str">
        <f t="shared" ca="1" si="16"/>
        <v/>
      </c>
    </row>
    <row r="172" spans="1:18">
      <c r="A172" s="22">
        <v>164</v>
      </c>
      <c r="B172" s="23" t="str">
        <f t="shared" ca="1" si="17"/>
        <v/>
      </c>
      <c r="C172" s="82" t="str">
        <f t="shared" ca="1" si="19"/>
        <v/>
      </c>
      <c r="D172" s="82" t="str">
        <f t="shared" ca="1" si="19"/>
        <v/>
      </c>
      <c r="E172" s="82" t="str">
        <f t="shared" ca="1" si="19"/>
        <v/>
      </c>
      <c r="F172" s="82" t="str">
        <f t="shared" ca="1" si="19"/>
        <v/>
      </c>
      <c r="G172" s="82" t="str">
        <f t="shared" ca="1" si="19"/>
        <v/>
      </c>
      <c r="H172" s="82" t="str">
        <f t="shared" ca="1" si="19"/>
        <v/>
      </c>
      <c r="I172" s="82" t="str">
        <f t="shared" ca="1" si="19"/>
        <v/>
      </c>
      <c r="J172" s="82" t="str">
        <f t="shared" ca="1" si="19"/>
        <v/>
      </c>
      <c r="K172" s="82" t="str">
        <f t="shared" ca="1" si="19"/>
        <v/>
      </c>
      <c r="L172" s="82" t="str">
        <f t="shared" ca="1" si="19"/>
        <v/>
      </c>
      <c r="M172" s="82" t="str">
        <f t="shared" ca="1" si="19"/>
        <v/>
      </c>
      <c r="N172" s="82" t="str">
        <f t="shared" ca="1" si="19"/>
        <v/>
      </c>
      <c r="O172" s="82" t="str">
        <f t="shared" ca="1" si="19"/>
        <v/>
      </c>
      <c r="P172" s="82" t="str">
        <f t="shared" ca="1" si="19"/>
        <v/>
      </c>
      <c r="Q172" s="82" t="str">
        <f t="shared" ca="1" si="19"/>
        <v/>
      </c>
      <c r="R172" s="82" t="str">
        <f t="shared" ca="1" si="16"/>
        <v/>
      </c>
    </row>
    <row r="173" spans="1:18">
      <c r="A173" s="22">
        <v>165</v>
      </c>
      <c r="B173" s="23" t="str">
        <f t="shared" ca="1" si="17"/>
        <v/>
      </c>
      <c r="C173" s="82" t="str">
        <f t="shared" ca="1" si="19"/>
        <v/>
      </c>
      <c r="D173" s="82" t="str">
        <f t="shared" ca="1" si="19"/>
        <v/>
      </c>
      <c r="E173" s="82" t="str">
        <f t="shared" ca="1" si="19"/>
        <v/>
      </c>
      <c r="F173" s="82" t="str">
        <f t="shared" ca="1" si="19"/>
        <v/>
      </c>
      <c r="G173" s="82" t="str">
        <f t="shared" ca="1" si="19"/>
        <v/>
      </c>
      <c r="H173" s="82" t="str">
        <f t="shared" ca="1" si="19"/>
        <v/>
      </c>
      <c r="I173" s="82" t="str">
        <f t="shared" ca="1" si="19"/>
        <v/>
      </c>
      <c r="J173" s="82" t="str">
        <f t="shared" ca="1" si="19"/>
        <v/>
      </c>
      <c r="K173" s="82" t="str">
        <f t="shared" ca="1" si="19"/>
        <v/>
      </c>
      <c r="L173" s="82" t="str">
        <f t="shared" ca="1" si="19"/>
        <v/>
      </c>
      <c r="M173" s="82" t="str">
        <f t="shared" ca="1" si="19"/>
        <v/>
      </c>
      <c r="N173" s="82" t="str">
        <f t="shared" ca="1" si="19"/>
        <v/>
      </c>
      <c r="O173" s="82" t="str">
        <f t="shared" ca="1" si="19"/>
        <v/>
      </c>
      <c r="P173" s="82" t="str">
        <f t="shared" ca="1" si="19"/>
        <v/>
      </c>
      <c r="Q173" s="82" t="str">
        <f t="shared" ca="1" si="19"/>
        <v/>
      </c>
      <c r="R173" s="82" t="str">
        <f t="shared" ca="1" si="16"/>
        <v/>
      </c>
    </row>
    <row r="174" spans="1:18">
      <c r="A174" s="22">
        <v>166</v>
      </c>
      <c r="B174" s="23" t="str">
        <f t="shared" ca="1" si="17"/>
        <v/>
      </c>
      <c r="C174" s="82" t="str">
        <f t="shared" ca="1" si="19"/>
        <v/>
      </c>
      <c r="D174" s="82" t="str">
        <f t="shared" ca="1" si="19"/>
        <v/>
      </c>
      <c r="E174" s="82" t="str">
        <f t="shared" ca="1" si="19"/>
        <v/>
      </c>
      <c r="F174" s="82" t="str">
        <f t="shared" ca="1" si="19"/>
        <v/>
      </c>
      <c r="G174" s="82" t="str">
        <f t="shared" ca="1" si="19"/>
        <v/>
      </c>
      <c r="H174" s="82" t="str">
        <f t="shared" ca="1" si="19"/>
        <v/>
      </c>
      <c r="I174" s="82" t="str">
        <f t="shared" ca="1" si="19"/>
        <v/>
      </c>
      <c r="J174" s="82" t="str">
        <f t="shared" ca="1" si="19"/>
        <v/>
      </c>
      <c r="K174" s="82" t="str">
        <f t="shared" ca="1" si="19"/>
        <v/>
      </c>
      <c r="L174" s="82" t="str">
        <f t="shared" ca="1" si="19"/>
        <v/>
      </c>
      <c r="M174" s="82" t="str">
        <f t="shared" ca="1" si="19"/>
        <v/>
      </c>
      <c r="N174" s="82" t="str">
        <f t="shared" ca="1" si="19"/>
        <v/>
      </c>
      <c r="O174" s="82" t="str">
        <f t="shared" ca="1" si="19"/>
        <v/>
      </c>
      <c r="P174" s="82" t="str">
        <f t="shared" ca="1" si="19"/>
        <v/>
      </c>
      <c r="Q174" s="82" t="str">
        <f t="shared" ca="1" si="19"/>
        <v/>
      </c>
      <c r="R174" s="82" t="str">
        <f t="shared" ca="1" si="16"/>
        <v/>
      </c>
    </row>
    <row r="175" spans="1:18">
      <c r="A175" s="22">
        <v>167</v>
      </c>
      <c r="B175" s="23" t="str">
        <f t="shared" ca="1" si="17"/>
        <v/>
      </c>
      <c r="C175" s="82" t="str">
        <f t="shared" ca="1" si="19"/>
        <v/>
      </c>
      <c r="D175" s="82" t="str">
        <f t="shared" ca="1" si="19"/>
        <v/>
      </c>
      <c r="E175" s="82" t="str">
        <f t="shared" ca="1" si="19"/>
        <v/>
      </c>
      <c r="F175" s="82" t="str">
        <f t="shared" ca="1" si="19"/>
        <v/>
      </c>
      <c r="G175" s="82" t="str">
        <f t="shared" ca="1" si="19"/>
        <v/>
      </c>
      <c r="H175" s="82" t="str">
        <f t="shared" ca="1" si="19"/>
        <v/>
      </c>
      <c r="I175" s="82" t="str">
        <f t="shared" ca="1" si="19"/>
        <v/>
      </c>
      <c r="J175" s="82" t="str">
        <f t="shared" ca="1" si="19"/>
        <v/>
      </c>
      <c r="K175" s="82" t="str">
        <f t="shared" ca="1" si="19"/>
        <v/>
      </c>
      <c r="L175" s="82" t="str">
        <f t="shared" ca="1" si="19"/>
        <v/>
      </c>
      <c r="M175" s="82" t="str">
        <f t="shared" ca="1" si="19"/>
        <v/>
      </c>
      <c r="N175" s="82" t="str">
        <f t="shared" ca="1" si="19"/>
        <v/>
      </c>
      <c r="O175" s="82" t="str">
        <f t="shared" ca="1" si="19"/>
        <v/>
      </c>
      <c r="P175" s="82" t="str">
        <f t="shared" ca="1" si="19"/>
        <v/>
      </c>
      <c r="Q175" s="82" t="str">
        <f t="shared" ca="1" si="19"/>
        <v/>
      </c>
      <c r="R175" s="82" t="str">
        <f t="shared" ca="1" si="16"/>
        <v/>
      </c>
    </row>
    <row r="176" spans="1:18">
      <c r="A176" s="22">
        <v>168</v>
      </c>
      <c r="B176" s="23" t="str">
        <f t="shared" ca="1" si="17"/>
        <v/>
      </c>
      <c r="C176" s="82" t="str">
        <f t="shared" ca="1" si="19"/>
        <v/>
      </c>
      <c r="D176" s="82" t="str">
        <f t="shared" ca="1" si="19"/>
        <v/>
      </c>
      <c r="E176" s="82" t="str">
        <f t="shared" ca="1" si="19"/>
        <v/>
      </c>
      <c r="F176" s="82" t="str">
        <f t="shared" ca="1" si="19"/>
        <v/>
      </c>
      <c r="G176" s="82" t="str">
        <f t="shared" ca="1" si="19"/>
        <v/>
      </c>
      <c r="H176" s="82" t="str">
        <f t="shared" ca="1" si="19"/>
        <v/>
      </c>
      <c r="I176" s="82" t="str">
        <f t="shared" ca="1" si="19"/>
        <v/>
      </c>
      <c r="J176" s="82" t="str">
        <f t="shared" ca="1" si="19"/>
        <v/>
      </c>
      <c r="K176" s="82" t="str">
        <f t="shared" ca="1" si="19"/>
        <v/>
      </c>
      <c r="L176" s="82" t="str">
        <f t="shared" ca="1" si="19"/>
        <v/>
      </c>
      <c r="M176" s="82" t="str">
        <f t="shared" ca="1" si="19"/>
        <v/>
      </c>
      <c r="N176" s="82" t="str">
        <f t="shared" ca="1" si="19"/>
        <v/>
      </c>
      <c r="O176" s="82" t="str">
        <f t="shared" ca="1" si="19"/>
        <v/>
      </c>
      <c r="P176" s="82" t="str">
        <f t="shared" ca="1" si="19"/>
        <v/>
      </c>
      <c r="Q176" s="82" t="str">
        <f t="shared" ca="1" si="19"/>
        <v/>
      </c>
      <c r="R176" s="82" t="str">
        <f t="shared" ca="1" si="16"/>
        <v/>
      </c>
    </row>
    <row r="177" spans="1:18">
      <c r="A177" s="22">
        <v>169</v>
      </c>
      <c r="B177" s="23" t="str">
        <f t="shared" ca="1" si="17"/>
        <v/>
      </c>
      <c r="C177" s="82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82" t="str">
        <f t="shared" ca="1" si="20"/>
        <v/>
      </c>
      <c r="E177" s="82" t="str">
        <f t="shared" ca="1" si="20"/>
        <v/>
      </c>
      <c r="F177" s="82" t="str">
        <f t="shared" ca="1" si="20"/>
        <v/>
      </c>
      <c r="G177" s="82" t="str">
        <f t="shared" ca="1" si="20"/>
        <v/>
      </c>
      <c r="H177" s="82" t="str">
        <f t="shared" ca="1" si="20"/>
        <v/>
      </c>
      <c r="I177" s="82" t="str">
        <f t="shared" ca="1" si="20"/>
        <v/>
      </c>
      <c r="J177" s="82" t="str">
        <f t="shared" ca="1" si="20"/>
        <v/>
      </c>
      <c r="K177" s="82" t="str">
        <f t="shared" ca="1" si="20"/>
        <v/>
      </c>
      <c r="L177" s="82" t="str">
        <f t="shared" ca="1" si="20"/>
        <v/>
      </c>
      <c r="M177" s="82" t="str">
        <f t="shared" ca="1" si="20"/>
        <v/>
      </c>
      <c r="N177" s="82" t="str">
        <f t="shared" ca="1" si="20"/>
        <v/>
      </c>
      <c r="O177" s="82" t="str">
        <f t="shared" ca="1" si="20"/>
        <v/>
      </c>
      <c r="P177" s="82" t="str">
        <f t="shared" ca="1" si="20"/>
        <v/>
      </c>
      <c r="Q177" s="82" t="str">
        <f t="shared" ca="1" si="20"/>
        <v/>
      </c>
      <c r="R177" s="82" t="str">
        <f t="shared" ca="1" si="16"/>
        <v/>
      </c>
    </row>
    <row r="178" spans="1:18">
      <c r="A178" s="22">
        <v>170</v>
      </c>
      <c r="B178" s="23" t="str">
        <f t="shared" ca="1" si="17"/>
        <v/>
      </c>
      <c r="C178" s="82" t="str">
        <f t="shared" ca="1" si="20"/>
        <v/>
      </c>
      <c r="D178" s="82" t="str">
        <f t="shared" ca="1" si="20"/>
        <v/>
      </c>
      <c r="E178" s="82" t="str">
        <f t="shared" ca="1" si="20"/>
        <v/>
      </c>
      <c r="F178" s="82" t="str">
        <f t="shared" ca="1" si="20"/>
        <v/>
      </c>
      <c r="G178" s="82" t="str">
        <f t="shared" ca="1" si="20"/>
        <v/>
      </c>
      <c r="H178" s="82" t="str">
        <f t="shared" ca="1" si="20"/>
        <v/>
      </c>
      <c r="I178" s="82" t="str">
        <f t="shared" ca="1" si="20"/>
        <v/>
      </c>
      <c r="J178" s="82" t="str">
        <f t="shared" ca="1" si="20"/>
        <v/>
      </c>
      <c r="K178" s="82" t="str">
        <f t="shared" ca="1" si="20"/>
        <v/>
      </c>
      <c r="L178" s="82" t="str">
        <f t="shared" ca="1" si="20"/>
        <v/>
      </c>
      <c r="M178" s="82" t="str">
        <f t="shared" ca="1" si="20"/>
        <v/>
      </c>
      <c r="N178" s="82" t="str">
        <f t="shared" ca="1" si="20"/>
        <v/>
      </c>
      <c r="O178" s="82" t="str">
        <f t="shared" ca="1" si="20"/>
        <v/>
      </c>
      <c r="P178" s="82" t="str">
        <f t="shared" ca="1" si="20"/>
        <v/>
      </c>
      <c r="Q178" s="82" t="str">
        <f t="shared" ca="1" si="20"/>
        <v/>
      </c>
      <c r="R178" s="82" t="str">
        <f t="shared" ca="1" si="16"/>
        <v/>
      </c>
    </row>
    <row r="179" spans="1:18">
      <c r="A179" s="22">
        <v>171</v>
      </c>
      <c r="B179" s="23" t="str">
        <f t="shared" ca="1" si="17"/>
        <v/>
      </c>
      <c r="C179" s="82" t="str">
        <f t="shared" ca="1" si="20"/>
        <v/>
      </c>
      <c r="D179" s="82" t="str">
        <f t="shared" ca="1" si="20"/>
        <v/>
      </c>
      <c r="E179" s="82" t="str">
        <f t="shared" ca="1" si="20"/>
        <v/>
      </c>
      <c r="F179" s="82" t="str">
        <f t="shared" ca="1" si="20"/>
        <v/>
      </c>
      <c r="G179" s="82" t="str">
        <f t="shared" ca="1" si="20"/>
        <v/>
      </c>
      <c r="H179" s="82" t="str">
        <f t="shared" ca="1" si="20"/>
        <v/>
      </c>
      <c r="I179" s="82" t="str">
        <f t="shared" ca="1" si="20"/>
        <v/>
      </c>
      <c r="J179" s="82" t="str">
        <f t="shared" ca="1" si="20"/>
        <v/>
      </c>
      <c r="K179" s="82" t="str">
        <f t="shared" ca="1" si="20"/>
        <v/>
      </c>
      <c r="L179" s="82" t="str">
        <f t="shared" ca="1" si="20"/>
        <v/>
      </c>
      <c r="M179" s="82" t="str">
        <f t="shared" ca="1" si="20"/>
        <v/>
      </c>
      <c r="N179" s="82" t="str">
        <f t="shared" ca="1" si="20"/>
        <v/>
      </c>
      <c r="O179" s="82" t="str">
        <f t="shared" ca="1" si="20"/>
        <v/>
      </c>
      <c r="P179" s="82" t="str">
        <f t="shared" ca="1" si="20"/>
        <v/>
      </c>
      <c r="Q179" s="82" t="str">
        <f t="shared" ca="1" si="20"/>
        <v/>
      </c>
      <c r="R179" s="82" t="str">
        <f t="shared" ca="1" si="16"/>
        <v/>
      </c>
    </row>
    <row r="180" spans="1:18">
      <c r="A180" s="22">
        <v>172</v>
      </c>
      <c r="B180" s="23" t="str">
        <f t="shared" ca="1" si="17"/>
        <v/>
      </c>
      <c r="C180" s="82" t="str">
        <f t="shared" ca="1" si="20"/>
        <v/>
      </c>
      <c r="D180" s="82" t="str">
        <f t="shared" ca="1" si="20"/>
        <v/>
      </c>
      <c r="E180" s="82" t="str">
        <f t="shared" ca="1" si="20"/>
        <v/>
      </c>
      <c r="F180" s="82" t="str">
        <f t="shared" ca="1" si="20"/>
        <v/>
      </c>
      <c r="G180" s="82" t="str">
        <f t="shared" ca="1" si="20"/>
        <v/>
      </c>
      <c r="H180" s="82" t="str">
        <f t="shared" ca="1" si="20"/>
        <v/>
      </c>
      <c r="I180" s="82" t="str">
        <f t="shared" ca="1" si="20"/>
        <v/>
      </c>
      <c r="J180" s="82" t="str">
        <f t="shared" ca="1" si="20"/>
        <v/>
      </c>
      <c r="K180" s="82" t="str">
        <f t="shared" ca="1" si="20"/>
        <v/>
      </c>
      <c r="L180" s="82" t="str">
        <f t="shared" ca="1" si="20"/>
        <v/>
      </c>
      <c r="M180" s="82" t="str">
        <f t="shared" ca="1" si="20"/>
        <v/>
      </c>
      <c r="N180" s="82" t="str">
        <f t="shared" ca="1" si="20"/>
        <v/>
      </c>
      <c r="O180" s="82" t="str">
        <f t="shared" ca="1" si="20"/>
        <v/>
      </c>
      <c r="P180" s="82" t="str">
        <f t="shared" ca="1" si="20"/>
        <v/>
      </c>
      <c r="Q180" s="82" t="str">
        <f t="shared" ca="1" si="20"/>
        <v/>
      </c>
      <c r="R180" s="82" t="str">
        <f t="shared" ca="1" si="16"/>
        <v/>
      </c>
    </row>
    <row r="181" spans="1:18">
      <c r="A181" s="22">
        <v>173</v>
      </c>
      <c r="B181" s="23" t="str">
        <f t="shared" ca="1" si="17"/>
        <v/>
      </c>
      <c r="C181" s="82" t="str">
        <f t="shared" ca="1" si="20"/>
        <v/>
      </c>
      <c r="D181" s="82" t="str">
        <f t="shared" ca="1" si="20"/>
        <v/>
      </c>
      <c r="E181" s="82" t="str">
        <f t="shared" ca="1" si="20"/>
        <v/>
      </c>
      <c r="F181" s="82" t="str">
        <f t="shared" ca="1" si="20"/>
        <v/>
      </c>
      <c r="G181" s="82" t="str">
        <f t="shared" ca="1" si="20"/>
        <v/>
      </c>
      <c r="H181" s="82" t="str">
        <f t="shared" ca="1" si="20"/>
        <v/>
      </c>
      <c r="I181" s="82" t="str">
        <f t="shared" ca="1" si="20"/>
        <v/>
      </c>
      <c r="J181" s="82" t="str">
        <f t="shared" ca="1" si="20"/>
        <v/>
      </c>
      <c r="K181" s="82" t="str">
        <f t="shared" ca="1" si="20"/>
        <v/>
      </c>
      <c r="L181" s="82" t="str">
        <f t="shared" ca="1" si="20"/>
        <v/>
      </c>
      <c r="M181" s="82" t="str">
        <f t="shared" ca="1" si="20"/>
        <v/>
      </c>
      <c r="N181" s="82" t="str">
        <f t="shared" ca="1" si="20"/>
        <v/>
      </c>
      <c r="O181" s="82" t="str">
        <f t="shared" ca="1" si="20"/>
        <v/>
      </c>
      <c r="P181" s="82" t="str">
        <f t="shared" ca="1" si="20"/>
        <v/>
      </c>
      <c r="Q181" s="82" t="str">
        <f t="shared" ca="1" si="20"/>
        <v/>
      </c>
      <c r="R181" s="82" t="str">
        <f t="shared" ca="1" si="16"/>
        <v/>
      </c>
    </row>
    <row r="182" spans="1:18">
      <c r="A182" s="22">
        <v>174</v>
      </c>
      <c r="B182" s="23" t="str">
        <f t="shared" ca="1" si="17"/>
        <v/>
      </c>
      <c r="C182" s="82" t="str">
        <f t="shared" ca="1" si="20"/>
        <v/>
      </c>
      <c r="D182" s="82" t="str">
        <f t="shared" ca="1" si="20"/>
        <v/>
      </c>
      <c r="E182" s="82" t="str">
        <f t="shared" ca="1" si="20"/>
        <v/>
      </c>
      <c r="F182" s="82" t="str">
        <f t="shared" ca="1" si="20"/>
        <v/>
      </c>
      <c r="G182" s="82" t="str">
        <f t="shared" ca="1" si="20"/>
        <v/>
      </c>
      <c r="H182" s="82" t="str">
        <f t="shared" ca="1" si="20"/>
        <v/>
      </c>
      <c r="I182" s="82" t="str">
        <f t="shared" ca="1" si="20"/>
        <v/>
      </c>
      <c r="J182" s="82" t="str">
        <f t="shared" ca="1" si="20"/>
        <v/>
      </c>
      <c r="K182" s="82" t="str">
        <f t="shared" ca="1" si="20"/>
        <v/>
      </c>
      <c r="L182" s="82" t="str">
        <f t="shared" ca="1" si="20"/>
        <v/>
      </c>
      <c r="M182" s="82" t="str">
        <f t="shared" ca="1" si="20"/>
        <v/>
      </c>
      <c r="N182" s="82" t="str">
        <f t="shared" ca="1" si="20"/>
        <v/>
      </c>
      <c r="O182" s="82" t="str">
        <f t="shared" ca="1" si="20"/>
        <v/>
      </c>
      <c r="P182" s="82" t="str">
        <f t="shared" ca="1" si="20"/>
        <v/>
      </c>
      <c r="Q182" s="82" t="str">
        <f t="shared" ca="1" si="20"/>
        <v/>
      </c>
      <c r="R182" s="82" t="str">
        <f t="shared" ca="1" si="16"/>
        <v/>
      </c>
    </row>
    <row r="183" spans="1:18">
      <c r="A183" s="22">
        <v>175</v>
      </c>
      <c r="B183" s="23" t="str">
        <f t="shared" ca="1" si="17"/>
        <v/>
      </c>
      <c r="C183" s="82" t="str">
        <f t="shared" ca="1" si="20"/>
        <v/>
      </c>
      <c r="D183" s="82" t="str">
        <f t="shared" ca="1" si="20"/>
        <v/>
      </c>
      <c r="E183" s="82" t="str">
        <f t="shared" ca="1" si="20"/>
        <v/>
      </c>
      <c r="F183" s="82" t="str">
        <f t="shared" ca="1" si="20"/>
        <v/>
      </c>
      <c r="G183" s="82" t="str">
        <f t="shared" ca="1" si="20"/>
        <v/>
      </c>
      <c r="H183" s="82" t="str">
        <f t="shared" ca="1" si="20"/>
        <v/>
      </c>
      <c r="I183" s="82" t="str">
        <f t="shared" ca="1" si="20"/>
        <v/>
      </c>
      <c r="J183" s="82" t="str">
        <f t="shared" ca="1" si="20"/>
        <v/>
      </c>
      <c r="K183" s="82" t="str">
        <f t="shared" ca="1" si="20"/>
        <v/>
      </c>
      <c r="L183" s="82" t="str">
        <f t="shared" ca="1" si="20"/>
        <v/>
      </c>
      <c r="M183" s="82" t="str">
        <f t="shared" ca="1" si="20"/>
        <v/>
      </c>
      <c r="N183" s="82" t="str">
        <f t="shared" ca="1" si="20"/>
        <v/>
      </c>
      <c r="O183" s="82" t="str">
        <f t="shared" ca="1" si="20"/>
        <v/>
      </c>
      <c r="P183" s="82" t="str">
        <f t="shared" ca="1" si="20"/>
        <v/>
      </c>
      <c r="Q183" s="82" t="str">
        <f t="shared" ca="1" si="20"/>
        <v/>
      </c>
      <c r="R183" s="82" t="str">
        <f t="shared" ca="1" si="16"/>
        <v/>
      </c>
    </row>
    <row r="184" spans="1:18">
      <c r="A184" s="22">
        <v>176</v>
      </c>
      <c r="B184" s="23" t="str">
        <f t="shared" ca="1" si="17"/>
        <v/>
      </c>
      <c r="C184" s="82" t="str">
        <f t="shared" ca="1" si="20"/>
        <v/>
      </c>
      <c r="D184" s="82" t="str">
        <f t="shared" ca="1" si="20"/>
        <v/>
      </c>
      <c r="E184" s="82" t="str">
        <f t="shared" ca="1" si="20"/>
        <v/>
      </c>
      <c r="F184" s="82" t="str">
        <f t="shared" ca="1" si="20"/>
        <v/>
      </c>
      <c r="G184" s="82" t="str">
        <f t="shared" ca="1" si="20"/>
        <v/>
      </c>
      <c r="H184" s="82" t="str">
        <f t="shared" ca="1" si="20"/>
        <v/>
      </c>
      <c r="I184" s="82" t="str">
        <f t="shared" ca="1" si="20"/>
        <v/>
      </c>
      <c r="J184" s="82" t="str">
        <f t="shared" ca="1" si="20"/>
        <v/>
      </c>
      <c r="K184" s="82" t="str">
        <f t="shared" ca="1" si="20"/>
        <v/>
      </c>
      <c r="L184" s="82" t="str">
        <f t="shared" ca="1" si="20"/>
        <v/>
      </c>
      <c r="M184" s="82" t="str">
        <f t="shared" ca="1" si="20"/>
        <v/>
      </c>
      <c r="N184" s="82" t="str">
        <f t="shared" ca="1" si="20"/>
        <v/>
      </c>
      <c r="O184" s="82" t="str">
        <f t="shared" ca="1" si="20"/>
        <v/>
      </c>
      <c r="P184" s="82" t="str">
        <f t="shared" ca="1" si="20"/>
        <v/>
      </c>
      <c r="Q184" s="82" t="str">
        <f t="shared" ca="1" si="20"/>
        <v/>
      </c>
      <c r="R184" s="82" t="str">
        <f t="shared" ca="1" si="16"/>
        <v/>
      </c>
    </row>
    <row r="185" spans="1:18">
      <c r="A185" s="22">
        <v>177</v>
      </c>
      <c r="B185" s="23" t="str">
        <f t="shared" ca="1" si="17"/>
        <v/>
      </c>
      <c r="C185" s="82" t="str">
        <f t="shared" ca="1" si="20"/>
        <v/>
      </c>
      <c r="D185" s="82" t="str">
        <f t="shared" ca="1" si="20"/>
        <v/>
      </c>
      <c r="E185" s="82" t="str">
        <f t="shared" ca="1" si="20"/>
        <v/>
      </c>
      <c r="F185" s="82" t="str">
        <f t="shared" ca="1" si="20"/>
        <v/>
      </c>
      <c r="G185" s="82" t="str">
        <f t="shared" ca="1" si="20"/>
        <v/>
      </c>
      <c r="H185" s="82" t="str">
        <f t="shared" ca="1" si="20"/>
        <v/>
      </c>
      <c r="I185" s="82" t="str">
        <f t="shared" ca="1" si="20"/>
        <v/>
      </c>
      <c r="J185" s="82" t="str">
        <f t="shared" ca="1" si="20"/>
        <v/>
      </c>
      <c r="K185" s="82" t="str">
        <f t="shared" ca="1" si="20"/>
        <v/>
      </c>
      <c r="L185" s="82" t="str">
        <f t="shared" ca="1" si="20"/>
        <v/>
      </c>
      <c r="M185" s="82" t="str">
        <f t="shared" ca="1" si="20"/>
        <v/>
      </c>
      <c r="N185" s="82" t="str">
        <f t="shared" ca="1" si="20"/>
        <v/>
      </c>
      <c r="O185" s="82" t="str">
        <f t="shared" ca="1" si="20"/>
        <v/>
      </c>
      <c r="P185" s="82" t="str">
        <f t="shared" ca="1" si="20"/>
        <v/>
      </c>
      <c r="Q185" s="82" t="str">
        <f t="shared" ca="1" si="20"/>
        <v/>
      </c>
      <c r="R185" s="82" t="str">
        <f t="shared" ca="1" si="16"/>
        <v/>
      </c>
    </row>
    <row r="186" spans="1:18">
      <c r="A186" s="22">
        <v>178</v>
      </c>
      <c r="B186" s="23" t="str">
        <f t="shared" ca="1" si="17"/>
        <v/>
      </c>
      <c r="C186" s="82" t="str">
        <f t="shared" ca="1" si="20"/>
        <v/>
      </c>
      <c r="D186" s="82" t="str">
        <f t="shared" ca="1" si="20"/>
        <v/>
      </c>
      <c r="E186" s="82" t="str">
        <f t="shared" ca="1" si="20"/>
        <v/>
      </c>
      <c r="F186" s="82" t="str">
        <f t="shared" ca="1" si="20"/>
        <v/>
      </c>
      <c r="G186" s="82" t="str">
        <f t="shared" ca="1" si="20"/>
        <v/>
      </c>
      <c r="H186" s="82" t="str">
        <f t="shared" ca="1" si="20"/>
        <v/>
      </c>
      <c r="I186" s="82" t="str">
        <f t="shared" ca="1" si="20"/>
        <v/>
      </c>
      <c r="J186" s="82" t="str">
        <f t="shared" ca="1" si="20"/>
        <v/>
      </c>
      <c r="K186" s="82" t="str">
        <f t="shared" ca="1" si="20"/>
        <v/>
      </c>
      <c r="L186" s="82" t="str">
        <f t="shared" ca="1" si="20"/>
        <v/>
      </c>
      <c r="M186" s="82" t="str">
        <f t="shared" ca="1" si="20"/>
        <v/>
      </c>
      <c r="N186" s="82" t="str">
        <f t="shared" ca="1" si="20"/>
        <v/>
      </c>
      <c r="O186" s="82" t="str">
        <f t="shared" ca="1" si="20"/>
        <v/>
      </c>
      <c r="P186" s="82" t="str">
        <f t="shared" ca="1" si="20"/>
        <v/>
      </c>
      <c r="Q186" s="82" t="str">
        <f t="shared" ca="1" si="20"/>
        <v/>
      </c>
      <c r="R186" s="82" t="str">
        <f t="shared" ca="1" si="16"/>
        <v/>
      </c>
    </row>
    <row r="187" spans="1:18">
      <c r="A187" s="22">
        <v>179</v>
      </c>
      <c r="B187" s="23" t="str">
        <f t="shared" ca="1" si="17"/>
        <v/>
      </c>
      <c r="C187" s="82" t="str">
        <f t="shared" ca="1" si="20"/>
        <v/>
      </c>
      <c r="D187" s="82" t="str">
        <f t="shared" ca="1" si="20"/>
        <v/>
      </c>
      <c r="E187" s="82" t="str">
        <f t="shared" ca="1" si="20"/>
        <v/>
      </c>
      <c r="F187" s="82" t="str">
        <f t="shared" ca="1" si="20"/>
        <v/>
      </c>
      <c r="G187" s="82" t="str">
        <f t="shared" ca="1" si="20"/>
        <v/>
      </c>
      <c r="H187" s="82" t="str">
        <f t="shared" ca="1" si="20"/>
        <v/>
      </c>
      <c r="I187" s="82" t="str">
        <f t="shared" ca="1" si="20"/>
        <v/>
      </c>
      <c r="J187" s="82" t="str">
        <f t="shared" ca="1" si="20"/>
        <v/>
      </c>
      <c r="K187" s="82" t="str">
        <f t="shared" ca="1" si="20"/>
        <v/>
      </c>
      <c r="L187" s="82" t="str">
        <f t="shared" ca="1" si="20"/>
        <v/>
      </c>
      <c r="M187" s="82" t="str">
        <f t="shared" ca="1" si="20"/>
        <v/>
      </c>
      <c r="N187" s="82" t="str">
        <f t="shared" ca="1" si="20"/>
        <v/>
      </c>
      <c r="O187" s="82" t="str">
        <f t="shared" ca="1" si="20"/>
        <v/>
      </c>
      <c r="P187" s="82" t="str">
        <f t="shared" ca="1" si="20"/>
        <v/>
      </c>
      <c r="Q187" s="82" t="str">
        <f t="shared" ca="1" si="20"/>
        <v/>
      </c>
      <c r="R187" s="82" t="str">
        <f t="shared" ca="1" si="16"/>
        <v/>
      </c>
    </row>
    <row r="188" spans="1:18">
      <c r="A188" s="22">
        <v>180</v>
      </c>
      <c r="B188" s="23" t="str">
        <f t="shared" ca="1" si="17"/>
        <v/>
      </c>
      <c r="C188" s="82" t="str">
        <f t="shared" ca="1" si="20"/>
        <v/>
      </c>
      <c r="D188" s="82" t="str">
        <f t="shared" ca="1" si="20"/>
        <v/>
      </c>
      <c r="E188" s="82" t="str">
        <f t="shared" ca="1" si="20"/>
        <v/>
      </c>
      <c r="F188" s="82" t="str">
        <f t="shared" ca="1" si="20"/>
        <v/>
      </c>
      <c r="G188" s="82" t="str">
        <f t="shared" ca="1" si="20"/>
        <v/>
      </c>
      <c r="H188" s="82" t="str">
        <f t="shared" ca="1" si="20"/>
        <v/>
      </c>
      <c r="I188" s="82" t="str">
        <f t="shared" ca="1" si="20"/>
        <v/>
      </c>
      <c r="J188" s="82" t="str">
        <f t="shared" ca="1" si="20"/>
        <v/>
      </c>
      <c r="K188" s="82" t="str">
        <f t="shared" ca="1" si="20"/>
        <v/>
      </c>
      <c r="L188" s="82" t="str">
        <f t="shared" ca="1" si="20"/>
        <v/>
      </c>
      <c r="M188" s="82" t="str">
        <f t="shared" ca="1" si="20"/>
        <v/>
      </c>
      <c r="N188" s="82" t="str">
        <f t="shared" ca="1" si="20"/>
        <v/>
      </c>
      <c r="O188" s="82" t="str">
        <f t="shared" ca="1" si="20"/>
        <v/>
      </c>
      <c r="P188" s="82" t="str">
        <f t="shared" ca="1" si="20"/>
        <v/>
      </c>
      <c r="Q188" s="82" t="str">
        <f t="shared" ca="1" si="20"/>
        <v/>
      </c>
      <c r="R188" s="82" t="str">
        <f t="shared" ca="1" si="16"/>
        <v/>
      </c>
    </row>
    <row r="189" spans="1:18">
      <c r="A189" s="22">
        <v>181</v>
      </c>
      <c r="B189" s="23" t="str">
        <f t="shared" ca="1" si="17"/>
        <v/>
      </c>
      <c r="C189" s="82" t="str">
        <f t="shared" ca="1" si="20"/>
        <v/>
      </c>
      <c r="D189" s="82" t="str">
        <f t="shared" ca="1" si="20"/>
        <v/>
      </c>
      <c r="E189" s="82" t="str">
        <f t="shared" ca="1" si="20"/>
        <v/>
      </c>
      <c r="F189" s="82" t="str">
        <f t="shared" ca="1" si="20"/>
        <v/>
      </c>
      <c r="G189" s="82" t="str">
        <f t="shared" ca="1" si="20"/>
        <v/>
      </c>
      <c r="H189" s="82" t="str">
        <f t="shared" ca="1" si="20"/>
        <v/>
      </c>
      <c r="I189" s="82" t="str">
        <f t="shared" ca="1" si="20"/>
        <v/>
      </c>
      <c r="J189" s="82" t="str">
        <f t="shared" ca="1" si="20"/>
        <v/>
      </c>
      <c r="K189" s="82" t="str">
        <f t="shared" ca="1" si="20"/>
        <v/>
      </c>
      <c r="L189" s="82" t="str">
        <f t="shared" ca="1" si="20"/>
        <v/>
      </c>
      <c r="M189" s="82" t="str">
        <f t="shared" ca="1" si="20"/>
        <v/>
      </c>
      <c r="N189" s="82" t="str">
        <f t="shared" ca="1" si="20"/>
        <v/>
      </c>
      <c r="O189" s="82" t="str">
        <f t="shared" ca="1" si="20"/>
        <v/>
      </c>
      <c r="P189" s="82" t="str">
        <f t="shared" ca="1" si="20"/>
        <v/>
      </c>
      <c r="Q189" s="82" t="str">
        <f t="shared" ca="1" si="20"/>
        <v/>
      </c>
      <c r="R189" s="82" t="str">
        <f t="shared" ca="1" si="16"/>
        <v/>
      </c>
    </row>
    <row r="190" spans="1:18">
      <c r="A190" s="22">
        <v>182</v>
      </c>
      <c r="B190" s="23" t="str">
        <f t="shared" ca="1" si="17"/>
        <v/>
      </c>
      <c r="C190" s="82" t="str">
        <f t="shared" ca="1" si="20"/>
        <v/>
      </c>
      <c r="D190" s="82" t="str">
        <f t="shared" ca="1" si="20"/>
        <v/>
      </c>
      <c r="E190" s="82" t="str">
        <f t="shared" ca="1" si="20"/>
        <v/>
      </c>
      <c r="F190" s="82" t="str">
        <f t="shared" ca="1" si="20"/>
        <v/>
      </c>
      <c r="G190" s="82" t="str">
        <f t="shared" ca="1" si="20"/>
        <v/>
      </c>
      <c r="H190" s="82" t="str">
        <f t="shared" ca="1" si="20"/>
        <v/>
      </c>
      <c r="I190" s="82" t="str">
        <f t="shared" ca="1" si="20"/>
        <v/>
      </c>
      <c r="J190" s="82" t="str">
        <f t="shared" ca="1" si="20"/>
        <v/>
      </c>
      <c r="K190" s="82" t="str">
        <f t="shared" ca="1" si="20"/>
        <v/>
      </c>
      <c r="L190" s="82" t="str">
        <f t="shared" ca="1" si="20"/>
        <v/>
      </c>
      <c r="M190" s="82" t="str">
        <f t="shared" ca="1" si="20"/>
        <v/>
      </c>
      <c r="N190" s="82" t="str">
        <f t="shared" ca="1" si="20"/>
        <v/>
      </c>
      <c r="O190" s="82" t="str">
        <f t="shared" ca="1" si="20"/>
        <v/>
      </c>
      <c r="P190" s="82" t="str">
        <f t="shared" ca="1" si="20"/>
        <v/>
      </c>
      <c r="Q190" s="82" t="str">
        <f t="shared" ca="1" si="20"/>
        <v/>
      </c>
      <c r="R190" s="82" t="str">
        <f t="shared" ca="1" si="16"/>
        <v/>
      </c>
    </row>
    <row r="191" spans="1:18">
      <c r="A191" s="22">
        <v>183</v>
      </c>
      <c r="B191" s="23" t="str">
        <f t="shared" ca="1" si="17"/>
        <v/>
      </c>
      <c r="C191" s="82" t="str">
        <f t="shared" ca="1" si="20"/>
        <v/>
      </c>
      <c r="D191" s="82" t="str">
        <f t="shared" ca="1" si="20"/>
        <v/>
      </c>
      <c r="E191" s="82" t="str">
        <f t="shared" ca="1" si="20"/>
        <v/>
      </c>
      <c r="F191" s="82" t="str">
        <f t="shared" ca="1" si="20"/>
        <v/>
      </c>
      <c r="G191" s="82" t="str">
        <f t="shared" ca="1" si="20"/>
        <v/>
      </c>
      <c r="H191" s="82" t="str">
        <f t="shared" ca="1" si="20"/>
        <v/>
      </c>
      <c r="I191" s="82" t="str">
        <f t="shared" ca="1" si="20"/>
        <v/>
      </c>
      <c r="J191" s="82" t="str">
        <f t="shared" ca="1" si="20"/>
        <v/>
      </c>
      <c r="K191" s="82" t="str">
        <f t="shared" ca="1" si="20"/>
        <v/>
      </c>
      <c r="L191" s="82" t="str">
        <f t="shared" ca="1" si="20"/>
        <v/>
      </c>
      <c r="M191" s="82" t="str">
        <f t="shared" ca="1" si="20"/>
        <v/>
      </c>
      <c r="N191" s="82" t="str">
        <f t="shared" ca="1" si="20"/>
        <v/>
      </c>
      <c r="O191" s="82" t="str">
        <f t="shared" ca="1" si="20"/>
        <v/>
      </c>
      <c r="P191" s="82" t="str">
        <f t="shared" ca="1" si="20"/>
        <v/>
      </c>
      <c r="Q191" s="82" t="str">
        <f t="shared" ca="1" si="20"/>
        <v/>
      </c>
      <c r="R191" s="82" t="str">
        <f t="shared" ca="1" si="16"/>
        <v/>
      </c>
    </row>
    <row r="192" spans="1:18">
      <c r="A192" s="22">
        <v>184</v>
      </c>
      <c r="B192" s="23" t="str">
        <f t="shared" ca="1" si="17"/>
        <v/>
      </c>
      <c r="C192" s="82" t="str">
        <f t="shared" ca="1" si="20"/>
        <v/>
      </c>
      <c r="D192" s="82" t="str">
        <f t="shared" ca="1" si="20"/>
        <v/>
      </c>
      <c r="E192" s="82" t="str">
        <f t="shared" ca="1" si="20"/>
        <v/>
      </c>
      <c r="F192" s="82" t="str">
        <f t="shared" ca="1" si="20"/>
        <v/>
      </c>
      <c r="G192" s="82" t="str">
        <f t="shared" ca="1" si="20"/>
        <v/>
      </c>
      <c r="H192" s="82" t="str">
        <f t="shared" ca="1" si="20"/>
        <v/>
      </c>
      <c r="I192" s="82" t="str">
        <f t="shared" ca="1" si="20"/>
        <v/>
      </c>
      <c r="J192" s="82" t="str">
        <f t="shared" ca="1" si="20"/>
        <v/>
      </c>
      <c r="K192" s="82" t="str">
        <f t="shared" ca="1" si="20"/>
        <v/>
      </c>
      <c r="L192" s="82" t="str">
        <f t="shared" ca="1" si="20"/>
        <v/>
      </c>
      <c r="M192" s="82" t="str">
        <f t="shared" ca="1" si="20"/>
        <v/>
      </c>
      <c r="N192" s="82" t="str">
        <f t="shared" ca="1" si="20"/>
        <v/>
      </c>
      <c r="O192" s="82" t="str">
        <f t="shared" ca="1" si="20"/>
        <v/>
      </c>
      <c r="P192" s="82" t="str">
        <f t="shared" ca="1" si="20"/>
        <v/>
      </c>
      <c r="Q192" s="82" t="str">
        <f t="shared" ca="1" si="20"/>
        <v/>
      </c>
      <c r="R192" s="82" t="str">
        <f t="shared" ca="1" si="16"/>
        <v/>
      </c>
    </row>
    <row r="193" spans="1:18">
      <c r="A193" s="22">
        <v>185</v>
      </c>
      <c r="B193" s="23" t="str">
        <f t="shared" ca="1" si="17"/>
        <v/>
      </c>
      <c r="C193" s="82" t="str">
        <f t="shared" ca="1" si="20"/>
        <v/>
      </c>
      <c r="D193" s="82" t="str">
        <f t="shared" ca="1" si="20"/>
        <v/>
      </c>
      <c r="E193" s="82" t="str">
        <f t="shared" ca="1" si="20"/>
        <v/>
      </c>
      <c r="F193" s="82" t="str">
        <f t="shared" ca="1" si="20"/>
        <v/>
      </c>
      <c r="G193" s="82" t="str">
        <f t="shared" ca="1" si="20"/>
        <v/>
      </c>
      <c r="H193" s="82" t="str">
        <f t="shared" ca="1" si="20"/>
        <v/>
      </c>
      <c r="I193" s="82" t="str">
        <f t="shared" ca="1" si="20"/>
        <v/>
      </c>
      <c r="J193" s="82" t="str">
        <f t="shared" ca="1" si="20"/>
        <v/>
      </c>
      <c r="K193" s="82" t="str">
        <f t="shared" ca="1" si="20"/>
        <v/>
      </c>
      <c r="L193" s="82" t="str">
        <f t="shared" ca="1" si="20"/>
        <v/>
      </c>
      <c r="M193" s="82" t="str">
        <f t="shared" ca="1" si="20"/>
        <v/>
      </c>
      <c r="N193" s="82" t="str">
        <f t="shared" ca="1" si="20"/>
        <v/>
      </c>
      <c r="O193" s="82" t="str">
        <f t="shared" ca="1" si="20"/>
        <v/>
      </c>
      <c r="P193" s="82" t="str">
        <f t="shared" ca="1" si="20"/>
        <v/>
      </c>
      <c r="Q193" s="82" t="str">
        <f t="shared" ca="1" si="20"/>
        <v/>
      </c>
      <c r="R193" s="82" t="str">
        <f t="shared" ca="1" si="16"/>
        <v/>
      </c>
    </row>
    <row r="194" spans="1:18">
      <c r="A194" s="22">
        <v>186</v>
      </c>
      <c r="B194" s="23" t="str">
        <f t="shared" ca="1" si="17"/>
        <v/>
      </c>
      <c r="C194" s="82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82" t="str">
        <f t="shared" ca="1" si="21"/>
        <v/>
      </c>
      <c r="E194" s="82" t="str">
        <f t="shared" ca="1" si="21"/>
        <v/>
      </c>
      <c r="F194" s="82" t="str">
        <f t="shared" ca="1" si="21"/>
        <v/>
      </c>
      <c r="G194" s="82" t="str">
        <f t="shared" ca="1" si="21"/>
        <v/>
      </c>
      <c r="H194" s="82" t="str">
        <f t="shared" ca="1" si="21"/>
        <v/>
      </c>
      <c r="I194" s="82" t="str">
        <f t="shared" ca="1" si="21"/>
        <v/>
      </c>
      <c r="J194" s="82" t="str">
        <f t="shared" ca="1" si="21"/>
        <v/>
      </c>
      <c r="K194" s="82" t="str">
        <f t="shared" ca="1" si="21"/>
        <v/>
      </c>
      <c r="L194" s="82" t="str">
        <f t="shared" ca="1" si="21"/>
        <v/>
      </c>
      <c r="M194" s="82" t="str">
        <f t="shared" ca="1" si="21"/>
        <v/>
      </c>
      <c r="N194" s="82" t="str">
        <f t="shared" ca="1" si="21"/>
        <v/>
      </c>
      <c r="O194" s="82" t="str">
        <f t="shared" ca="1" si="21"/>
        <v/>
      </c>
      <c r="P194" s="82" t="str">
        <f t="shared" ca="1" si="21"/>
        <v/>
      </c>
      <c r="Q194" s="82" t="str">
        <f t="shared" ca="1" si="21"/>
        <v/>
      </c>
      <c r="R194" s="82" t="str">
        <f t="shared" ca="1" si="16"/>
        <v/>
      </c>
    </row>
    <row r="195" spans="1:18">
      <c r="A195" s="22">
        <v>187</v>
      </c>
      <c r="B195" s="23" t="str">
        <f t="shared" ca="1" si="17"/>
        <v/>
      </c>
      <c r="C195" s="82" t="str">
        <f t="shared" ca="1" si="21"/>
        <v/>
      </c>
      <c r="D195" s="82" t="str">
        <f t="shared" ca="1" si="21"/>
        <v/>
      </c>
      <c r="E195" s="82" t="str">
        <f t="shared" ca="1" si="21"/>
        <v/>
      </c>
      <c r="F195" s="82" t="str">
        <f t="shared" ca="1" si="21"/>
        <v/>
      </c>
      <c r="G195" s="82" t="str">
        <f t="shared" ca="1" si="21"/>
        <v/>
      </c>
      <c r="H195" s="82" t="str">
        <f t="shared" ca="1" si="21"/>
        <v/>
      </c>
      <c r="I195" s="82" t="str">
        <f t="shared" ca="1" si="21"/>
        <v/>
      </c>
      <c r="J195" s="82" t="str">
        <f t="shared" ca="1" si="21"/>
        <v/>
      </c>
      <c r="K195" s="82" t="str">
        <f t="shared" ca="1" si="21"/>
        <v/>
      </c>
      <c r="L195" s="82" t="str">
        <f t="shared" ca="1" si="21"/>
        <v/>
      </c>
      <c r="M195" s="82" t="str">
        <f t="shared" ca="1" si="21"/>
        <v/>
      </c>
      <c r="N195" s="82" t="str">
        <f t="shared" ca="1" si="21"/>
        <v/>
      </c>
      <c r="O195" s="82" t="str">
        <f t="shared" ca="1" si="21"/>
        <v/>
      </c>
      <c r="P195" s="82" t="str">
        <f t="shared" ca="1" si="21"/>
        <v/>
      </c>
      <c r="Q195" s="82" t="str">
        <f t="shared" ca="1" si="21"/>
        <v/>
      </c>
      <c r="R195" s="82" t="str">
        <f t="shared" ca="1" si="16"/>
        <v/>
      </c>
    </row>
    <row r="196" spans="1:18">
      <c r="A196" s="22">
        <v>188</v>
      </c>
      <c r="B196" s="23" t="str">
        <f t="shared" ca="1" si="17"/>
        <v/>
      </c>
      <c r="C196" s="82" t="str">
        <f t="shared" ca="1" si="21"/>
        <v/>
      </c>
      <c r="D196" s="82" t="str">
        <f t="shared" ca="1" si="21"/>
        <v/>
      </c>
      <c r="E196" s="82" t="str">
        <f t="shared" ca="1" si="21"/>
        <v/>
      </c>
      <c r="F196" s="82" t="str">
        <f t="shared" ca="1" si="21"/>
        <v/>
      </c>
      <c r="G196" s="82" t="str">
        <f t="shared" ca="1" si="21"/>
        <v/>
      </c>
      <c r="H196" s="82" t="str">
        <f t="shared" ca="1" si="21"/>
        <v/>
      </c>
      <c r="I196" s="82" t="str">
        <f t="shared" ca="1" si="21"/>
        <v/>
      </c>
      <c r="J196" s="82" t="str">
        <f t="shared" ca="1" si="21"/>
        <v/>
      </c>
      <c r="K196" s="82" t="str">
        <f t="shared" ca="1" si="21"/>
        <v/>
      </c>
      <c r="L196" s="82" t="str">
        <f t="shared" ca="1" si="21"/>
        <v/>
      </c>
      <c r="M196" s="82" t="str">
        <f t="shared" ca="1" si="21"/>
        <v/>
      </c>
      <c r="N196" s="82" t="str">
        <f t="shared" ca="1" si="21"/>
        <v/>
      </c>
      <c r="O196" s="82" t="str">
        <f t="shared" ca="1" si="21"/>
        <v/>
      </c>
      <c r="P196" s="82" t="str">
        <f t="shared" ca="1" si="21"/>
        <v/>
      </c>
      <c r="Q196" s="82" t="str">
        <f t="shared" ca="1" si="21"/>
        <v/>
      </c>
      <c r="R196" s="82" t="str">
        <f t="shared" ca="1" si="16"/>
        <v/>
      </c>
    </row>
    <row r="197" spans="1:18">
      <c r="A197" s="22">
        <v>189</v>
      </c>
      <c r="B197" s="23" t="str">
        <f t="shared" ca="1" si="17"/>
        <v/>
      </c>
      <c r="C197" s="82" t="str">
        <f t="shared" ca="1" si="21"/>
        <v/>
      </c>
      <c r="D197" s="82" t="str">
        <f t="shared" ca="1" si="21"/>
        <v/>
      </c>
      <c r="E197" s="82" t="str">
        <f t="shared" ca="1" si="21"/>
        <v/>
      </c>
      <c r="F197" s="82" t="str">
        <f t="shared" ca="1" si="21"/>
        <v/>
      </c>
      <c r="G197" s="82" t="str">
        <f t="shared" ca="1" si="21"/>
        <v/>
      </c>
      <c r="H197" s="82" t="str">
        <f t="shared" ca="1" si="21"/>
        <v/>
      </c>
      <c r="I197" s="82" t="str">
        <f t="shared" ca="1" si="21"/>
        <v/>
      </c>
      <c r="J197" s="82" t="str">
        <f t="shared" ca="1" si="21"/>
        <v/>
      </c>
      <c r="K197" s="82" t="str">
        <f t="shared" ca="1" si="21"/>
        <v/>
      </c>
      <c r="L197" s="82" t="str">
        <f t="shared" ca="1" si="21"/>
        <v/>
      </c>
      <c r="M197" s="82" t="str">
        <f t="shared" ca="1" si="21"/>
        <v/>
      </c>
      <c r="N197" s="82" t="str">
        <f t="shared" ca="1" si="21"/>
        <v/>
      </c>
      <c r="O197" s="82" t="str">
        <f t="shared" ca="1" si="21"/>
        <v/>
      </c>
      <c r="P197" s="82" t="str">
        <f t="shared" ca="1" si="21"/>
        <v/>
      </c>
      <c r="Q197" s="82" t="str">
        <f t="shared" ca="1" si="21"/>
        <v/>
      </c>
      <c r="R197" s="82" t="str">
        <f t="shared" ca="1" si="16"/>
        <v/>
      </c>
    </row>
    <row r="198" spans="1:18">
      <c r="A198" s="22">
        <v>190</v>
      </c>
      <c r="B198" s="23" t="str">
        <f t="shared" ca="1" si="17"/>
        <v/>
      </c>
      <c r="C198" s="82" t="str">
        <f t="shared" ca="1" si="21"/>
        <v/>
      </c>
      <c r="D198" s="82" t="str">
        <f t="shared" ca="1" si="21"/>
        <v/>
      </c>
      <c r="E198" s="82" t="str">
        <f t="shared" ca="1" si="21"/>
        <v/>
      </c>
      <c r="F198" s="82" t="str">
        <f t="shared" ca="1" si="21"/>
        <v/>
      </c>
      <c r="G198" s="82" t="str">
        <f t="shared" ca="1" si="21"/>
        <v/>
      </c>
      <c r="H198" s="82" t="str">
        <f t="shared" ca="1" si="21"/>
        <v/>
      </c>
      <c r="I198" s="82" t="str">
        <f t="shared" ca="1" si="21"/>
        <v/>
      </c>
      <c r="J198" s="82" t="str">
        <f t="shared" ca="1" si="21"/>
        <v/>
      </c>
      <c r="K198" s="82" t="str">
        <f t="shared" ca="1" si="21"/>
        <v/>
      </c>
      <c r="L198" s="82" t="str">
        <f t="shared" ca="1" si="21"/>
        <v/>
      </c>
      <c r="M198" s="82" t="str">
        <f t="shared" ca="1" si="21"/>
        <v/>
      </c>
      <c r="N198" s="82" t="str">
        <f t="shared" ca="1" si="21"/>
        <v/>
      </c>
      <c r="O198" s="82" t="str">
        <f t="shared" ca="1" si="21"/>
        <v/>
      </c>
      <c r="P198" s="82" t="str">
        <f t="shared" ca="1" si="21"/>
        <v/>
      </c>
      <c r="Q198" s="82" t="str">
        <f t="shared" ca="1" si="21"/>
        <v/>
      </c>
      <c r="R198" s="82" t="str">
        <f t="shared" ca="1" si="16"/>
        <v/>
      </c>
    </row>
    <row r="199" spans="1:18">
      <c r="A199" s="22">
        <v>191</v>
      </c>
      <c r="B199" s="23" t="str">
        <f t="shared" ca="1" si="17"/>
        <v/>
      </c>
      <c r="C199" s="82" t="str">
        <f t="shared" ca="1" si="21"/>
        <v/>
      </c>
      <c r="D199" s="82" t="str">
        <f t="shared" ca="1" si="21"/>
        <v/>
      </c>
      <c r="E199" s="82" t="str">
        <f t="shared" ca="1" si="21"/>
        <v/>
      </c>
      <c r="F199" s="82" t="str">
        <f t="shared" ca="1" si="21"/>
        <v/>
      </c>
      <c r="G199" s="82" t="str">
        <f t="shared" ca="1" si="21"/>
        <v/>
      </c>
      <c r="H199" s="82" t="str">
        <f t="shared" ca="1" si="21"/>
        <v/>
      </c>
      <c r="I199" s="82" t="str">
        <f t="shared" ca="1" si="21"/>
        <v/>
      </c>
      <c r="J199" s="82" t="str">
        <f t="shared" ca="1" si="21"/>
        <v/>
      </c>
      <c r="K199" s="82" t="str">
        <f t="shared" ca="1" si="21"/>
        <v/>
      </c>
      <c r="L199" s="82" t="str">
        <f t="shared" ca="1" si="21"/>
        <v/>
      </c>
      <c r="M199" s="82" t="str">
        <f t="shared" ca="1" si="21"/>
        <v/>
      </c>
      <c r="N199" s="82" t="str">
        <f t="shared" ca="1" si="21"/>
        <v/>
      </c>
      <c r="O199" s="82" t="str">
        <f t="shared" ca="1" si="21"/>
        <v/>
      </c>
      <c r="P199" s="82" t="str">
        <f t="shared" ca="1" si="21"/>
        <v/>
      </c>
      <c r="Q199" s="82" t="str">
        <f t="shared" ca="1" si="21"/>
        <v/>
      </c>
      <c r="R199" s="82" t="str">
        <f t="shared" ref="R199:R208" ca="1" si="22">IF(B199=$S$4,$T$4,"")</f>
        <v/>
      </c>
    </row>
    <row r="200" spans="1:18">
      <c r="A200" s="22">
        <v>192</v>
      </c>
      <c r="B200" s="23" t="str">
        <f t="shared" ca="1" si="17"/>
        <v/>
      </c>
      <c r="C200" s="82" t="str">
        <f t="shared" ca="1" si="21"/>
        <v/>
      </c>
      <c r="D200" s="82" t="str">
        <f t="shared" ca="1" si="21"/>
        <v/>
      </c>
      <c r="E200" s="82" t="str">
        <f t="shared" ca="1" si="21"/>
        <v/>
      </c>
      <c r="F200" s="82" t="str">
        <f t="shared" ca="1" si="21"/>
        <v/>
      </c>
      <c r="G200" s="82" t="str">
        <f t="shared" ca="1" si="21"/>
        <v/>
      </c>
      <c r="H200" s="82" t="str">
        <f t="shared" ca="1" si="21"/>
        <v/>
      </c>
      <c r="I200" s="82" t="str">
        <f t="shared" ca="1" si="21"/>
        <v/>
      </c>
      <c r="J200" s="82" t="str">
        <f t="shared" ca="1" si="21"/>
        <v/>
      </c>
      <c r="K200" s="82" t="str">
        <f t="shared" ca="1" si="21"/>
        <v/>
      </c>
      <c r="L200" s="82" t="str">
        <f t="shared" ca="1" si="21"/>
        <v/>
      </c>
      <c r="M200" s="82" t="str">
        <f t="shared" ca="1" si="21"/>
        <v/>
      </c>
      <c r="N200" s="82" t="str">
        <f t="shared" ca="1" si="21"/>
        <v/>
      </c>
      <c r="O200" s="82" t="str">
        <f t="shared" ca="1" si="21"/>
        <v/>
      </c>
      <c r="P200" s="82" t="str">
        <f t="shared" ca="1" si="21"/>
        <v/>
      </c>
      <c r="Q200" s="82" t="str">
        <f t="shared" ca="1" si="21"/>
        <v/>
      </c>
      <c r="R200" s="82" t="str">
        <f t="shared" ca="1" si="22"/>
        <v/>
      </c>
    </row>
    <row r="201" spans="1:18">
      <c r="A201" s="22">
        <v>193</v>
      </c>
      <c r="B201" s="23" t="str">
        <f t="shared" ca="1" si="17"/>
        <v/>
      </c>
      <c r="C201" s="82" t="str">
        <f t="shared" ca="1" si="21"/>
        <v/>
      </c>
      <c r="D201" s="82" t="str">
        <f t="shared" ca="1" si="21"/>
        <v/>
      </c>
      <c r="E201" s="82" t="str">
        <f t="shared" ca="1" si="21"/>
        <v/>
      </c>
      <c r="F201" s="82" t="str">
        <f t="shared" ca="1" si="21"/>
        <v/>
      </c>
      <c r="G201" s="82" t="str">
        <f t="shared" ca="1" si="21"/>
        <v/>
      </c>
      <c r="H201" s="82" t="str">
        <f t="shared" ca="1" si="21"/>
        <v/>
      </c>
      <c r="I201" s="82" t="str">
        <f t="shared" ca="1" si="21"/>
        <v/>
      </c>
      <c r="J201" s="82" t="str">
        <f t="shared" ca="1" si="21"/>
        <v/>
      </c>
      <c r="K201" s="82" t="str">
        <f t="shared" ca="1" si="21"/>
        <v/>
      </c>
      <c r="L201" s="82" t="str">
        <f t="shared" ca="1" si="21"/>
        <v/>
      </c>
      <c r="M201" s="82" t="str">
        <f t="shared" ca="1" si="21"/>
        <v/>
      </c>
      <c r="N201" s="82" t="str">
        <f t="shared" ca="1" si="21"/>
        <v/>
      </c>
      <c r="O201" s="82" t="str">
        <f t="shared" ca="1" si="21"/>
        <v/>
      </c>
      <c r="P201" s="82" t="str">
        <f t="shared" ca="1" si="21"/>
        <v/>
      </c>
      <c r="Q201" s="82" t="str">
        <f t="shared" ca="1" si="21"/>
        <v/>
      </c>
      <c r="R201" s="82" t="str">
        <f t="shared" ca="1" si="22"/>
        <v/>
      </c>
    </row>
    <row r="202" spans="1:18">
      <c r="A202" s="22">
        <v>194</v>
      </c>
      <c r="B202" s="23" t="str">
        <f t="shared" ref="B202:B208" ca="1" si="23">IF($B201="","",IF($B201=";",$I$3,IF($B201=$I$3,"",IF(ISNA(VLOOKUP($A$1&amp;"-"&amp;$A202,INDIRECT($E$2&amp;$E$3),1,0)),";",$S$4))))</f>
        <v/>
      </c>
      <c r="C202" s="82" t="str">
        <f t="shared" ca="1" si="21"/>
        <v/>
      </c>
      <c r="D202" s="82" t="str">
        <f t="shared" ca="1" si="21"/>
        <v/>
      </c>
      <c r="E202" s="82" t="str">
        <f t="shared" ca="1" si="21"/>
        <v/>
      </c>
      <c r="F202" s="82" t="str">
        <f t="shared" ca="1" si="21"/>
        <v/>
      </c>
      <c r="G202" s="82" t="str">
        <f t="shared" ca="1" si="21"/>
        <v/>
      </c>
      <c r="H202" s="82" t="str">
        <f t="shared" ca="1" si="21"/>
        <v/>
      </c>
      <c r="I202" s="82" t="str">
        <f t="shared" ca="1" si="21"/>
        <v/>
      </c>
      <c r="J202" s="82" t="str">
        <f t="shared" ca="1" si="21"/>
        <v/>
      </c>
      <c r="K202" s="82" t="str">
        <f t="shared" ca="1" si="21"/>
        <v/>
      </c>
      <c r="L202" s="82" t="str">
        <f t="shared" ca="1" si="21"/>
        <v/>
      </c>
      <c r="M202" s="82" t="str">
        <f t="shared" ca="1" si="21"/>
        <v/>
      </c>
      <c r="N202" s="82" t="str">
        <f t="shared" ca="1" si="21"/>
        <v/>
      </c>
      <c r="O202" s="82" t="str">
        <f t="shared" ca="1" si="21"/>
        <v/>
      </c>
      <c r="P202" s="82" t="str">
        <f t="shared" ca="1" si="21"/>
        <v/>
      </c>
      <c r="Q202" s="82" t="str">
        <f t="shared" ca="1" si="21"/>
        <v/>
      </c>
      <c r="R202" s="82" t="str">
        <f t="shared" ca="1" si="22"/>
        <v/>
      </c>
    </row>
    <row r="203" spans="1:18">
      <c r="A203" s="22">
        <v>195</v>
      </c>
      <c r="B203" s="23" t="str">
        <f t="shared" ca="1" si="23"/>
        <v/>
      </c>
      <c r="C203" s="82" t="str">
        <f t="shared" ca="1" si="21"/>
        <v/>
      </c>
      <c r="D203" s="82" t="str">
        <f t="shared" ca="1" si="21"/>
        <v/>
      </c>
      <c r="E203" s="82" t="str">
        <f t="shared" ca="1" si="21"/>
        <v/>
      </c>
      <c r="F203" s="82" t="str">
        <f t="shared" ca="1" si="21"/>
        <v/>
      </c>
      <c r="G203" s="82" t="str">
        <f t="shared" ca="1" si="21"/>
        <v/>
      </c>
      <c r="H203" s="82" t="str">
        <f t="shared" ca="1" si="21"/>
        <v/>
      </c>
      <c r="I203" s="82" t="str">
        <f t="shared" ca="1" si="21"/>
        <v/>
      </c>
      <c r="J203" s="82" t="str">
        <f t="shared" ca="1" si="21"/>
        <v/>
      </c>
      <c r="K203" s="82" t="str">
        <f t="shared" ca="1" si="21"/>
        <v/>
      </c>
      <c r="L203" s="82" t="str">
        <f t="shared" ca="1" si="21"/>
        <v/>
      </c>
      <c r="M203" s="82" t="str">
        <f t="shared" ca="1" si="21"/>
        <v/>
      </c>
      <c r="N203" s="82" t="str">
        <f t="shared" ca="1" si="21"/>
        <v/>
      </c>
      <c r="O203" s="82" t="str">
        <f t="shared" ca="1" si="21"/>
        <v/>
      </c>
      <c r="P203" s="82" t="str">
        <f t="shared" ca="1" si="21"/>
        <v/>
      </c>
      <c r="Q203" s="82" t="str">
        <f t="shared" ca="1" si="21"/>
        <v/>
      </c>
      <c r="R203" s="82" t="str">
        <f t="shared" ca="1" si="22"/>
        <v/>
      </c>
    </row>
    <row r="204" spans="1:18">
      <c r="A204" s="22">
        <v>196</v>
      </c>
      <c r="B204" s="23" t="str">
        <f t="shared" ca="1" si="23"/>
        <v/>
      </c>
      <c r="C204" s="82" t="str">
        <f t="shared" ca="1" si="21"/>
        <v/>
      </c>
      <c r="D204" s="82" t="str">
        <f t="shared" ca="1" si="21"/>
        <v/>
      </c>
      <c r="E204" s="82" t="str">
        <f t="shared" ca="1" si="21"/>
        <v/>
      </c>
      <c r="F204" s="82" t="str">
        <f t="shared" ca="1" si="21"/>
        <v/>
      </c>
      <c r="G204" s="82" t="str">
        <f t="shared" ca="1" si="21"/>
        <v/>
      </c>
      <c r="H204" s="82" t="str">
        <f t="shared" ca="1" si="21"/>
        <v/>
      </c>
      <c r="I204" s="82" t="str">
        <f t="shared" ca="1" si="21"/>
        <v/>
      </c>
      <c r="J204" s="82" t="str">
        <f t="shared" ca="1" si="21"/>
        <v/>
      </c>
      <c r="K204" s="82" t="str">
        <f t="shared" ca="1" si="21"/>
        <v/>
      </c>
      <c r="L204" s="82" t="str">
        <f t="shared" ca="1" si="21"/>
        <v/>
      </c>
      <c r="M204" s="82" t="str">
        <f t="shared" ca="1" si="21"/>
        <v/>
      </c>
      <c r="N204" s="82" t="str">
        <f t="shared" ca="1" si="21"/>
        <v/>
      </c>
      <c r="O204" s="82" t="str">
        <f t="shared" ca="1" si="21"/>
        <v/>
      </c>
      <c r="P204" s="82" t="str">
        <f t="shared" ca="1" si="21"/>
        <v/>
      </c>
      <c r="Q204" s="82" t="str">
        <f t="shared" ca="1" si="21"/>
        <v/>
      </c>
      <c r="R204" s="82" t="str">
        <f t="shared" ca="1" si="22"/>
        <v/>
      </c>
    </row>
    <row r="205" spans="1:18">
      <c r="A205" s="22">
        <v>197</v>
      </c>
      <c r="B205" s="23" t="str">
        <f t="shared" ca="1" si="23"/>
        <v/>
      </c>
      <c r="C205" s="82" t="str">
        <f t="shared" ca="1" si="21"/>
        <v/>
      </c>
      <c r="D205" s="82" t="str">
        <f t="shared" ca="1" si="21"/>
        <v/>
      </c>
      <c r="E205" s="82" t="str">
        <f t="shared" ca="1" si="21"/>
        <v/>
      </c>
      <c r="F205" s="82" t="str">
        <f t="shared" ca="1" si="21"/>
        <v/>
      </c>
      <c r="G205" s="82" t="str">
        <f t="shared" ca="1" si="21"/>
        <v/>
      </c>
      <c r="H205" s="82" t="str">
        <f t="shared" ca="1" si="21"/>
        <v/>
      </c>
      <c r="I205" s="82" t="str">
        <f t="shared" ca="1" si="21"/>
        <v/>
      </c>
      <c r="J205" s="82" t="str">
        <f t="shared" ca="1" si="21"/>
        <v/>
      </c>
      <c r="K205" s="82" t="str">
        <f t="shared" ca="1" si="21"/>
        <v/>
      </c>
      <c r="L205" s="82" t="str">
        <f t="shared" ca="1" si="21"/>
        <v/>
      </c>
      <c r="M205" s="82" t="str">
        <f t="shared" ca="1" si="21"/>
        <v/>
      </c>
      <c r="N205" s="82" t="str">
        <f t="shared" ca="1" si="21"/>
        <v/>
      </c>
      <c r="O205" s="82" t="str">
        <f t="shared" ca="1" si="21"/>
        <v/>
      </c>
      <c r="P205" s="82" t="str">
        <f t="shared" ca="1" si="21"/>
        <v/>
      </c>
      <c r="Q205" s="82" t="str">
        <f t="shared" ca="1" si="21"/>
        <v/>
      </c>
      <c r="R205" s="82" t="str">
        <f t="shared" ca="1" si="22"/>
        <v/>
      </c>
    </row>
    <row r="206" spans="1:18">
      <c r="A206" s="22">
        <v>198</v>
      </c>
      <c r="B206" s="23" t="str">
        <f t="shared" ca="1" si="23"/>
        <v/>
      </c>
      <c r="C206" s="82" t="str">
        <f t="shared" ca="1" si="21"/>
        <v/>
      </c>
      <c r="D206" s="82" t="str">
        <f t="shared" ca="1" si="21"/>
        <v/>
      </c>
      <c r="E206" s="82" t="str">
        <f t="shared" ca="1" si="21"/>
        <v/>
      </c>
      <c r="F206" s="82" t="str">
        <f t="shared" ca="1" si="21"/>
        <v/>
      </c>
      <c r="G206" s="82" t="str">
        <f t="shared" ca="1" si="21"/>
        <v/>
      </c>
      <c r="H206" s="82" t="str">
        <f t="shared" ca="1" si="21"/>
        <v/>
      </c>
      <c r="I206" s="82" t="str">
        <f t="shared" ca="1" si="21"/>
        <v/>
      </c>
      <c r="J206" s="82" t="str">
        <f t="shared" ca="1" si="21"/>
        <v/>
      </c>
      <c r="K206" s="82" t="str">
        <f t="shared" ca="1" si="21"/>
        <v/>
      </c>
      <c r="L206" s="82" t="str">
        <f t="shared" ca="1" si="21"/>
        <v/>
      </c>
      <c r="M206" s="82" t="str">
        <f t="shared" ca="1" si="21"/>
        <v/>
      </c>
      <c r="N206" s="82" t="str">
        <f t="shared" ca="1" si="21"/>
        <v/>
      </c>
      <c r="O206" s="82" t="str">
        <f t="shared" ca="1" si="21"/>
        <v/>
      </c>
      <c r="P206" s="82" t="str">
        <f t="shared" ca="1" si="21"/>
        <v/>
      </c>
      <c r="Q206" s="82" t="str">
        <f t="shared" ca="1" si="21"/>
        <v/>
      </c>
      <c r="R206" s="82" t="str">
        <f t="shared" ca="1" si="22"/>
        <v/>
      </c>
    </row>
    <row r="207" spans="1:18">
      <c r="A207" s="22">
        <v>199</v>
      </c>
      <c r="B207" s="23" t="str">
        <f t="shared" ca="1" si="23"/>
        <v/>
      </c>
      <c r="C207" s="82" t="str">
        <f t="shared" ca="1" si="21"/>
        <v/>
      </c>
      <c r="D207" s="82" t="str">
        <f t="shared" ca="1" si="21"/>
        <v/>
      </c>
      <c r="E207" s="82" t="str">
        <f t="shared" ca="1" si="21"/>
        <v/>
      </c>
      <c r="F207" s="82" t="str">
        <f t="shared" ca="1" si="21"/>
        <v/>
      </c>
      <c r="G207" s="82" t="str">
        <f t="shared" ca="1" si="21"/>
        <v/>
      </c>
      <c r="H207" s="82" t="str">
        <f t="shared" ca="1" si="21"/>
        <v/>
      </c>
      <c r="I207" s="82" t="str">
        <f t="shared" ca="1" si="21"/>
        <v/>
      </c>
      <c r="J207" s="82" t="str">
        <f t="shared" ca="1" si="21"/>
        <v/>
      </c>
      <c r="K207" s="82" t="str">
        <f t="shared" ca="1" si="21"/>
        <v/>
      </c>
      <c r="L207" s="82" t="str">
        <f t="shared" ca="1" si="21"/>
        <v/>
      </c>
      <c r="M207" s="82" t="str">
        <f t="shared" ca="1" si="21"/>
        <v/>
      </c>
      <c r="N207" s="82" t="str">
        <f t="shared" ca="1" si="21"/>
        <v/>
      </c>
      <c r="O207" s="82" t="str">
        <f t="shared" ca="1" si="21"/>
        <v/>
      </c>
      <c r="P207" s="82" t="str">
        <f t="shared" ca="1" si="21"/>
        <v/>
      </c>
      <c r="Q207" s="82" t="str">
        <f t="shared" ca="1" si="21"/>
        <v/>
      </c>
      <c r="R207" s="82" t="str">
        <f t="shared" ca="1" si="22"/>
        <v/>
      </c>
    </row>
    <row r="208" spans="1:18">
      <c r="A208" s="22">
        <v>200</v>
      </c>
      <c r="B208" s="23" t="str">
        <f t="shared" ca="1" si="23"/>
        <v/>
      </c>
      <c r="C208" s="82" t="str">
        <f t="shared" ca="1" si="21"/>
        <v/>
      </c>
      <c r="D208" s="82" t="str">
        <f t="shared" ca="1" si="21"/>
        <v/>
      </c>
      <c r="E208" s="82" t="str">
        <f t="shared" ca="1" si="21"/>
        <v/>
      </c>
      <c r="F208" s="82" t="str">
        <f t="shared" ca="1" si="21"/>
        <v/>
      </c>
      <c r="G208" s="82" t="str">
        <f t="shared" ca="1" si="21"/>
        <v/>
      </c>
      <c r="H208" s="82" t="str">
        <f t="shared" ca="1" si="21"/>
        <v/>
      </c>
      <c r="I208" s="82" t="str">
        <f t="shared" ca="1" si="21"/>
        <v/>
      </c>
      <c r="J208" s="82" t="str">
        <f t="shared" ca="1" si="21"/>
        <v/>
      </c>
      <c r="K208" s="82" t="str">
        <f t="shared" ca="1" si="21"/>
        <v/>
      </c>
      <c r="L208" s="82" t="str">
        <f t="shared" ca="1" si="21"/>
        <v/>
      </c>
      <c r="M208" s="82" t="str">
        <f t="shared" ca="1" si="21"/>
        <v/>
      </c>
      <c r="N208" s="82" t="str">
        <f t="shared" ca="1" si="21"/>
        <v/>
      </c>
      <c r="O208" s="82" t="str">
        <f t="shared" ca="1" si="21"/>
        <v/>
      </c>
      <c r="P208" s="82" t="str">
        <f t="shared" ca="1" si="21"/>
        <v/>
      </c>
      <c r="Q208" s="82" t="str">
        <f t="shared" ca="1" si="21"/>
        <v/>
      </c>
      <c r="R208" s="82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3"/>
  <sheetViews>
    <sheetView topLeftCell="G1" workbookViewId="0">
      <selection activeCell="K3" sqref="K3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</cols>
  <sheetData>
    <row r="1" spans="1:12">
      <c r="A1" s="21" t="s">
        <v>850</v>
      </c>
      <c r="B1" s="21" t="s">
        <v>851</v>
      </c>
      <c r="C1" s="21" t="s">
        <v>775</v>
      </c>
      <c r="D1" s="19" t="s">
        <v>239</v>
      </c>
      <c r="E1" s="19" t="s">
        <v>1</v>
      </c>
      <c r="F1" s="19" t="s">
        <v>242</v>
      </c>
      <c r="G1" s="19" t="s">
        <v>236</v>
      </c>
      <c r="H1" s="19" t="s">
        <v>269</v>
      </c>
      <c r="I1" s="19" t="s">
        <v>12</v>
      </c>
      <c r="J1" s="19" t="s">
        <v>270</v>
      </c>
      <c r="K1" s="19" t="s">
        <v>271</v>
      </c>
      <c r="L1" s="21" t="s">
        <v>770</v>
      </c>
    </row>
    <row r="2" spans="1:12">
      <c r="A2" s="35" t="str">
        <f>Page&amp;"-"&amp;(COUNTA($E$1:ResourceTable[[#This Row],[Name]])-2)</f>
        <v>Resources-0</v>
      </c>
      <c r="B2" s="32" t="str">
        <f>ResourceTable[[#This Row],[Name]]</f>
        <v>name</v>
      </c>
      <c r="C2" s="35">
        <f>IF($C1=0,IF(ISNUMBER(VLOOKUP(Page,SeedMap[],9,0)),VLOOKUP(Page,SeedMap[],9,0)+1,1),IFERROR($C1+1,0))</f>
        <v>0</v>
      </c>
      <c r="D2" s="35" t="s">
        <v>21</v>
      </c>
      <c r="E2" s="5" t="s">
        <v>26</v>
      </c>
      <c r="F2" s="5" t="s">
        <v>28</v>
      </c>
      <c r="G2" s="5" t="s">
        <v>30</v>
      </c>
      <c r="H2" s="8" t="s">
        <v>31</v>
      </c>
      <c r="I2" s="5" t="s">
        <v>32</v>
      </c>
      <c r="J2" s="5" t="s">
        <v>33</v>
      </c>
      <c r="K2" s="1" t="s">
        <v>34</v>
      </c>
      <c r="L2" s="1" t="s">
        <v>748</v>
      </c>
    </row>
    <row r="3" spans="1:12">
      <c r="A3" s="35" t="str">
        <f>Page&amp;"-"&amp;(COUNTA($E$1:ResourceTable[[#This Row],[Name]])-2)</f>
        <v>Resources-1</v>
      </c>
      <c r="B3" s="32" t="str">
        <f>ResourceTable[[#This Row],[Name]]</f>
        <v>User</v>
      </c>
      <c r="C3" s="35">
        <f>IF($C2=0,IF(ISNUMBER(VLOOKUP(Page,SeedMap[],9,0)),VLOOKUP(Page,SeedMap[],9,0)+1,1),IFERROR($C2+1,0))</f>
        <v>1</v>
      </c>
      <c r="D3" s="35">
        <f>ResourceTable[[#This Row],[RID]]</f>
        <v>1</v>
      </c>
      <c r="E3" s="1" t="s">
        <v>174</v>
      </c>
      <c r="F3" s="1" t="s">
        <v>176</v>
      </c>
      <c r="G3" s="1" t="s">
        <v>180</v>
      </c>
      <c r="H3" s="7" t="str">
        <f t="shared" ref="H3:H43" si="0">"Milestone\Appframe\Model"</f>
        <v>Milestone\Appframe\Model</v>
      </c>
      <c r="I3" s="1" t="s">
        <v>175</v>
      </c>
      <c r="J3" s="1"/>
      <c r="K3" s="1"/>
      <c r="L3" s="5" t="s">
        <v>674</v>
      </c>
    </row>
    <row r="4" spans="1:12">
      <c r="A4" s="35" t="str">
        <f>Page&amp;"-"&amp;(COUNTA($E$1:ResourceTable[[#This Row],[Name]])-2)</f>
        <v>Resources-2</v>
      </c>
      <c r="B4" s="32" t="str">
        <f>ResourceTable[[#This Row],[Name]]</f>
        <v>Group</v>
      </c>
      <c r="C4" s="35">
        <f>IF($C3=0,IF(ISNUMBER(VLOOKUP(Page,SeedMap[],9,0)),VLOOKUP(Page,SeedMap[],9,0)+1,1),IFERROR($C3+1,0))</f>
        <v>2</v>
      </c>
      <c r="D4" s="35">
        <f>ResourceTable[[#This Row],[RID]]</f>
        <v>2</v>
      </c>
      <c r="E4" s="2" t="s">
        <v>235</v>
      </c>
      <c r="F4" s="2" t="s">
        <v>178</v>
      </c>
      <c r="G4" s="2" t="s">
        <v>177</v>
      </c>
      <c r="H4" s="7" t="str">
        <f t="shared" si="0"/>
        <v>Milestone\Appframe\Model</v>
      </c>
      <c r="I4" s="2" t="s">
        <v>179</v>
      </c>
      <c r="J4" s="2"/>
      <c r="K4" s="2"/>
      <c r="L4" s="5" t="s">
        <v>674</v>
      </c>
    </row>
    <row r="5" spans="1:12">
      <c r="A5" s="35" t="str">
        <f>Page&amp;"-"&amp;(COUNTA($E$1:ResourceTable[[#This Row],[Name]])-2)</f>
        <v>Resources-3</v>
      </c>
      <c r="B5" s="32" t="str">
        <f>ResourceTable[[#This Row],[Name]]</f>
        <v>Role</v>
      </c>
      <c r="C5" s="35">
        <f>IF($C4=0,IF(ISNUMBER(VLOOKUP(Page,SeedMap[],9,0)),VLOOKUP(Page,SeedMap[],9,0)+1,1),IFERROR($C4+1,0))</f>
        <v>3</v>
      </c>
      <c r="D5" s="35">
        <f>ResourceTable[[#This Row],[RID]]</f>
        <v>3</v>
      </c>
      <c r="E5" s="2" t="s">
        <v>258</v>
      </c>
      <c r="F5" s="2" t="s">
        <v>182</v>
      </c>
      <c r="G5" s="2" t="s">
        <v>181</v>
      </c>
      <c r="H5" s="7" t="str">
        <f t="shared" si="0"/>
        <v>Milestone\Appframe\Model</v>
      </c>
      <c r="I5" s="2" t="s">
        <v>183</v>
      </c>
      <c r="J5" s="2"/>
      <c r="K5" s="2"/>
      <c r="L5" s="5" t="s">
        <v>674</v>
      </c>
    </row>
    <row r="6" spans="1:12">
      <c r="A6" s="35" t="str">
        <f>Page&amp;"-"&amp;(COUNTA($E$1:ResourceTable[[#This Row],[Name]])-2)</f>
        <v>Resources-4</v>
      </c>
      <c r="B6" s="32" t="str">
        <f>ResourceTable[[#This Row],[Name]]</f>
        <v>Resource</v>
      </c>
      <c r="C6" s="35">
        <f>IF($C5=0,IF(ISNUMBER(VLOOKUP(Page,SeedMap[],9,0)),VLOOKUP(Page,SeedMap[],9,0)+1,1),IFERROR($C5+1,0))</f>
        <v>4</v>
      </c>
      <c r="D6" s="35">
        <f>ResourceTable[[#This Row],[RID]]</f>
        <v>4</v>
      </c>
      <c r="E6" s="2" t="s">
        <v>204</v>
      </c>
      <c r="F6" s="2" t="s">
        <v>205</v>
      </c>
      <c r="G6" s="2" t="s">
        <v>204</v>
      </c>
      <c r="H6" s="7" t="str">
        <f t="shared" si="0"/>
        <v>Milestone\Appframe\Model</v>
      </c>
      <c r="I6" s="2" t="s">
        <v>206</v>
      </c>
      <c r="J6" s="2"/>
      <c r="K6" s="2"/>
      <c r="L6" s="5" t="s">
        <v>674</v>
      </c>
    </row>
    <row r="7" spans="1:12">
      <c r="A7" s="35" t="str">
        <f>Page&amp;"-"&amp;(COUNTA($E$1:ResourceTable[[#This Row],[Name]])-2)</f>
        <v>Resources-5</v>
      </c>
      <c r="B7" s="32" t="str">
        <f>ResourceTable[[#This Row],[Name]]</f>
        <v>ResourceRole</v>
      </c>
      <c r="C7" s="35">
        <f>IF($C6=0,IF(ISNUMBER(VLOOKUP(Page,SeedMap[],9,0)),VLOOKUP(Page,SeedMap[],9,0)+1,1),IFERROR($C6+1,0))</f>
        <v>5</v>
      </c>
      <c r="D7" s="35">
        <f>ResourceTable[[#This Row],[RID]]</f>
        <v>5</v>
      </c>
      <c r="E7" s="4" t="s">
        <v>304</v>
      </c>
      <c r="F7" s="4" t="s">
        <v>305</v>
      </c>
      <c r="G7" s="4" t="s">
        <v>306</v>
      </c>
      <c r="H7" s="7" t="str">
        <f t="shared" si="0"/>
        <v>Milestone\Appframe\Model</v>
      </c>
      <c r="I7" s="4" t="s">
        <v>307</v>
      </c>
      <c r="J7" s="4"/>
      <c r="K7" s="4"/>
      <c r="L7" s="5" t="s">
        <v>674</v>
      </c>
    </row>
    <row r="8" spans="1:12">
      <c r="A8" s="35" t="str">
        <f>Page&amp;"-"&amp;(COUNTA($E$1:ResourceTable[[#This Row],[Name]])-2)</f>
        <v>Resources-6</v>
      </c>
      <c r="B8" s="32" t="str">
        <f>ResourceTable[[#This Row],[Name]]</f>
        <v>ResourceRelation</v>
      </c>
      <c r="C8" s="35">
        <f>IF($C7=0,IF(ISNUMBER(VLOOKUP(Page,SeedMap[],9,0)),VLOOKUP(Page,SeedMap[],9,0)+1,1),IFERROR($C7+1,0))</f>
        <v>6</v>
      </c>
      <c r="D8" s="35">
        <f>ResourceTable[[#This Row],[RID]]</f>
        <v>6</v>
      </c>
      <c r="E8" s="5" t="s">
        <v>449</v>
      </c>
      <c r="F8" s="5" t="s">
        <v>450</v>
      </c>
      <c r="G8" s="5" t="s">
        <v>348</v>
      </c>
      <c r="H8" s="7" t="str">
        <f t="shared" si="0"/>
        <v>Milestone\Appframe\Model</v>
      </c>
      <c r="I8" s="5" t="s">
        <v>451</v>
      </c>
      <c r="J8" s="4"/>
      <c r="K8" s="4"/>
      <c r="L8" s="5" t="s">
        <v>674</v>
      </c>
    </row>
    <row r="9" spans="1:12">
      <c r="A9" s="35" t="str">
        <f>Page&amp;"-"&amp;(COUNTA($E$1:ResourceTable[[#This Row],[Name]])-2)</f>
        <v>Resources-7</v>
      </c>
      <c r="B9" s="32" t="str">
        <f>ResourceTable[[#This Row],[Name]]</f>
        <v>ResourceScope</v>
      </c>
      <c r="C9" s="35">
        <f>IF($C8=0,IF(ISNUMBER(VLOOKUP(Page,SeedMap[],9,0)),VLOOKUP(Page,SeedMap[],9,0)+1,1),IFERROR($C8+1,0))</f>
        <v>7</v>
      </c>
      <c r="D9" s="35">
        <f>ResourceTable[[#This Row],[RID]]</f>
        <v>7</v>
      </c>
      <c r="E9" s="5" t="s">
        <v>415</v>
      </c>
      <c r="F9" s="5" t="s">
        <v>752</v>
      </c>
      <c r="G9" s="5" t="s">
        <v>346</v>
      </c>
      <c r="H9" s="7" t="str">
        <f t="shared" si="0"/>
        <v>Milestone\Appframe\Model</v>
      </c>
      <c r="I9" s="5" t="s">
        <v>416</v>
      </c>
      <c r="J9" s="4"/>
      <c r="K9" s="4"/>
      <c r="L9" s="5" t="s">
        <v>674</v>
      </c>
    </row>
    <row r="10" spans="1:12">
      <c r="A10" s="35" t="str">
        <f>Page&amp;"-"&amp;(COUNTA($E$1:ResourceTable[[#This Row],[Name]])-2)</f>
        <v>Resources-8</v>
      </c>
      <c r="B10" s="32" t="str">
        <f>ResourceTable[[#This Row],[Name]]</f>
        <v>ResourceForm</v>
      </c>
      <c r="C10" s="35">
        <f>IF($C9=0,IF(ISNUMBER(VLOOKUP(Page,SeedMap[],9,0)),VLOOKUP(Page,SeedMap[],9,0)+1,1),IFERROR($C9+1,0))</f>
        <v>8</v>
      </c>
      <c r="D10" s="35">
        <f>ResourceTable[[#This Row],[RID]]</f>
        <v>8</v>
      </c>
      <c r="E10" s="4" t="s">
        <v>311</v>
      </c>
      <c r="F10" s="4" t="s">
        <v>312</v>
      </c>
      <c r="G10" s="4" t="s">
        <v>313</v>
      </c>
      <c r="H10" s="7" t="str">
        <f t="shared" si="0"/>
        <v>Milestone\Appframe\Model</v>
      </c>
      <c r="I10" s="4" t="s">
        <v>314</v>
      </c>
      <c r="J10" s="4"/>
      <c r="K10" s="4"/>
      <c r="L10" s="5" t="s">
        <v>674</v>
      </c>
    </row>
    <row r="11" spans="1:12">
      <c r="A11" s="35" t="str">
        <f>Page&amp;"-"&amp;(COUNTA($E$1:ResourceTable[[#This Row],[Name]])-2)</f>
        <v>Resources-9</v>
      </c>
      <c r="B11" s="32" t="str">
        <f>ResourceTable[[#This Row],[Name]]</f>
        <v>ResourceFormField</v>
      </c>
      <c r="C11" s="35">
        <f>IF($C10=0,IF(ISNUMBER(VLOOKUP(Page,SeedMap[],9,0)),VLOOKUP(Page,SeedMap[],9,0)+1,1),IFERROR($C10+1,0))</f>
        <v>9</v>
      </c>
      <c r="D11" s="35">
        <f>ResourceTable[[#This Row],[RID]]</f>
        <v>9</v>
      </c>
      <c r="E11" s="5" t="s">
        <v>315</v>
      </c>
      <c r="F11" s="5" t="s">
        <v>316</v>
      </c>
      <c r="G11" s="5" t="s">
        <v>317</v>
      </c>
      <c r="H11" s="7" t="str">
        <f t="shared" si="0"/>
        <v>Milestone\Appframe\Model</v>
      </c>
      <c r="I11" s="5" t="s">
        <v>318</v>
      </c>
      <c r="J11" s="4"/>
      <c r="K11" s="4"/>
      <c r="L11" s="5" t="s">
        <v>674</v>
      </c>
    </row>
    <row r="12" spans="1:12">
      <c r="A12" s="35" t="str">
        <f>Page&amp;"-"&amp;(COUNTA($E$1:ResourceTable[[#This Row],[Name]])-2)</f>
        <v>Resources-10</v>
      </c>
      <c r="B12" s="32" t="str">
        <f>ResourceTable[[#This Row],[Name]]</f>
        <v>ResourceFormFieldData</v>
      </c>
      <c r="C12" s="35">
        <f>IF($C11=0,IF(ISNUMBER(VLOOKUP(Page,SeedMap[],9,0)),VLOOKUP(Page,SeedMap[],9,0)+1,1),IFERROR($C11+1,0))</f>
        <v>10</v>
      </c>
      <c r="D12" s="35">
        <f>ResourceTable[[#This Row],[RID]]</f>
        <v>10</v>
      </c>
      <c r="E12" s="2" t="s">
        <v>385</v>
      </c>
      <c r="F12" s="4" t="s">
        <v>386</v>
      </c>
      <c r="G12" s="4" t="s">
        <v>387</v>
      </c>
      <c r="H12" s="7" t="str">
        <f t="shared" si="0"/>
        <v>Milestone\Appframe\Model</v>
      </c>
      <c r="I12" s="4" t="s">
        <v>388</v>
      </c>
      <c r="J12" s="4"/>
      <c r="K12" s="4"/>
      <c r="L12" s="5" t="s">
        <v>674</v>
      </c>
    </row>
    <row r="13" spans="1:12">
      <c r="A13" s="35" t="str">
        <f>Page&amp;"-"&amp;(COUNTA($E$1:ResourceTable[[#This Row],[Name]])-2)</f>
        <v>Resources-11</v>
      </c>
      <c r="B13" s="32" t="str">
        <f>ResourceTable[[#This Row],[Name]]</f>
        <v>ResourceFormFieldAttr</v>
      </c>
      <c r="C13" s="35">
        <f>IF($C12=0,IF(ISNUMBER(VLOOKUP(Page,SeedMap[],9,0)),VLOOKUP(Page,SeedMap[],9,0)+1,1),IFERROR($C12+1,0))</f>
        <v>11</v>
      </c>
      <c r="D13" s="35">
        <f>ResourceTable[[#This Row],[RID]]</f>
        <v>11</v>
      </c>
      <c r="E13" s="2" t="s">
        <v>349</v>
      </c>
      <c r="F13" s="2" t="s">
        <v>350</v>
      </c>
      <c r="G13" s="2" t="s">
        <v>351</v>
      </c>
      <c r="H13" s="7" t="str">
        <f t="shared" si="0"/>
        <v>Milestone\Appframe\Model</v>
      </c>
      <c r="I13" s="2" t="s">
        <v>352</v>
      </c>
      <c r="J13" s="4"/>
      <c r="K13" s="4"/>
      <c r="L13" s="5" t="s">
        <v>674</v>
      </c>
    </row>
    <row r="14" spans="1:12">
      <c r="A14" s="35" t="str">
        <f>Page&amp;"-"&amp;(COUNTA($E$1:ResourceTable[[#This Row],[Name]])-2)</f>
        <v>Resources-12</v>
      </c>
      <c r="B14" s="32" t="str">
        <f>ResourceTable[[#This Row],[Name]]</f>
        <v>ResourceFormFieldOption</v>
      </c>
      <c r="C14" s="35">
        <f>IF($C13=0,IF(ISNUMBER(VLOOKUP(Page,SeedMap[],9,0)),VLOOKUP(Page,SeedMap[],9,0)+1,1),IFERROR($C13+1,0))</f>
        <v>12</v>
      </c>
      <c r="D14" s="35">
        <f>ResourceTable[[#This Row],[RID]]</f>
        <v>12</v>
      </c>
      <c r="E14" s="2" t="s">
        <v>364</v>
      </c>
      <c r="F14" s="2" t="s">
        <v>365</v>
      </c>
      <c r="G14" s="2" t="s">
        <v>366</v>
      </c>
      <c r="H14" s="7" t="str">
        <f t="shared" si="0"/>
        <v>Milestone\Appframe\Model</v>
      </c>
      <c r="I14" s="2" t="s">
        <v>367</v>
      </c>
      <c r="J14" s="4"/>
      <c r="K14" s="4"/>
      <c r="L14" s="5" t="s">
        <v>674</v>
      </c>
    </row>
    <row r="15" spans="1:12">
      <c r="A15" s="35" t="str">
        <f>Page&amp;"-"&amp;(COUNTA($E$1:ResourceTable[[#This Row],[Name]])-2)</f>
        <v>Resources-13</v>
      </c>
      <c r="B15" s="32" t="str">
        <f>ResourceTable[[#This Row],[Name]]</f>
        <v>ResourceFormFieldValidation</v>
      </c>
      <c r="C15" s="35">
        <f>IF($C14=0,IF(ISNUMBER(VLOOKUP(Page,SeedMap[],9,0)),VLOOKUP(Page,SeedMap[],9,0)+1,1),IFERROR($C14+1,0))</f>
        <v>13</v>
      </c>
      <c r="D15" s="35">
        <f>ResourceTable[[#This Row],[RID]]</f>
        <v>13</v>
      </c>
      <c r="E15" s="2" t="s">
        <v>370</v>
      </c>
      <c r="F15" s="2" t="s">
        <v>371</v>
      </c>
      <c r="G15" s="2" t="s">
        <v>372</v>
      </c>
      <c r="H15" s="7" t="str">
        <f t="shared" si="0"/>
        <v>Milestone\Appframe\Model</v>
      </c>
      <c r="I15" s="2" t="s">
        <v>373</v>
      </c>
      <c r="J15" s="4"/>
      <c r="K15" s="4"/>
      <c r="L15" s="5" t="s">
        <v>674</v>
      </c>
    </row>
    <row r="16" spans="1:12">
      <c r="A16" s="35" t="str">
        <f>Page&amp;"-"&amp;(COUNTA($E$1:ResourceTable[[#This Row],[Name]])-2)</f>
        <v>Resources-14</v>
      </c>
      <c r="B16" s="32" t="str">
        <f>ResourceTable[[#This Row],[Name]]</f>
        <v>ResourceFormFieldDepend</v>
      </c>
      <c r="C16" s="35">
        <f>IF($C15=0,IF(ISNUMBER(VLOOKUP(Page,SeedMap[],9,0)),VLOOKUP(Page,SeedMap[],9,0)+1,1),IFERROR($C15+1,0))</f>
        <v>14</v>
      </c>
      <c r="D16" s="35">
        <f>ResourceTable[[#This Row],[RID]]</f>
        <v>14</v>
      </c>
      <c r="E16" s="4" t="s">
        <v>551</v>
      </c>
      <c r="F16" s="4" t="s">
        <v>552</v>
      </c>
      <c r="G16" s="4" t="s">
        <v>553</v>
      </c>
      <c r="H16" s="7" t="str">
        <f t="shared" si="0"/>
        <v>Milestone\Appframe\Model</v>
      </c>
      <c r="I16" s="4" t="s">
        <v>554</v>
      </c>
      <c r="J16" s="4" t="s">
        <v>723</v>
      </c>
      <c r="K16" s="4" t="s">
        <v>675</v>
      </c>
      <c r="L16" s="5" t="s">
        <v>674</v>
      </c>
    </row>
    <row r="17" spans="1:12">
      <c r="A17" s="35" t="str">
        <f>Page&amp;"-"&amp;(COUNTA($E$1:ResourceTable[[#This Row],[Name]])-2)</f>
        <v>Resources-15</v>
      </c>
      <c r="B17" s="32" t="str">
        <f>ResourceTable[[#This Row],[Name]]</f>
        <v>ResourceFormFieldDynamic</v>
      </c>
      <c r="C17" s="35">
        <f>IF($C16=0,IF(ISNUMBER(VLOOKUP(Page,SeedMap[],9,0)),VLOOKUP(Page,SeedMap[],9,0)+1,1),IFERROR($C16+1,0))</f>
        <v>15</v>
      </c>
      <c r="D17" s="35">
        <f>ResourceTable[[#This Row],[RID]]</f>
        <v>15</v>
      </c>
      <c r="E17" s="2" t="s">
        <v>653</v>
      </c>
      <c r="F17" s="4" t="s">
        <v>654</v>
      </c>
      <c r="G17" s="4" t="s">
        <v>655</v>
      </c>
      <c r="H17" s="7" t="str">
        <f t="shared" si="0"/>
        <v>Milestone\Appframe\Model</v>
      </c>
      <c r="I17" s="4" t="s">
        <v>656</v>
      </c>
      <c r="J17" s="4"/>
      <c r="K17" s="4"/>
      <c r="L17" s="5" t="s">
        <v>674</v>
      </c>
    </row>
    <row r="18" spans="1:12">
      <c r="A18" s="35" t="str">
        <f>Page&amp;"-"&amp;(COUNTA($E$1:ResourceTable[[#This Row],[Name]])-2)</f>
        <v>Resources-16</v>
      </c>
      <c r="B18" s="32" t="str">
        <f>ResourceTable[[#This Row],[Name]]</f>
        <v>ResourceFormLayout</v>
      </c>
      <c r="C18" s="35">
        <f>IF($C17=0,IF(ISNUMBER(VLOOKUP(Page,SeedMap[],9,0)),VLOOKUP(Page,SeedMap[],9,0)+1,1),IFERROR($C17+1,0))</f>
        <v>16</v>
      </c>
      <c r="D18" s="35">
        <f>ResourceTable[[#This Row],[RID]]</f>
        <v>16</v>
      </c>
      <c r="E18" s="5" t="s">
        <v>474</v>
      </c>
      <c r="F18" s="5" t="s">
        <v>475</v>
      </c>
      <c r="G18" s="5" t="s">
        <v>476</v>
      </c>
      <c r="H18" s="7" t="str">
        <f t="shared" si="0"/>
        <v>Milestone\Appframe\Model</v>
      </c>
      <c r="I18" s="5" t="s">
        <v>477</v>
      </c>
      <c r="J18" s="4"/>
      <c r="K18" s="4"/>
      <c r="L18" s="5" t="s">
        <v>674</v>
      </c>
    </row>
    <row r="19" spans="1:12">
      <c r="A19" s="35" t="str">
        <f>Page&amp;"-"&amp;(COUNTA($E$1:ResourceTable[[#This Row],[Name]])-2)</f>
        <v>Resources-17</v>
      </c>
      <c r="B19" s="32" t="str">
        <f>ResourceTable[[#This Row],[Name]]</f>
        <v>ResourceFormCollection</v>
      </c>
      <c r="C19" s="35">
        <f>IF($C18=0,IF(ISNUMBER(VLOOKUP(Page,SeedMap[],9,0)),VLOOKUP(Page,SeedMap[],9,0)+1,1),IFERROR($C18+1,0))</f>
        <v>17</v>
      </c>
      <c r="D19" s="35">
        <f>ResourceTable[[#This Row],[RID]]</f>
        <v>17</v>
      </c>
      <c r="E19" s="4" t="s">
        <v>511</v>
      </c>
      <c r="F19" s="4" t="s">
        <v>512</v>
      </c>
      <c r="G19" s="4" t="s">
        <v>513</v>
      </c>
      <c r="H19" s="7" t="str">
        <f t="shared" si="0"/>
        <v>Milestone\Appframe\Model</v>
      </c>
      <c r="I19" s="4" t="s">
        <v>514</v>
      </c>
      <c r="J19" s="4"/>
      <c r="K19" s="4"/>
      <c r="L19" s="5" t="s">
        <v>674</v>
      </c>
    </row>
    <row r="20" spans="1:12">
      <c r="A20" s="35" t="str">
        <f>Page&amp;"-"&amp;(COUNTA($E$1:ResourceTable[[#This Row],[Name]])-2)</f>
        <v>Resources-18</v>
      </c>
      <c r="B20" s="32" t="str">
        <f>ResourceTable[[#This Row],[Name]]</f>
        <v>ResourceFormUpload</v>
      </c>
      <c r="C20" s="35">
        <f>IF($C19=0,IF(ISNUMBER(VLOOKUP(Page,SeedMap[],9,0)),VLOOKUP(Page,SeedMap[],9,0)+1,1),IFERROR($C19+1,0))</f>
        <v>18</v>
      </c>
      <c r="D20" s="35">
        <f>ResourceTable[[#This Row],[RID]]</f>
        <v>18</v>
      </c>
      <c r="E20" s="4" t="s">
        <v>753</v>
      </c>
      <c r="F20" s="4" t="s">
        <v>755</v>
      </c>
      <c r="G20" s="4" t="s">
        <v>754</v>
      </c>
      <c r="H20" s="7" t="str">
        <f>"Milestone\Appframe\Model"</f>
        <v>Milestone\Appframe\Model</v>
      </c>
      <c r="I20" s="4" t="s">
        <v>756</v>
      </c>
      <c r="J20" s="4"/>
      <c r="K20" s="4"/>
      <c r="L20" s="5" t="s">
        <v>674</v>
      </c>
    </row>
    <row r="21" spans="1:12">
      <c r="A21" s="35" t="str">
        <f>Page&amp;"-"&amp;(COUNTA($E$1:ResourceTable[[#This Row],[Name]])-2)</f>
        <v>Resources-19</v>
      </c>
      <c r="B21" s="32" t="str">
        <f>ResourceTable[[#This Row],[Name]]</f>
        <v>ResourceFormDefault</v>
      </c>
      <c r="C21" s="35">
        <f>IF($C20=0,IF(ISNUMBER(VLOOKUP(Page,SeedMap[],9,0)),VLOOKUP(Page,SeedMap[],9,0)+1,1),IFERROR($C20+1,0))</f>
        <v>19</v>
      </c>
      <c r="D21" s="35">
        <f>ResourceTable[[#This Row],[RID]]</f>
        <v>19</v>
      </c>
      <c r="E21" s="2" t="s">
        <v>379</v>
      </c>
      <c r="F21" s="2" t="s">
        <v>380</v>
      </c>
      <c r="G21" s="2" t="s">
        <v>381</v>
      </c>
      <c r="H21" s="7" t="str">
        <f t="shared" si="0"/>
        <v>Milestone\Appframe\Model</v>
      </c>
      <c r="I21" s="2" t="s">
        <v>382</v>
      </c>
      <c r="J21" s="4"/>
      <c r="K21" s="4"/>
      <c r="L21" s="5" t="s">
        <v>674</v>
      </c>
    </row>
    <row r="22" spans="1:12">
      <c r="A22" s="35" t="str">
        <f>Page&amp;"-"&amp;(COUNTA($E$1:ResourceTable[[#This Row],[Name]])-2)</f>
        <v>Resources-20</v>
      </c>
      <c r="B22" s="32" t="str">
        <f>ResourceTable[[#This Row],[Name]]</f>
        <v>ResourceList</v>
      </c>
      <c r="C22" s="35">
        <f>IF($C21=0,IF(ISNUMBER(VLOOKUP(Page,SeedMap[],9,0)),VLOOKUP(Page,SeedMap[],9,0)+1,1),IFERROR($C21+1,0))</f>
        <v>20</v>
      </c>
      <c r="D22" s="35">
        <f>ResourceTable[[#This Row],[RID]]</f>
        <v>20</v>
      </c>
      <c r="E22" s="4" t="s">
        <v>407</v>
      </c>
      <c r="F22" s="4" t="s">
        <v>408</v>
      </c>
      <c r="G22" s="4" t="s">
        <v>300</v>
      </c>
      <c r="H22" s="7" t="str">
        <f t="shared" si="0"/>
        <v>Milestone\Appframe\Model</v>
      </c>
      <c r="I22" s="4" t="s">
        <v>409</v>
      </c>
      <c r="J22" s="4"/>
      <c r="K22" s="4"/>
      <c r="L22" s="5" t="s">
        <v>674</v>
      </c>
    </row>
    <row r="23" spans="1:12">
      <c r="A23" s="35" t="str">
        <f>Page&amp;"-"&amp;(COUNTA($E$1:ResourceTable[[#This Row],[Name]])-2)</f>
        <v>Resources-21</v>
      </c>
      <c r="B23" s="32" t="str">
        <f>ResourceTable[[#This Row],[Name]]</f>
        <v>ResourceListRelation</v>
      </c>
      <c r="C23" s="35">
        <f>IF($C22=0,IF(ISNUMBER(VLOOKUP(Page,SeedMap[],9,0)),VLOOKUP(Page,SeedMap[],9,0)+1,1),IFERROR($C22+1,0))</f>
        <v>21</v>
      </c>
      <c r="D23" s="35">
        <f>ResourceTable[[#This Row],[RID]]</f>
        <v>21</v>
      </c>
      <c r="E23" s="5" t="s">
        <v>411</v>
      </c>
      <c r="F23" s="5" t="s">
        <v>412</v>
      </c>
      <c r="G23" s="5" t="s">
        <v>413</v>
      </c>
      <c r="H23" s="7" t="str">
        <f t="shared" si="0"/>
        <v>Milestone\Appframe\Model</v>
      </c>
      <c r="I23" s="5" t="s">
        <v>414</v>
      </c>
      <c r="J23" s="4"/>
      <c r="K23" s="4"/>
      <c r="L23" s="5" t="s">
        <v>674</v>
      </c>
    </row>
    <row r="24" spans="1:12">
      <c r="A24" s="35" t="str">
        <f>Page&amp;"-"&amp;(COUNTA($E$1:ResourceTable[[#This Row],[Name]])-2)</f>
        <v>Resources-22</v>
      </c>
      <c r="B24" s="32" t="str">
        <f>ResourceTable[[#This Row],[Name]]</f>
        <v>ResourceListScope</v>
      </c>
      <c r="C24" s="35">
        <f>IF($C23=0,IF(ISNUMBER(VLOOKUP(Page,SeedMap[],9,0)),VLOOKUP(Page,SeedMap[],9,0)+1,1),IFERROR($C23+1,0))</f>
        <v>22</v>
      </c>
      <c r="D24" s="35">
        <f>ResourceTable[[#This Row],[RID]]</f>
        <v>22</v>
      </c>
      <c r="E24" s="5" t="s">
        <v>417</v>
      </c>
      <c r="F24" s="5" t="s">
        <v>418</v>
      </c>
      <c r="G24" s="5" t="s">
        <v>419</v>
      </c>
      <c r="H24" s="7" t="str">
        <f t="shared" si="0"/>
        <v>Milestone\Appframe\Model</v>
      </c>
      <c r="I24" s="5" t="s">
        <v>420</v>
      </c>
      <c r="J24" s="4"/>
      <c r="K24" s="4"/>
      <c r="L24" s="5" t="s">
        <v>674</v>
      </c>
    </row>
    <row r="25" spans="1:12">
      <c r="A25" s="35" t="str">
        <f>Page&amp;"-"&amp;(COUNTA($E$1:ResourceTable[[#This Row],[Name]])-2)</f>
        <v>Resources-23</v>
      </c>
      <c r="B25" s="32" t="str">
        <f>ResourceTable[[#This Row],[Name]]</f>
        <v>ResourceListLayout</v>
      </c>
      <c r="C25" s="35">
        <f>IF($C24=0,IF(ISNUMBER(VLOOKUP(Page,SeedMap[],9,0)),VLOOKUP(Page,SeedMap[],9,0)+1,1),IFERROR($C24+1,0))</f>
        <v>23</v>
      </c>
      <c r="D25" s="35">
        <f>ResourceTable[[#This Row],[RID]]</f>
        <v>23</v>
      </c>
      <c r="E25" s="5" t="s">
        <v>443</v>
      </c>
      <c r="F25" s="5" t="s">
        <v>444</v>
      </c>
      <c r="G25" s="5" t="s">
        <v>445</v>
      </c>
      <c r="H25" s="7" t="str">
        <f t="shared" si="0"/>
        <v>Milestone\Appframe\Model</v>
      </c>
      <c r="I25" s="5" t="s">
        <v>446</v>
      </c>
      <c r="J25" s="4"/>
      <c r="K25" s="4"/>
      <c r="L25" s="5" t="s">
        <v>674</v>
      </c>
    </row>
    <row r="26" spans="1:12">
      <c r="A26" s="35" t="str">
        <f>Page&amp;"-"&amp;(COUNTA($E$1:ResourceTable[[#This Row],[Name]])-2)</f>
        <v>Resources-24</v>
      </c>
      <c r="B26" s="32" t="str">
        <f>ResourceTable[[#This Row],[Name]]</f>
        <v>ResourceListSearch</v>
      </c>
      <c r="C26" s="35">
        <f>IF($C25=0,IF(ISNUMBER(VLOOKUP(Page,SeedMap[],9,0)),VLOOKUP(Page,SeedMap[],9,0)+1,1),IFERROR($C25+1,0))</f>
        <v>24</v>
      </c>
      <c r="D26" s="35">
        <f>ResourceTable[[#This Row],[RID]]</f>
        <v>24</v>
      </c>
      <c r="E26" s="4" t="s">
        <v>533</v>
      </c>
      <c r="F26" s="4" t="s">
        <v>534</v>
      </c>
      <c r="G26" s="4" t="s">
        <v>535</v>
      </c>
      <c r="H26" s="7" t="str">
        <f t="shared" si="0"/>
        <v>Milestone\Appframe\Model</v>
      </c>
      <c r="I26" s="4" t="s">
        <v>536</v>
      </c>
      <c r="J26" s="4"/>
      <c r="K26" s="4"/>
      <c r="L26" s="5" t="s">
        <v>674</v>
      </c>
    </row>
    <row r="27" spans="1:12">
      <c r="A27" s="35" t="str">
        <f>Page&amp;"-"&amp;(COUNTA($E$1:ResourceTable[[#This Row],[Name]])-2)</f>
        <v>Resources-25</v>
      </c>
      <c r="B27" s="32" t="str">
        <f>ResourceTable[[#This Row],[Name]]</f>
        <v>ResourceData</v>
      </c>
      <c r="C27" s="35">
        <f>IF($C26=0,IF(ISNUMBER(VLOOKUP(Page,SeedMap[],9,0)),VLOOKUP(Page,SeedMap[],9,0)+1,1),IFERROR($C26+1,0))</f>
        <v>25</v>
      </c>
      <c r="D27" s="35">
        <f>ResourceTable[[#This Row],[RID]]</f>
        <v>25</v>
      </c>
      <c r="E27" s="5" t="s">
        <v>430</v>
      </c>
      <c r="F27" s="5" t="s">
        <v>452</v>
      </c>
      <c r="G27" s="5" t="s">
        <v>302</v>
      </c>
      <c r="H27" s="7" t="str">
        <f t="shared" si="0"/>
        <v>Milestone\Appframe\Model</v>
      </c>
      <c r="I27" s="5" t="s">
        <v>431</v>
      </c>
      <c r="J27" s="4"/>
      <c r="K27" s="4"/>
      <c r="L27" s="5" t="s">
        <v>674</v>
      </c>
    </row>
    <row r="28" spans="1:12">
      <c r="A28" s="35" t="str">
        <f>Page&amp;"-"&amp;(COUNTA($E$1:ResourceTable[[#This Row],[Name]])-2)</f>
        <v>Resources-26</v>
      </c>
      <c r="B28" s="32" t="str">
        <f>ResourceTable[[#This Row],[Name]]</f>
        <v>ResourceDataRelation</v>
      </c>
      <c r="C28" s="35">
        <f>IF($C27=0,IF(ISNUMBER(VLOOKUP(Page,SeedMap[],9,0)),VLOOKUP(Page,SeedMap[],9,0)+1,1),IFERROR($C27+1,0))</f>
        <v>26</v>
      </c>
      <c r="D28" s="35">
        <f>ResourceTable[[#This Row],[RID]]</f>
        <v>26</v>
      </c>
      <c r="E28" s="5" t="s">
        <v>432</v>
      </c>
      <c r="F28" s="5" t="s">
        <v>433</v>
      </c>
      <c r="G28" s="5" t="s">
        <v>434</v>
      </c>
      <c r="H28" s="7" t="str">
        <f t="shared" si="0"/>
        <v>Milestone\Appframe\Model</v>
      </c>
      <c r="I28" s="5" t="s">
        <v>435</v>
      </c>
      <c r="J28" s="4"/>
      <c r="K28" s="4"/>
      <c r="L28" s="5" t="s">
        <v>674</v>
      </c>
    </row>
    <row r="29" spans="1:12">
      <c r="A29" s="35" t="str">
        <f>Page&amp;"-"&amp;(COUNTA($E$1:ResourceTable[[#This Row],[Name]])-2)</f>
        <v>Resources-27</v>
      </c>
      <c r="B29" s="32" t="str">
        <f>ResourceTable[[#This Row],[Name]]</f>
        <v>ResourceDataScope</v>
      </c>
      <c r="C29" s="35">
        <f>IF($C28=0,IF(ISNUMBER(VLOOKUP(Page,SeedMap[],9,0)),VLOOKUP(Page,SeedMap[],9,0)+1,1),IFERROR($C28+1,0))</f>
        <v>27</v>
      </c>
      <c r="D29" s="35">
        <f>ResourceTable[[#This Row],[RID]]</f>
        <v>27</v>
      </c>
      <c r="E29" s="5" t="s">
        <v>750</v>
      </c>
      <c r="F29" s="5" t="s">
        <v>751</v>
      </c>
      <c r="G29" s="5" t="s">
        <v>531</v>
      </c>
      <c r="H29" s="7" t="str">
        <f t="shared" si="0"/>
        <v>Milestone\Appframe\Model</v>
      </c>
      <c r="I29" s="7" t="str">
        <f>"__"&amp;Tables[Name]</f>
        <v>__resource_data_relations</v>
      </c>
      <c r="J29" s="4"/>
      <c r="K29" s="4"/>
      <c r="L29" s="5" t="s">
        <v>674</v>
      </c>
    </row>
    <row r="30" spans="1:12">
      <c r="A30" s="35" t="str">
        <f>Page&amp;"-"&amp;(COUNTA($E$1:ResourceTable[[#This Row],[Name]])-2)</f>
        <v>Resources-28</v>
      </c>
      <c r="B30" s="32" t="str">
        <f>ResourceTable[[#This Row],[Name]]</f>
        <v>ResourceDataViewSection</v>
      </c>
      <c r="C30" s="35">
        <f>IF($C29=0,IF(ISNUMBER(VLOOKUP(Page,SeedMap[],9,0)),VLOOKUP(Page,SeedMap[],9,0)+1,1),IFERROR($C29+1,0))</f>
        <v>28</v>
      </c>
      <c r="D30" s="35">
        <f>ResourceTable[[#This Row],[RID]]</f>
        <v>28</v>
      </c>
      <c r="E30" s="4" t="s">
        <v>485</v>
      </c>
      <c r="F30" s="4" t="s">
        <v>486</v>
      </c>
      <c r="G30" s="4" t="s">
        <v>487</v>
      </c>
      <c r="H30" s="7" t="str">
        <f t="shared" si="0"/>
        <v>Milestone\Appframe\Model</v>
      </c>
      <c r="I30" s="4" t="s">
        <v>488</v>
      </c>
      <c r="J30" s="4"/>
      <c r="K30" s="4"/>
      <c r="L30" s="5" t="s">
        <v>674</v>
      </c>
    </row>
    <row r="31" spans="1:12">
      <c r="A31" s="35" t="str">
        <f>Page&amp;"-"&amp;(COUNTA($E$1:ResourceTable[[#This Row],[Name]])-2)</f>
        <v>Resources-29</v>
      </c>
      <c r="B31" s="32" t="str">
        <f>ResourceTable[[#This Row],[Name]]</f>
        <v>ResourceDataViewSectionItem</v>
      </c>
      <c r="C31" s="35">
        <f>IF($C30=0,IF(ISNUMBER(VLOOKUP(Page,SeedMap[],9,0)),VLOOKUP(Page,SeedMap[],9,0)+1,1),IFERROR($C30+1,0))</f>
        <v>29</v>
      </c>
      <c r="D31" s="35">
        <f>ResourceTable[[#This Row],[RID]]</f>
        <v>29</v>
      </c>
      <c r="E31" s="4" t="s">
        <v>492</v>
      </c>
      <c r="F31" s="4" t="s">
        <v>493</v>
      </c>
      <c r="G31" s="4" t="s">
        <v>494</v>
      </c>
      <c r="H31" s="7" t="str">
        <f t="shared" si="0"/>
        <v>Milestone\Appframe\Model</v>
      </c>
      <c r="I31" s="4" t="s">
        <v>495</v>
      </c>
      <c r="J31" s="4"/>
      <c r="K31" s="4"/>
      <c r="L31" s="5" t="s">
        <v>674</v>
      </c>
    </row>
    <row r="32" spans="1:12">
      <c r="A32" s="35" t="str">
        <f>Page&amp;"-"&amp;(COUNTA($E$1:ResourceTable[[#This Row],[Name]])-2)</f>
        <v>Resources-30</v>
      </c>
      <c r="B32" s="32" t="str">
        <f>ResourceTable[[#This Row],[Name]]</f>
        <v>ResourceAction</v>
      </c>
      <c r="C32" s="35">
        <f>IF($C31=0,IF(ISNUMBER(VLOOKUP(Page,SeedMap[],9,0)),VLOOKUP(Page,SeedMap[],9,0)+1,1),IFERROR($C31+1,0))</f>
        <v>30</v>
      </c>
      <c r="D32" s="35">
        <f>ResourceTable[[#This Row],[RID]]</f>
        <v>30</v>
      </c>
      <c r="E32" s="4" t="s">
        <v>256</v>
      </c>
      <c r="F32" s="4" t="s">
        <v>272</v>
      </c>
      <c r="G32" s="2" t="s">
        <v>253</v>
      </c>
      <c r="H32" s="7" t="str">
        <f t="shared" si="0"/>
        <v>Milestone\Appframe\Model</v>
      </c>
      <c r="I32" s="4" t="s">
        <v>257</v>
      </c>
      <c r="J32" s="4" t="s">
        <v>726</v>
      </c>
      <c r="K32" s="4" t="s">
        <v>675</v>
      </c>
      <c r="L32" s="5" t="s">
        <v>674</v>
      </c>
    </row>
    <row r="33" spans="1:12">
      <c r="A33" s="35" t="str">
        <f>Page&amp;"-"&amp;(COUNTA($E$1:ResourceTable[[#This Row],[Name]])-2)</f>
        <v>Resources-31</v>
      </c>
      <c r="B33" s="32" t="str">
        <f>ResourceTable[[#This Row],[Name]]</f>
        <v>ResourceActionMethod</v>
      </c>
      <c r="C33" s="35">
        <f>IF($C32=0,IF(ISNUMBER(VLOOKUP(Page,SeedMap[],9,0)),VLOOKUP(Page,SeedMap[],9,0)+1,1),IFERROR($C32+1,0))</f>
        <v>31</v>
      </c>
      <c r="D33" s="35">
        <f>ResourceTable[[#This Row],[RID]]</f>
        <v>31</v>
      </c>
      <c r="E33" s="4" t="s">
        <v>279</v>
      </c>
      <c r="F33" s="4" t="s">
        <v>280</v>
      </c>
      <c r="G33" s="4" t="s">
        <v>281</v>
      </c>
      <c r="H33" s="7" t="str">
        <f t="shared" si="0"/>
        <v>Milestone\Appframe\Model</v>
      </c>
      <c r="I33" s="4" t="s">
        <v>282</v>
      </c>
      <c r="J33" s="4"/>
      <c r="K33" s="4"/>
      <c r="L33" s="5" t="s">
        <v>674</v>
      </c>
    </row>
    <row r="34" spans="1:12">
      <c r="A34" s="35" t="str">
        <f>Page&amp;"-"&amp;(COUNTA($E$1:ResourceTable[[#This Row],[Name]])-2)</f>
        <v>Resources-32</v>
      </c>
      <c r="B34" s="32" t="str">
        <f>ResourceTable[[#This Row],[Name]]</f>
        <v>ResourceActionAttr</v>
      </c>
      <c r="C34" s="35">
        <f>IF($C33=0,IF(ISNUMBER(VLOOKUP(Page,SeedMap[],9,0)),VLOOKUP(Page,SeedMap[],9,0)+1,1),IFERROR($C33+1,0))</f>
        <v>32</v>
      </c>
      <c r="D34" s="35">
        <f>ResourceTable[[#This Row],[RID]]</f>
        <v>32</v>
      </c>
      <c r="E34" s="4" t="s">
        <v>757</v>
      </c>
      <c r="F34" s="4" t="s">
        <v>759</v>
      </c>
      <c r="G34" s="4" t="s">
        <v>760</v>
      </c>
      <c r="H34" s="7" t="str">
        <f>"Milestone\Appframe\Model"</f>
        <v>Milestone\Appframe\Model</v>
      </c>
      <c r="I34" s="4" t="s">
        <v>758</v>
      </c>
      <c r="J34" s="4"/>
      <c r="K34" s="4"/>
      <c r="L34" s="5" t="s">
        <v>674</v>
      </c>
    </row>
    <row r="35" spans="1:12">
      <c r="A35" s="35" t="str">
        <f>Page&amp;"-"&amp;(COUNTA($E$1:ResourceTable[[#This Row],[Name]])-2)</f>
        <v>Resources-33</v>
      </c>
      <c r="B35" s="32" t="str">
        <f>ResourceTable[[#This Row],[Name]]</f>
        <v>ResourceActionList</v>
      </c>
      <c r="C35" s="35">
        <f>IF($C34=0,IF(ISNUMBER(VLOOKUP(Page,SeedMap[],9,0)),VLOOKUP(Page,SeedMap[],9,0)+1,1),IFERROR($C34+1,0))</f>
        <v>33</v>
      </c>
      <c r="D35" s="35">
        <f>ResourceTable[[#This Row],[RID]]</f>
        <v>33</v>
      </c>
      <c r="E35" s="4" t="s">
        <v>291</v>
      </c>
      <c r="F35" s="4" t="s">
        <v>292</v>
      </c>
      <c r="G35" s="4" t="s">
        <v>293</v>
      </c>
      <c r="H35" s="7" t="str">
        <f t="shared" si="0"/>
        <v>Milestone\Appframe\Model</v>
      </c>
      <c r="I35" s="4" t="s">
        <v>294</v>
      </c>
      <c r="J35" s="4"/>
      <c r="K35" s="4"/>
      <c r="L35" s="5" t="s">
        <v>674</v>
      </c>
    </row>
    <row r="36" spans="1:12">
      <c r="A36" s="35" t="str">
        <f>Page&amp;"-"&amp;(COUNTA($E$1:ResourceTable[[#This Row],[Name]])-2)</f>
        <v>Resources-34</v>
      </c>
      <c r="B36" s="32" t="str">
        <f>ResourceTable[[#This Row],[Name]]</f>
        <v>ResourceActionData</v>
      </c>
      <c r="C36" s="35">
        <f>IF($C35=0,IF(ISNUMBER(VLOOKUP(Page,SeedMap[],9,0)),VLOOKUP(Page,SeedMap[],9,0)+1,1),IFERROR($C35+1,0))</f>
        <v>34</v>
      </c>
      <c r="D36" s="35">
        <f>ResourceTable[[#This Row],[RID]]</f>
        <v>34</v>
      </c>
      <c r="E36" s="4" t="s">
        <v>298</v>
      </c>
      <c r="F36" s="4" t="s">
        <v>297</v>
      </c>
      <c r="G36" s="4" t="s">
        <v>296</v>
      </c>
      <c r="H36" s="7" t="str">
        <f t="shared" si="0"/>
        <v>Milestone\Appframe\Model</v>
      </c>
      <c r="I36" s="4" t="s">
        <v>295</v>
      </c>
      <c r="J36" s="4"/>
      <c r="K36" s="4"/>
      <c r="L36" s="5" t="s">
        <v>674</v>
      </c>
    </row>
    <row r="37" spans="1:12">
      <c r="A37" s="35" t="str">
        <f>Page&amp;"-"&amp;(COUNTA($E$1:ResourceTable[[#This Row],[Name]])-2)</f>
        <v>Resources-35</v>
      </c>
      <c r="B37" s="32" t="str">
        <f>ResourceTable[[#This Row],[Name]]</f>
        <v>ResourceDefault</v>
      </c>
      <c r="C37" s="35">
        <f>IF($C36=0,IF(ISNUMBER(VLOOKUP(Page,SeedMap[],9,0)),VLOOKUP(Page,SeedMap[],9,0)+1,1),IFERROR($C36+1,0))</f>
        <v>35</v>
      </c>
      <c r="D37" s="35">
        <f>ResourceTable[[#This Row],[RID]]</f>
        <v>35</v>
      </c>
      <c r="E37" s="4" t="s">
        <v>761</v>
      </c>
      <c r="F37" s="4" t="s">
        <v>762</v>
      </c>
      <c r="G37" s="4" t="s">
        <v>763</v>
      </c>
      <c r="H37" s="7" t="str">
        <f>"Milestone\Appframe\Model"</f>
        <v>Milestone\Appframe\Model</v>
      </c>
      <c r="I37" s="4" t="s">
        <v>764</v>
      </c>
      <c r="J37" s="4"/>
      <c r="K37" s="4"/>
      <c r="L37" s="5" t="s">
        <v>674</v>
      </c>
    </row>
    <row r="38" spans="1:12">
      <c r="A38" s="35" t="str">
        <f>Page&amp;"-"&amp;(COUNTA($E$1:ResourceTable[[#This Row],[Name]])-2)</f>
        <v>Resources-36</v>
      </c>
      <c r="B38" s="32" t="str">
        <f>ResourceTable[[#This Row],[Name]]</f>
        <v>ResourceMetric</v>
      </c>
      <c r="C38" s="35">
        <f>IF($C37=0,IF(ISNUMBER(VLOOKUP(Page,SeedMap[],9,0)),VLOOKUP(Page,SeedMap[],9,0)+1,1),IFERROR($C37+1,0))</f>
        <v>36</v>
      </c>
      <c r="D38" s="35">
        <f>ResourceTable[[#This Row],[RID]]</f>
        <v>36</v>
      </c>
      <c r="E38" s="2" t="s">
        <v>609</v>
      </c>
      <c r="F38" s="4" t="s">
        <v>619</v>
      </c>
      <c r="G38" s="4" t="s">
        <v>605</v>
      </c>
      <c r="H38" s="7" t="str">
        <f t="shared" si="0"/>
        <v>Milestone\Appframe\Model</v>
      </c>
      <c r="I38" s="4" t="s">
        <v>617</v>
      </c>
      <c r="J38" s="4"/>
      <c r="K38" s="4"/>
      <c r="L38" s="5" t="s">
        <v>674</v>
      </c>
    </row>
    <row r="39" spans="1:12">
      <c r="A39" s="35" t="str">
        <f>Page&amp;"-"&amp;(COUNTA($E$1:ResourceTable[[#This Row],[Name]])-2)</f>
        <v>Resources-37</v>
      </c>
      <c r="B39" s="32" t="str">
        <f>ResourceTable[[#This Row],[Name]]</f>
        <v>ResourceDashboard</v>
      </c>
      <c r="C39" s="35">
        <f>IF($C38=0,IF(ISNUMBER(VLOOKUP(Page,SeedMap[],9,0)),VLOOKUP(Page,SeedMap[],9,0)+1,1),IFERROR($C38+1,0))</f>
        <v>37</v>
      </c>
      <c r="D39" s="35">
        <f>ResourceTable[[#This Row],[RID]]</f>
        <v>37</v>
      </c>
      <c r="E39" s="4" t="s">
        <v>606</v>
      </c>
      <c r="F39" s="4" t="s">
        <v>610</v>
      </c>
      <c r="G39" s="4" t="s">
        <v>613</v>
      </c>
      <c r="H39" s="7" t="str">
        <f t="shared" si="0"/>
        <v>Milestone\Appframe\Model</v>
      </c>
      <c r="I39" s="4" t="s">
        <v>614</v>
      </c>
      <c r="J39" s="4"/>
      <c r="K39" s="4"/>
      <c r="L39" s="5" t="s">
        <v>674</v>
      </c>
    </row>
    <row r="40" spans="1:12">
      <c r="A40" s="35" t="str">
        <f>Page&amp;"-"&amp;(COUNTA($E$1:ResourceTable[[#This Row],[Name]])-2)</f>
        <v>Resources-38</v>
      </c>
      <c r="B40" s="32" t="str">
        <f>ResourceTable[[#This Row],[Name]]</f>
        <v>ResourceDashboardSection</v>
      </c>
      <c r="C40" s="35">
        <f>IF($C39=0,IF(ISNUMBER(VLOOKUP(Page,SeedMap[],9,0)),VLOOKUP(Page,SeedMap[],9,0)+1,1),IFERROR($C39+1,0))</f>
        <v>38</v>
      </c>
      <c r="D40" s="35">
        <f>ResourceTable[[#This Row],[RID]]</f>
        <v>38</v>
      </c>
      <c r="E40" s="2" t="s">
        <v>607</v>
      </c>
      <c r="F40" s="2" t="s">
        <v>611</v>
      </c>
      <c r="G40" s="2" t="s">
        <v>618</v>
      </c>
      <c r="H40" s="7" t="str">
        <f t="shared" si="0"/>
        <v>Milestone\Appframe\Model</v>
      </c>
      <c r="I40" s="2" t="s">
        <v>615</v>
      </c>
      <c r="J40" s="4"/>
      <c r="K40" s="4"/>
      <c r="L40" s="5" t="s">
        <v>674</v>
      </c>
    </row>
    <row r="41" spans="1:12">
      <c r="A41" s="35" t="str">
        <f>Page&amp;"-"&amp;(COUNTA($E$1:ResourceTable[[#This Row],[Name]])-2)</f>
        <v>Resources-39</v>
      </c>
      <c r="B41" s="32" t="str">
        <f>ResourceTable[[#This Row],[Name]]</f>
        <v>ResourceDashboardSectionItem</v>
      </c>
      <c r="C41" s="35">
        <f>IF($C40=0,IF(ISNUMBER(VLOOKUP(Page,SeedMap[],9,0)),VLOOKUP(Page,SeedMap[],9,0)+1,1),IFERROR($C40+1,0))</f>
        <v>39</v>
      </c>
      <c r="D41" s="35">
        <f>ResourceTable[[#This Row],[RID]]</f>
        <v>39</v>
      </c>
      <c r="E41" s="2" t="s">
        <v>608</v>
      </c>
      <c r="F41" s="4" t="s">
        <v>612</v>
      </c>
      <c r="G41" s="4" t="s">
        <v>604</v>
      </c>
      <c r="H41" s="7" t="str">
        <f t="shared" si="0"/>
        <v>Milestone\Appframe\Model</v>
      </c>
      <c r="I41" s="4" t="s">
        <v>616</v>
      </c>
      <c r="J41" s="4"/>
      <c r="K41" s="4"/>
      <c r="L41" s="5" t="s">
        <v>674</v>
      </c>
    </row>
    <row r="42" spans="1:12">
      <c r="A42" s="35" t="str">
        <f>Page&amp;"-"&amp;(COUNTA($E$1:ResourceTable[[#This Row],[Name]])-2)</f>
        <v>Resources-40</v>
      </c>
      <c r="B42" s="32" t="str">
        <f>ResourceTable[[#This Row],[Name]]</f>
        <v>Organisation</v>
      </c>
      <c r="C42" s="35">
        <f>IF($C41=0,IF(ISNUMBER(VLOOKUP(Page,SeedMap[],9,0)),VLOOKUP(Page,SeedMap[],9,0)+1,1),IFERROR($C41+1,0))</f>
        <v>40</v>
      </c>
      <c r="D42" s="35">
        <f>ResourceTable[[#This Row],[RID]]</f>
        <v>40</v>
      </c>
      <c r="E42" s="4" t="s">
        <v>201</v>
      </c>
      <c r="F42" s="4" t="s">
        <v>202</v>
      </c>
      <c r="G42" s="4" t="s">
        <v>201</v>
      </c>
      <c r="H42" s="7" t="str">
        <f t="shared" si="0"/>
        <v>Milestone\Appframe\Model</v>
      </c>
      <c r="I42" s="4" t="s">
        <v>203</v>
      </c>
      <c r="J42" s="4"/>
      <c r="K42" s="4"/>
      <c r="L42" s="5" t="s">
        <v>674</v>
      </c>
    </row>
    <row r="43" spans="1:12">
      <c r="A43" s="35" t="str">
        <f>Page&amp;"-"&amp;(COUNTA($E$1:ResourceTable[[#This Row],[Name]])-2)</f>
        <v>Resources-41</v>
      </c>
      <c r="B43" s="32" t="str">
        <f>ResourceTable[[#This Row],[Name]]</f>
        <v>OrganisationContact</v>
      </c>
      <c r="C43" s="35">
        <f>IF($C42=0,IF(ISNUMBER(VLOOKUP(Page,SeedMap[],9,0)),VLOOKUP(Page,SeedMap[],9,0)+1,1),IFERROR($C42+1,0))</f>
        <v>41</v>
      </c>
      <c r="D43" s="35">
        <f>ResourceTable[[#This Row],[RID]]</f>
        <v>41</v>
      </c>
      <c r="E43" s="4" t="s">
        <v>259</v>
      </c>
      <c r="F43" s="4" t="s">
        <v>248</v>
      </c>
      <c r="G43" s="4" t="s">
        <v>237</v>
      </c>
      <c r="H43" s="7" t="str">
        <f t="shared" si="0"/>
        <v>Milestone\Appframe\Model</v>
      </c>
      <c r="I43" s="4" t="s">
        <v>249</v>
      </c>
      <c r="J43" s="4"/>
      <c r="K43" s="4"/>
      <c r="L43" s="5" t="s">
        <v>674</v>
      </c>
    </row>
  </sheetData>
  <dataValidations count="1">
    <dataValidation type="list" allowBlank="1" showInputMessage="1" showErrorMessage="1" sqref="I26 I3:I7 I12:I17 I10 I19:I22 I30:I43">
      <formula1>ActualTableNames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78"/>
  <sheetViews>
    <sheetView topLeftCell="E64" workbookViewId="0">
      <selection activeCell="J78" sqref="J78"/>
    </sheetView>
  </sheetViews>
  <sheetFormatPr defaultRowHeight="15"/>
  <cols>
    <col min="1" max="1" width="16.28515625" style="20" hidden="1" customWidth="1"/>
    <col min="2" max="2" width="7.85546875" style="20" hidden="1" customWidth="1"/>
    <col min="3" max="3" width="30.140625" style="20" hidden="1" customWidth="1"/>
    <col min="4" max="4" width="8.140625" style="20" hidden="1" customWidth="1"/>
    <col min="5" max="5" width="22.42578125" style="20" bestFit="1" customWidth="1"/>
    <col min="6" max="6" width="23.28515625" style="20" bestFit="1" customWidth="1"/>
    <col min="7" max="7" width="14.42578125" style="20" hidden="1" customWidth="1"/>
    <col min="8" max="8" width="13.5703125" style="20" hidden="1" customWidth="1"/>
    <col min="9" max="9" width="18.42578125" style="20" bestFit="1" customWidth="1"/>
    <col min="10" max="10" width="40.28515625" style="20" bestFit="1" customWidth="1"/>
    <col min="11" max="11" width="10.42578125" style="20" bestFit="1" customWidth="1"/>
    <col min="12" max="12" width="11.5703125" style="20" bestFit="1" customWidth="1"/>
    <col min="13" max="13" width="11.85546875" style="20" hidden="1" customWidth="1"/>
    <col min="14" max="14" width="6.28515625" style="21" bestFit="1" customWidth="1"/>
    <col min="15" max="15" width="11.140625" style="20" bestFit="1" customWidth="1"/>
    <col min="16" max="16" width="13.7109375" style="20" hidden="1" customWidth="1"/>
    <col min="17" max="17" width="11.42578125" style="20" bestFit="1" customWidth="1"/>
    <col min="18" max="18" width="11.42578125" style="21" hidden="1" customWidth="1"/>
    <col min="19" max="19" width="9.140625" style="20" hidden="1" customWidth="1"/>
    <col min="20" max="20" width="13.7109375" style="21" hidden="1" customWidth="1"/>
    <col min="21" max="21" width="15.28515625" style="20" bestFit="1" customWidth="1"/>
    <col min="22" max="22" width="26.5703125" style="20" bestFit="1" customWidth="1"/>
    <col min="23" max="23" width="11.140625" style="20" bestFit="1" customWidth="1"/>
    <col min="24" max="16384" width="9.140625" style="20"/>
  </cols>
  <sheetData>
    <row r="1" spans="1:23">
      <c r="A1" s="21" t="s">
        <v>850</v>
      </c>
      <c r="B1" s="20" t="s">
        <v>239</v>
      </c>
      <c r="C1" s="21" t="s">
        <v>836</v>
      </c>
      <c r="D1" s="21" t="s">
        <v>786</v>
      </c>
      <c r="E1" s="20" t="s">
        <v>204</v>
      </c>
      <c r="F1" s="20" t="s">
        <v>319</v>
      </c>
      <c r="G1" s="21" t="s">
        <v>785</v>
      </c>
      <c r="H1" s="21" t="s">
        <v>274</v>
      </c>
      <c r="I1" s="20" t="s">
        <v>1</v>
      </c>
      <c r="J1" s="20" t="s">
        <v>242</v>
      </c>
      <c r="K1" s="20" t="s">
        <v>275</v>
      </c>
      <c r="L1" s="20" t="s">
        <v>14</v>
      </c>
      <c r="M1" s="21" t="s">
        <v>320</v>
      </c>
      <c r="N1" s="21" t="s">
        <v>775</v>
      </c>
      <c r="P1" s="21" t="s">
        <v>850</v>
      </c>
      <c r="Q1" s="21" t="s">
        <v>920</v>
      </c>
      <c r="R1" s="21" t="s">
        <v>921</v>
      </c>
      <c r="S1" s="21" t="s">
        <v>239</v>
      </c>
      <c r="T1" s="21" t="s">
        <v>900</v>
      </c>
      <c r="U1" s="21" t="s">
        <v>1</v>
      </c>
      <c r="V1" s="21" t="s">
        <v>242</v>
      </c>
      <c r="W1" s="21" t="s">
        <v>275</v>
      </c>
    </row>
    <row r="2" spans="1:23">
      <c r="A2" s="41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26</v>
      </c>
      <c r="J2" s="15" t="s">
        <v>28</v>
      </c>
      <c r="K2" s="15" t="s">
        <v>35</v>
      </c>
      <c r="L2" s="15" t="s">
        <v>48</v>
      </c>
      <c r="M2" s="41" t="s">
        <v>51</v>
      </c>
      <c r="N2" s="88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23</v>
      </c>
      <c r="U2" s="1" t="s">
        <v>26</v>
      </c>
      <c r="V2" s="1" t="s">
        <v>28</v>
      </c>
      <c r="W2" s="1" t="s">
        <v>35</v>
      </c>
    </row>
    <row r="3" spans="1:23">
      <c r="A3" s="40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Map'!$A$9,SeedMap[],9,0)),VLOOKUP('Table Seed Map'!$A$9,SeedMap[],9,0),0))</f>
        <v>1</v>
      </c>
      <c r="C3" s="15" t="str">
        <f>RelationTable[[#This Row],[Resource]]&amp;"/"&amp;RelationTable[[#This Row],[Method]]</f>
        <v>User/Groups</v>
      </c>
      <c r="D3" s="15">
        <f>RelationTable[[#This Row],[No]]</f>
        <v>1</v>
      </c>
      <c r="E3" s="6" t="s">
        <v>174</v>
      </c>
      <c r="F3" s="6" t="s">
        <v>235</v>
      </c>
      <c r="G3" s="15">
        <f>RelationTable[[#This Row],[No]]</f>
        <v>1</v>
      </c>
      <c r="H3" s="15">
        <f>IF(RelationTable[[#This Row],[No]]="id","resource",VLOOKUP([Resource],CHOOSE({1,2},ResourceTable[Name],ResourceTable[No]),2,0))</f>
        <v>1</v>
      </c>
      <c r="I3" s="15" t="s">
        <v>218</v>
      </c>
      <c r="J3" s="15" t="s">
        <v>211</v>
      </c>
      <c r="K3" s="15" t="s">
        <v>177</v>
      </c>
      <c r="L3" s="15" t="s">
        <v>212</v>
      </c>
      <c r="M3" s="42">
        <f>VLOOKUP([Relate Resource],CHOOSE({1,2},ResourceTable[Name],ResourceTable[No]),2,0)</f>
        <v>2</v>
      </c>
      <c r="N3" s="88">
        <f>[RELID]</f>
        <v>1</v>
      </c>
      <c r="P3" s="9" t="str">
        <f>'Table Seed Map'!$A$8&amp;"-"&amp;COUNTA($Q$1:ResourceScopes[[#This Row],[Resource for Scope]])-1</f>
        <v>Resource Scopes-1</v>
      </c>
      <c r="Q3" s="2" t="s">
        <v>174</v>
      </c>
      <c r="R3" s="9" t="str">
        <f>ResourceScopes[[#This Row],[Resource for Scope]]&amp;"/"&amp;ResourceScopes[[#This Row],[Name]]</f>
        <v>User/AdministratorsScope</v>
      </c>
      <c r="S3" s="16">
        <f>IF($S2="id",IF(ISNUMBER(VLOOKUP('Table Seed Map'!$A$8,SeedMap[],9,0)),VLOOKUP('Table Seed Map'!$A$8,SeedMap[],9,0)+1,1),IFERROR($S2+1,"id"))</f>
        <v>1</v>
      </c>
      <c r="T3" s="16">
        <f>VLOOKUP(ResourceScopes[[#This Row],[Resource for Scope]],ResourceTable[[RName]:[RID]],2,0)</f>
        <v>1</v>
      </c>
      <c r="U3" s="2" t="s">
        <v>771</v>
      </c>
      <c r="V3" s="2" t="s">
        <v>773</v>
      </c>
      <c r="W3" s="2" t="s">
        <v>161</v>
      </c>
    </row>
    <row r="4" spans="1:23">
      <c r="A4" s="40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Map'!$A$9,SeedMap[],9,0)),VLOOKUP('Table Seed Map'!$A$9,SeedMap[],9,0),0))</f>
        <v>2</v>
      </c>
      <c r="C4" s="15" t="str">
        <f>RelationTable[[#This Row],[Resource]]&amp;"/"&amp;RelationTable[[#This Row],[Method]]</f>
        <v>Group/Users</v>
      </c>
      <c r="D4" s="15">
        <f>RelationTable[[#This Row],[No]]</f>
        <v>2</v>
      </c>
      <c r="E4" s="9" t="s">
        <v>235</v>
      </c>
      <c r="F4" s="9" t="s">
        <v>174</v>
      </c>
      <c r="G4" s="15">
        <f>RelationTable[[#This Row],[No]]</f>
        <v>2</v>
      </c>
      <c r="H4" s="15">
        <f>IF(RelationTable[[#This Row],[No]]="id","resource",VLOOKUP([Resource],CHOOSE({1,2},ResourceTable[Name],ResourceTable[No]),2,0))</f>
        <v>2</v>
      </c>
      <c r="I4" s="16" t="s">
        <v>219</v>
      </c>
      <c r="J4" s="16" t="s">
        <v>213</v>
      </c>
      <c r="K4" s="16" t="s">
        <v>180</v>
      </c>
      <c r="L4" s="16" t="s">
        <v>212</v>
      </c>
      <c r="M4" s="42">
        <f>VLOOKUP([Relate Resource],CHOOSE({1,2},ResourceTable[Name],ResourceTable[No]),2,0)</f>
        <v>1</v>
      </c>
      <c r="N4" s="88">
        <f>[RELID]</f>
        <v>2</v>
      </c>
      <c r="P4" s="9" t="str">
        <f>'Table Seed Map'!$A$8&amp;"-"&amp;COUNTA($Q$1:ResourceScopes[[#This Row],[Resource for Scope]])-1</f>
        <v>Resource Scopes-2</v>
      </c>
      <c r="Q4" s="2" t="s">
        <v>174</v>
      </c>
      <c r="R4" s="9" t="str">
        <f>ResourceScopes[[#This Row],[Resource for Scope]]&amp;"/"&amp;ResourceScopes[[#This Row],[Name]]</f>
        <v>User/DevelopersScope</v>
      </c>
      <c r="S4" s="16">
        <f>IF($S3="id",IF(ISNUMBER(VLOOKUP('Table Seed Map'!$A$8,SeedMap[],9,0)),VLOOKUP('Table Seed Map'!$A$8,SeedMap[],9,0)+1,1),IFERROR($S3+1,"id"))</f>
        <v>2</v>
      </c>
      <c r="T4" s="16">
        <f>VLOOKUP(ResourceScopes[[#This Row],[Resource for Scope]],ResourceTable[[RName]:[RID]],2,0)</f>
        <v>1</v>
      </c>
      <c r="U4" s="2" t="s">
        <v>772</v>
      </c>
      <c r="V4" s="2" t="s">
        <v>774</v>
      </c>
      <c r="W4" s="2" t="s">
        <v>160</v>
      </c>
    </row>
    <row r="5" spans="1:23">
      <c r="A5" s="40" t="str">
        <f>Page&amp;"-"&amp;(COUNTA($E$1:RelationTable[[#This Row],[Resource]])-1)</f>
        <v>Resource Relations-3</v>
      </c>
      <c r="B5" s="3">
        <f>IF(RelationTable[[#This Row],[Resource]]="","id",COUNTA($E$2:RelationTable[[#This Row],[Resource]])+IF(ISNUMBER(VLOOKUP('Table Seed Map'!$A$9,SeedMap[],9,0)),VLOOKUP('Table Seed Map'!$A$9,SeedMap[],9,0),0))</f>
        <v>3</v>
      </c>
      <c r="C5" s="15" t="str">
        <f>RelationTable[[#This Row],[Resource]]&amp;"/"&amp;RelationTable[[#This Row],[Method]]</f>
        <v>Group/Roles</v>
      </c>
      <c r="D5" s="15">
        <f>RelationTable[[#This Row],[No]]</f>
        <v>3</v>
      </c>
      <c r="E5" s="9" t="s">
        <v>235</v>
      </c>
      <c r="F5" s="9" t="s">
        <v>258</v>
      </c>
      <c r="G5" s="15">
        <f>RelationTable[[#This Row],[No]]</f>
        <v>3</v>
      </c>
      <c r="H5" s="15">
        <f>IF(RelationTable[[#This Row],[No]]="id","resource",VLOOKUP([Resource],CHOOSE({1,2},ResourceTable[Name],ResourceTable[No]),2,0))</f>
        <v>2</v>
      </c>
      <c r="I5" s="16" t="s">
        <v>220</v>
      </c>
      <c r="J5" s="16" t="s">
        <v>214</v>
      </c>
      <c r="K5" s="16" t="s">
        <v>181</v>
      </c>
      <c r="L5" s="16" t="s">
        <v>212</v>
      </c>
      <c r="M5" s="42">
        <f>VLOOKUP([Relate Resource],CHOOSE({1,2},ResourceTable[Name],ResourceTable[No]),2,0)</f>
        <v>3</v>
      </c>
      <c r="N5" s="88">
        <f>[RELID]</f>
        <v>3</v>
      </c>
    </row>
    <row r="6" spans="1:23">
      <c r="A6" s="40" t="str">
        <f>Page&amp;"-"&amp;(COUNTA($E$1:RelationTable[[#This Row],[Resource]])-1)</f>
        <v>Resource Relations-4</v>
      </c>
      <c r="B6" s="3">
        <f>IF(RelationTable[[#This Row],[Resource]]="","id",COUNTA($E$2:RelationTable[[#This Row],[Resource]])+IF(ISNUMBER(VLOOKUP('Table Seed Map'!$A$9,SeedMap[],9,0)),VLOOKUP('Table Seed Map'!$A$9,SeedMap[],9,0),0))</f>
        <v>4</v>
      </c>
      <c r="C6" s="15" t="str">
        <f>RelationTable[[#This Row],[Resource]]&amp;"/"&amp;RelationTable[[#This Row],[Method]]</f>
        <v>Role/Groups</v>
      </c>
      <c r="D6" s="15">
        <f>RelationTable[[#This Row],[No]]</f>
        <v>4</v>
      </c>
      <c r="E6" s="9" t="s">
        <v>258</v>
      </c>
      <c r="F6" s="9" t="s">
        <v>235</v>
      </c>
      <c r="G6" s="15">
        <f>RelationTable[[#This Row],[No]]</f>
        <v>4</v>
      </c>
      <c r="H6" s="15">
        <f>IF(RelationTable[[#This Row],[No]]="id","resource",VLOOKUP([Resource],CHOOSE({1,2},ResourceTable[Name],ResourceTable[No]),2,0))</f>
        <v>3</v>
      </c>
      <c r="I6" s="16" t="s">
        <v>221</v>
      </c>
      <c r="J6" s="16" t="s">
        <v>215</v>
      </c>
      <c r="K6" s="16" t="s">
        <v>177</v>
      </c>
      <c r="L6" s="16" t="s">
        <v>212</v>
      </c>
      <c r="M6" s="42">
        <f>VLOOKUP([Relate Resource],CHOOSE({1,2},ResourceTable[Name],ResourceTable[No]),2,0)</f>
        <v>2</v>
      </c>
      <c r="N6" s="88">
        <f>[RELID]</f>
        <v>4</v>
      </c>
    </row>
    <row r="7" spans="1:23">
      <c r="A7" s="40" t="str">
        <f>Page&amp;"-"&amp;(COUNTA($E$1:RelationTable[[#This Row],[Resource]])-1)</f>
        <v>Resource Relations-5</v>
      </c>
      <c r="B7" s="3">
        <f>IF(RelationTable[[#This Row],[Resource]]="","id",COUNTA($E$2:RelationTable[[#This Row],[Resource]])+IF(ISNUMBER(VLOOKUP('Table Seed Map'!$A$9,SeedMap[],9,0)),VLOOKUP('Table Seed Map'!$A$9,SeedMap[],9,0),0))</f>
        <v>5</v>
      </c>
      <c r="C7" s="15" t="str">
        <f>RelationTable[[#This Row],[Resource]]&amp;"/"&amp;RelationTable[[#This Row],[Method]]</f>
        <v>Role/Resources</v>
      </c>
      <c r="D7" s="15">
        <f>RelationTable[[#This Row],[No]]</f>
        <v>5</v>
      </c>
      <c r="E7" s="9" t="s">
        <v>258</v>
      </c>
      <c r="F7" s="9" t="s">
        <v>304</v>
      </c>
      <c r="G7" s="15">
        <f>RelationTable[[#This Row],[No]]</f>
        <v>5</v>
      </c>
      <c r="H7" s="15">
        <f>IF(RelationTable[[#This Row],[No]]="id","resource",VLOOKUP([Resource],CHOOSE({1,2},ResourceTable[Name],ResourceTable[No]),2,0))</f>
        <v>3</v>
      </c>
      <c r="I7" s="16" t="s">
        <v>222</v>
      </c>
      <c r="J7" s="16" t="s">
        <v>303</v>
      </c>
      <c r="K7" s="16" t="s">
        <v>216</v>
      </c>
      <c r="L7" s="16" t="s">
        <v>250</v>
      </c>
      <c r="M7" s="42">
        <f>VLOOKUP([Relate Resource],CHOOSE({1,2},ResourceTable[Name],ResourceTable[No]),2,0)</f>
        <v>5</v>
      </c>
      <c r="N7" s="88">
        <f>[RELID]</f>
        <v>5</v>
      </c>
    </row>
    <row r="8" spans="1:23">
      <c r="A8" s="40" t="str">
        <f>Page&amp;"-"&amp;(COUNTA($E$1:RelationTable[[#This Row],[Resource]])-1)</f>
        <v>Resource Relations-6</v>
      </c>
      <c r="B8" s="3">
        <f>IF(RelationTable[[#This Row],[Resource]]="","id",COUNTA($E$2:RelationTable[[#This Row],[Resource]])+IF(ISNUMBER(VLOOKUP('Table Seed Map'!$A$9,SeedMap[],9,0)),VLOOKUP('Table Seed Map'!$A$9,SeedMap[],9,0),0))</f>
        <v>6</v>
      </c>
      <c r="C8" s="15" t="str">
        <f>RelationTable[[#This Row],[Resource]]&amp;"/"&amp;RelationTable[[#This Row],[Method]]</f>
        <v>Resource/Roles</v>
      </c>
      <c r="D8" s="15">
        <f>RelationTable[[#This Row],[No]]</f>
        <v>6</v>
      </c>
      <c r="E8" s="9" t="s">
        <v>204</v>
      </c>
      <c r="F8" s="9" t="s">
        <v>258</v>
      </c>
      <c r="G8" s="15">
        <f>RelationTable[[#This Row],[No]]</f>
        <v>6</v>
      </c>
      <c r="H8" s="15">
        <f>IF(RelationTable[[#This Row],[No]]="id","resource",VLOOKUP([Resource],CHOOSE({1,2},ResourceTable[Name],ResourceTable[No]),2,0))</f>
        <v>4</v>
      </c>
      <c r="I8" s="16" t="s">
        <v>223</v>
      </c>
      <c r="J8" s="16" t="s">
        <v>217</v>
      </c>
      <c r="K8" s="16" t="s">
        <v>181</v>
      </c>
      <c r="L8" s="16" t="s">
        <v>212</v>
      </c>
      <c r="M8" s="42">
        <f>VLOOKUP([Relate Resource],CHOOSE({1,2},ResourceTable[Name],ResourceTable[No]),2,0)</f>
        <v>3</v>
      </c>
      <c r="N8" s="88">
        <f>[RELID]</f>
        <v>6</v>
      </c>
    </row>
    <row r="9" spans="1:23">
      <c r="A9" s="40" t="str">
        <f>Page&amp;"-"&amp;(COUNTA($E$1:RelationTable[[#This Row],[Resource]])-1)</f>
        <v>Resource Relations-7</v>
      </c>
      <c r="B9" s="3">
        <f>IF(RelationTable[[#This Row],[Resource]]="","id",COUNTA($E$2:RelationTable[[#This Row],[Resource]])+IF(ISNUMBER(VLOOKUP('Table Seed Map'!$A$9,SeedMap[],9,0)),VLOOKUP('Table Seed Map'!$A$9,SeedMap[],9,0),0))</f>
        <v>7</v>
      </c>
      <c r="C9" s="15" t="str">
        <f>RelationTable[[#This Row],[Resource]]&amp;"/"&amp;RelationTable[[#This Row],[Method]]</f>
        <v>Resource/Actions</v>
      </c>
      <c r="D9" s="15">
        <f>RelationTable[[#This Row],[No]]</f>
        <v>7</v>
      </c>
      <c r="E9" s="9" t="s">
        <v>204</v>
      </c>
      <c r="F9" s="9" t="s">
        <v>256</v>
      </c>
      <c r="G9" s="15">
        <f>RelationTable[[#This Row],[No]]</f>
        <v>7</v>
      </c>
      <c r="H9" s="15">
        <f>IF(RelationTable[[#This Row],[No]]="id","resource",VLOOKUP([Resource],CHOOSE({1,2},ResourceTable[Name],ResourceTable[No]),2,0))</f>
        <v>4</v>
      </c>
      <c r="I9" s="16" t="s">
        <v>255</v>
      </c>
      <c r="J9" s="16" t="s">
        <v>254</v>
      </c>
      <c r="K9" s="16" t="s">
        <v>253</v>
      </c>
      <c r="L9" s="16" t="s">
        <v>250</v>
      </c>
      <c r="M9" s="42">
        <f>VLOOKUP([Relate Resource],CHOOSE({1,2},ResourceTable[Name],ResourceTable[No]),2,0)</f>
        <v>30</v>
      </c>
      <c r="N9" s="88">
        <f>[RELID]</f>
        <v>7</v>
      </c>
    </row>
    <row r="10" spans="1:23">
      <c r="A10" s="40" t="str">
        <f>Page&amp;"-"&amp;(COUNTA($E$1:RelationTable[[#This Row],[Resource]])-1)</f>
        <v>Resource Relations-8</v>
      </c>
      <c r="B10" s="3">
        <f>IF(RelationTable[[#This Row],[Resource]]="","id",COUNTA($E$2:RelationTable[[#This Row],[Resource]])+IF(ISNUMBER(VLOOKUP('Table Seed Map'!$A$9,SeedMap[],9,0)),VLOOKUP('Table Seed Map'!$A$9,SeedMap[],9,0),0))</f>
        <v>8</v>
      </c>
      <c r="C10" s="15" t="str">
        <f>RelationTable[[#This Row],[Resource]]&amp;"/"&amp;RelationTable[[#This Row],[Method]]</f>
        <v>ResourceAction/Method</v>
      </c>
      <c r="D10" s="15">
        <f>RelationTable[[#This Row],[No]]</f>
        <v>8</v>
      </c>
      <c r="E10" s="9" t="s">
        <v>256</v>
      </c>
      <c r="F10" s="9" t="s">
        <v>279</v>
      </c>
      <c r="G10" s="15">
        <f>RelationTable[[#This Row],[No]]</f>
        <v>8</v>
      </c>
      <c r="H10" s="15">
        <f>IF(RelationTable[[#This Row],[No]]="id","resource",VLOOKUP([Resource],CHOOSE({1,2},ResourceTable[Name],ResourceTable[No]),2,0))</f>
        <v>30</v>
      </c>
      <c r="I10" s="16" t="s">
        <v>281</v>
      </c>
      <c r="J10" s="16" t="s">
        <v>284</v>
      </c>
      <c r="K10" s="16" t="s">
        <v>275</v>
      </c>
      <c r="L10" s="16" t="s">
        <v>283</v>
      </c>
      <c r="M10" s="42">
        <f>VLOOKUP([Relate Resource],CHOOSE({1,2},ResourceTable[Name],ResourceTable[No]),2,0)</f>
        <v>31</v>
      </c>
      <c r="N10" s="88">
        <f>[RELID]</f>
        <v>8</v>
      </c>
    </row>
    <row r="11" spans="1:23">
      <c r="A11" s="40" t="str">
        <f>Page&amp;"-"&amp;(COUNTA($E$1:RelationTable[[#This Row],[Resource]])-1)</f>
        <v>Resource Relations-9</v>
      </c>
      <c r="B11" s="3">
        <f>IF(RelationTable[[#This Row],[Resource]]="","id",COUNTA($E$2:RelationTable[[#This Row],[Resource]])+IF(ISNUMBER(VLOOKUP('Table Seed Map'!$A$9,SeedMap[],9,0)),VLOOKUP('Table Seed Map'!$A$9,SeedMap[],9,0),0))</f>
        <v>9</v>
      </c>
      <c r="C11" s="15" t="str">
        <f>RelationTable[[#This Row],[Resource]]&amp;"/"&amp;RelationTable[[#This Row],[Method]]</f>
        <v>ResourceAction/Lists</v>
      </c>
      <c r="D11" s="15">
        <f>RelationTable[[#This Row],[No]]</f>
        <v>9</v>
      </c>
      <c r="E11" s="7" t="s">
        <v>256</v>
      </c>
      <c r="F11" s="7" t="s">
        <v>291</v>
      </c>
      <c r="G11" s="15">
        <f>RelationTable[[#This Row],[No]]</f>
        <v>9</v>
      </c>
      <c r="H11" s="15">
        <f>IF(RelationTable[[#This Row],[No]]="id","resource",VLOOKUP([Resource],CHOOSE({1,2},ResourceTable[Name],ResourceTable[No]),2,0))</f>
        <v>30</v>
      </c>
      <c r="I11" s="17" t="s">
        <v>293</v>
      </c>
      <c r="J11" s="17" t="s">
        <v>299</v>
      </c>
      <c r="K11" s="17" t="s">
        <v>300</v>
      </c>
      <c r="L11" s="17" t="s">
        <v>250</v>
      </c>
      <c r="M11" s="42">
        <f>VLOOKUP([Relate Resource],CHOOSE({1,2},ResourceTable[Name],ResourceTable[No]),2,0)</f>
        <v>33</v>
      </c>
      <c r="N11" s="88">
        <f>[RELID]</f>
        <v>9</v>
      </c>
    </row>
    <row r="12" spans="1:23">
      <c r="A12" s="40" t="str">
        <f>Page&amp;"-"&amp;(COUNTA($E$1:RelationTable[[#This Row],[Resource]])-1)</f>
        <v>Resource Relations-10</v>
      </c>
      <c r="B12" s="3">
        <f>IF(RelationTable[[#This Row],[Resource]]="","id",COUNTA($E$2:RelationTable[[#This Row],[Resource]])+IF(ISNUMBER(VLOOKUP('Table Seed Map'!$A$9,SeedMap[],9,0)),VLOOKUP('Table Seed Map'!$A$9,SeedMap[],9,0),0))</f>
        <v>10</v>
      </c>
      <c r="C12" s="15" t="str">
        <f>RelationTable[[#This Row],[Resource]]&amp;"/"&amp;RelationTable[[#This Row],[Method]]</f>
        <v>ResourceAction/Data</v>
      </c>
      <c r="D12" s="15">
        <f>RelationTable[[#This Row],[No]]</f>
        <v>10</v>
      </c>
      <c r="E12" s="7" t="s">
        <v>256</v>
      </c>
      <c r="F12" s="7" t="s">
        <v>298</v>
      </c>
      <c r="G12" s="15">
        <f>RelationTable[[#This Row],[No]]</f>
        <v>10</v>
      </c>
      <c r="H12" s="15">
        <f>IF(RelationTable[[#This Row],[No]]="id","resource",VLOOKUP([Resource],CHOOSE({1,2},ResourceTable[Name],ResourceTable[No]),2,0))</f>
        <v>30</v>
      </c>
      <c r="I12" s="17" t="s">
        <v>296</v>
      </c>
      <c r="J12" s="17" t="s">
        <v>301</v>
      </c>
      <c r="K12" s="17" t="s">
        <v>302</v>
      </c>
      <c r="L12" s="17" t="s">
        <v>250</v>
      </c>
      <c r="M12" s="42">
        <f>VLOOKUP([Relate Resource],CHOOSE({1,2},ResourceTable[Name],ResourceTable[No]),2,0)</f>
        <v>34</v>
      </c>
      <c r="N12" s="88">
        <f>[RELID]</f>
        <v>10</v>
      </c>
    </row>
    <row r="13" spans="1:23">
      <c r="A13" s="109" t="str">
        <f>Page&amp;"-"&amp;(COUNTA($E$1:RelationTable[[#This Row],[Resource]])-1)</f>
        <v>Resource Relations-11</v>
      </c>
      <c r="B13" s="35">
        <f>IF(RelationTable[[#This Row],[Resource]]="","id",COUNTA($E$2:RelationTable[[#This Row],[Resource]])+IF(ISNUMBER(VLOOKUP('Table Seed Map'!$A$9,SeedMap[],9,0)),VLOOKUP('Table Seed Map'!$A$9,SeedMap[],9,0),0))</f>
        <v>11</v>
      </c>
      <c r="C13" s="32" t="str">
        <f>RelationTable[[#This Row],[Resource]]&amp;"/"&amp;RelationTable[[#This Row],[Method]]</f>
        <v>ResourceAction/Resource</v>
      </c>
      <c r="D13" s="32">
        <f>RelationTable[[#This Row],[No]]</f>
        <v>11</v>
      </c>
      <c r="E13" s="7" t="s">
        <v>256</v>
      </c>
      <c r="F13" s="7" t="s">
        <v>204</v>
      </c>
      <c r="G13" s="32">
        <f>RelationTable[[#This Row],[No]]</f>
        <v>11</v>
      </c>
      <c r="H13" s="15">
        <f>IF(RelationTable[[#This Row],[No]]="id","resource",VLOOKUP([Resource],CHOOSE({1,2},ResourceTable[Name],ResourceTable[No]),2,0))</f>
        <v>30</v>
      </c>
      <c r="I13" s="17" t="s">
        <v>1129</v>
      </c>
      <c r="J13" s="17" t="s">
        <v>1130</v>
      </c>
      <c r="K13" s="17" t="s">
        <v>204</v>
      </c>
      <c r="L13" s="17" t="s">
        <v>310</v>
      </c>
      <c r="M13" s="42">
        <f>VLOOKUP([Relate Resource],CHOOSE({1,2},ResourceTable[Name],ResourceTable[No]),2,0)</f>
        <v>4</v>
      </c>
      <c r="N13" s="110">
        <f>[RELID]</f>
        <v>11</v>
      </c>
    </row>
    <row r="14" spans="1:23">
      <c r="A14" s="40" t="str">
        <f>Page&amp;"-"&amp;(COUNTA($E$1:RelationTable[[#This Row],[Resource]])-1)</f>
        <v>Resource Relations-12</v>
      </c>
      <c r="B14" s="3">
        <f>IF(RelationTable[[#This Row],[Resource]]="","id",COUNTA($E$2:RelationTable[[#This Row],[Resource]])+IF(ISNUMBER(VLOOKUP('Table Seed Map'!$A$9,SeedMap[],9,0)),VLOOKUP('Table Seed Map'!$A$9,SeedMap[],9,0),0))</f>
        <v>12</v>
      </c>
      <c r="C14" s="15" t="str">
        <f>RelationTable[[#This Row],[Resource]]&amp;"/"&amp;RelationTable[[#This Row],[Method]]</f>
        <v>Organisation/Contacts</v>
      </c>
      <c r="D14" s="15">
        <f>RelationTable[[#This Row],[No]]</f>
        <v>12</v>
      </c>
      <c r="E14" s="7" t="s">
        <v>201</v>
      </c>
      <c r="F14" s="7" t="s">
        <v>259</v>
      </c>
      <c r="G14" s="15">
        <f>RelationTable[[#This Row],[No]]</f>
        <v>12</v>
      </c>
      <c r="H14" s="15">
        <f>IF(RelationTable[[#This Row],[No]]="id","resource",VLOOKUP([Resource],CHOOSE({1,2},ResourceTable[Name],ResourceTable[No]),2,0))</f>
        <v>40</v>
      </c>
      <c r="I14" s="17" t="s">
        <v>251</v>
      </c>
      <c r="J14" s="17" t="s">
        <v>248</v>
      </c>
      <c r="K14" s="17" t="s">
        <v>237</v>
      </c>
      <c r="L14" s="17" t="s">
        <v>250</v>
      </c>
      <c r="M14" s="42">
        <f>VLOOKUP([Relate Resource],CHOOSE({1,2},ResourceTable[Name],ResourceTable[No]),2,0)</f>
        <v>41</v>
      </c>
      <c r="N14" s="88">
        <f>[RELID]</f>
        <v>12</v>
      </c>
    </row>
    <row r="15" spans="1:23">
      <c r="A15" s="40" t="str">
        <f>Page&amp;"-"&amp;(COUNTA($E$1:RelationTable[[#This Row],[Resource]])-1)</f>
        <v>Resource Relations-13</v>
      </c>
      <c r="B15" s="3">
        <f>IF(RelationTable[[#This Row],[Resource]]="","id",COUNTA($E$2:RelationTable[[#This Row],[Resource]])+IF(ISNUMBER(VLOOKUP('Table Seed Map'!$A$9,SeedMap[],9,0)),VLOOKUP('Table Seed Map'!$A$9,SeedMap[],9,0),0))</f>
        <v>13</v>
      </c>
      <c r="C15" s="15" t="str">
        <f>RelationTable[[#This Row],[Resource]]&amp;"/"&amp;RelationTable[[#This Row],[Method]]</f>
        <v>ResourceRole/Resource</v>
      </c>
      <c r="D15" s="15">
        <f>RelationTable[[#This Row],[No]]</f>
        <v>13</v>
      </c>
      <c r="E15" s="7" t="s">
        <v>304</v>
      </c>
      <c r="F15" s="7" t="s">
        <v>204</v>
      </c>
      <c r="G15" s="15">
        <f>RelationTable[[#This Row],[No]]</f>
        <v>13</v>
      </c>
      <c r="H15" s="15">
        <f>IF(RelationTable[[#This Row],[No]]="id","resource",VLOOKUP([Resource],CHOOSE({1,2},ResourceTable[Name],ResourceTable[No]),2,0))</f>
        <v>5</v>
      </c>
      <c r="I15" s="17" t="s">
        <v>308</v>
      </c>
      <c r="J15" s="17" t="s">
        <v>309</v>
      </c>
      <c r="K15" s="17" t="s">
        <v>204</v>
      </c>
      <c r="L15" s="17" t="s">
        <v>310</v>
      </c>
      <c r="M15" s="42">
        <f>VLOOKUP([Relate Resource],CHOOSE({1,2},ResourceTable[Name],ResourceTable[No]),2,0)</f>
        <v>4</v>
      </c>
      <c r="N15" s="88">
        <f>[RELID]</f>
        <v>13</v>
      </c>
    </row>
    <row r="16" spans="1:23">
      <c r="A16" s="40" t="str">
        <f>Page&amp;"-"&amp;(COUNTA($E$1:RelationTable[[#This Row],[Resource]])-1)</f>
        <v>Resource Relations-14</v>
      </c>
      <c r="B16" s="3">
        <f>IF(RelationTable[[#This Row],[Resource]]="","id",COUNTA($E$2:RelationTable[[#This Row],[Resource]])+IF(ISNUMBER(VLOOKUP('Table Seed Map'!$A$9,SeedMap[],9,0)),VLOOKUP('Table Seed Map'!$A$9,SeedMap[],9,0),0))</f>
        <v>14</v>
      </c>
      <c r="C16" s="15" t="str">
        <f>RelationTable[[#This Row],[Resource]]&amp;"/"&amp;RelationTable[[#This Row],[Method]]</f>
        <v>Resource/Forms</v>
      </c>
      <c r="D16" s="15">
        <f>RelationTable[[#This Row],[No]]</f>
        <v>14</v>
      </c>
      <c r="E16" s="9" t="s">
        <v>204</v>
      </c>
      <c r="F16" s="9" t="s">
        <v>311</v>
      </c>
      <c r="G16" s="15">
        <f>RelationTable[[#This Row],[No]]</f>
        <v>14</v>
      </c>
      <c r="H16" s="15">
        <f>IF(RelationTable[[#This Row],[No]]="id","resource",VLOOKUP([Resource],CHOOSE({1,2},ResourceTable[Name],ResourceTable[No]),2,0))</f>
        <v>4</v>
      </c>
      <c r="I16" s="16" t="s">
        <v>339</v>
      </c>
      <c r="J16" s="16" t="s">
        <v>340</v>
      </c>
      <c r="K16" s="16" t="s">
        <v>313</v>
      </c>
      <c r="L16" s="16" t="s">
        <v>250</v>
      </c>
      <c r="M16" s="43">
        <f>VLOOKUP([Relate Resource],CHOOSE({1,2},ResourceTable[Name],ResourceTable[No]),2,0)</f>
        <v>8</v>
      </c>
      <c r="N16" s="89">
        <f>[RELID]</f>
        <v>14</v>
      </c>
    </row>
    <row r="17" spans="1:14">
      <c r="A17" s="40" t="str">
        <f>Page&amp;"-"&amp;(COUNTA($E$1:RelationTable[[#This Row],[Resource]])-1)</f>
        <v>Resource Relations-15</v>
      </c>
      <c r="B17" s="3">
        <f>IF(RelationTable[[#This Row],[Resource]]="","id",COUNTA($E$2:RelationTable[[#This Row],[Resource]])+IF(ISNUMBER(VLOOKUP('Table Seed Map'!$A$9,SeedMap[],9,0)),VLOOKUP('Table Seed Map'!$A$9,SeedMap[],9,0),0))</f>
        <v>15</v>
      </c>
      <c r="C17" s="15" t="str">
        <f>RelationTable[[#This Row],[Resource]]&amp;"/"&amp;RelationTable[[#This Row],[Method]]</f>
        <v>ResourceForm/Fields</v>
      </c>
      <c r="D17" s="15">
        <f>RelationTable[[#This Row],[No]]</f>
        <v>15</v>
      </c>
      <c r="E17" s="9" t="s">
        <v>311</v>
      </c>
      <c r="F17" s="9" t="s">
        <v>315</v>
      </c>
      <c r="G17" s="15">
        <f>RelationTable[[#This Row],[No]]</f>
        <v>15</v>
      </c>
      <c r="H17" s="15">
        <f>IF(RelationTable[[#This Row],[No]]="id","resource",VLOOKUP([Resource],CHOOSE({1,2},ResourceTable[Name],ResourceTable[No]),2,0))</f>
        <v>8</v>
      </c>
      <c r="I17" s="16" t="s">
        <v>317</v>
      </c>
      <c r="J17" s="16" t="s">
        <v>341</v>
      </c>
      <c r="K17" s="16" t="s">
        <v>342</v>
      </c>
      <c r="L17" s="16" t="s">
        <v>250</v>
      </c>
      <c r="M17" s="43">
        <f>VLOOKUP([Relate Resource],CHOOSE({1,2},ResourceTable[Name],ResourceTable[No]),2,0)</f>
        <v>9</v>
      </c>
      <c r="N17" s="89">
        <f>[RELID]</f>
        <v>15</v>
      </c>
    </row>
    <row r="18" spans="1:14">
      <c r="A18" s="40" t="str">
        <f>Page&amp;"-"&amp;(COUNTA($E$1:RelationTable[[#This Row],[Resource]])-1)</f>
        <v>Resource Relations-16</v>
      </c>
      <c r="B18" s="3">
        <f>IF(RelationTable[[#This Row],[Resource]]="","id",COUNTA($E$2:RelationTable[[#This Row],[Resource]])+IF(ISNUMBER(VLOOKUP('Table Seed Map'!$A$9,SeedMap[],9,0)),VLOOKUP('Table Seed Map'!$A$9,SeedMap[],9,0),0))</f>
        <v>16</v>
      </c>
      <c r="C18" s="15" t="str">
        <f>RelationTable[[#This Row],[Resource]]&amp;"/"&amp;RelationTable[[#This Row],[Method]]</f>
        <v>ResourceFormField/Attributes</v>
      </c>
      <c r="D18" s="15">
        <f>RelationTable[[#This Row],[No]]</f>
        <v>16</v>
      </c>
      <c r="E18" s="9" t="s">
        <v>315</v>
      </c>
      <c r="F18" s="7" t="s">
        <v>349</v>
      </c>
      <c r="G18" s="15">
        <f>RelationTable[[#This Row],[No]]</f>
        <v>16</v>
      </c>
      <c r="H18" s="15">
        <f>IF(RelationTable[[#This Row],[No]]="id","resource",VLOOKUP([Resource],CHOOSE({1,2},ResourceTable[Name],ResourceTable[No]),2,0))</f>
        <v>9</v>
      </c>
      <c r="I18" s="17" t="s">
        <v>351</v>
      </c>
      <c r="J18" s="17" t="s">
        <v>353</v>
      </c>
      <c r="K18" s="17" t="s">
        <v>354</v>
      </c>
      <c r="L18" s="17" t="s">
        <v>250</v>
      </c>
      <c r="M18" s="44">
        <f>VLOOKUP([Relate Resource],CHOOSE({1,2},ResourceTable[Name],ResourceTable[No]),2,0)</f>
        <v>11</v>
      </c>
      <c r="N18" s="89">
        <f>[RELID]</f>
        <v>16</v>
      </c>
    </row>
    <row r="19" spans="1:14">
      <c r="A19" s="40" t="str">
        <f>Page&amp;"-"&amp;(COUNTA($E$1:RelationTable[[#This Row],[Resource]])-1)</f>
        <v>Resource Relations-17</v>
      </c>
      <c r="B19" s="3">
        <f>IF(RelationTable[[#This Row],[Resource]]="","id",COUNTA($E$2:RelationTable[[#This Row],[Resource]])+IF(ISNUMBER(VLOOKUP('Table Seed Map'!$A$9,SeedMap[],9,0)),VLOOKUP('Table Seed Map'!$A$9,SeedMap[],9,0),0))</f>
        <v>17</v>
      </c>
      <c r="C19" s="15" t="str">
        <f>RelationTable[[#This Row],[Resource]]&amp;"/"&amp;RelationTable[[#This Row],[Method]]</f>
        <v>ResourceFormField/Options</v>
      </c>
      <c r="D19" s="15">
        <f>RelationTable[[#This Row],[No]]</f>
        <v>17</v>
      </c>
      <c r="E19" s="9" t="s">
        <v>315</v>
      </c>
      <c r="F19" s="7" t="s">
        <v>364</v>
      </c>
      <c r="G19" s="15">
        <f>RelationTable[[#This Row],[No]]</f>
        <v>17</v>
      </c>
      <c r="H19" s="15">
        <f>IF(RelationTable[[#This Row],[No]]="id","resource",VLOOKUP([Resource],CHOOSE({1,2},ResourceTable[Name],ResourceTable[No]),2,0))</f>
        <v>9</v>
      </c>
      <c r="I19" s="17" t="s">
        <v>366</v>
      </c>
      <c r="J19" s="17" t="s">
        <v>369</v>
      </c>
      <c r="K19" s="17" t="s">
        <v>368</v>
      </c>
      <c r="L19" s="17" t="s">
        <v>250</v>
      </c>
      <c r="M19" s="44">
        <f>VLOOKUP([Relate Resource],CHOOSE({1,2},ResourceTable[Name],ResourceTable[No]),2,0)</f>
        <v>12</v>
      </c>
      <c r="N19" s="89">
        <f>[RELID]</f>
        <v>17</v>
      </c>
    </row>
    <row r="20" spans="1:14">
      <c r="A20" s="40" t="str">
        <f>Page&amp;"-"&amp;(COUNTA($E$1:RelationTable[[#This Row],[Resource]])-1)</f>
        <v>Resource Relations-18</v>
      </c>
      <c r="B20" s="3">
        <f>IF(RelationTable[[#This Row],[Resource]]="","id",COUNTA($E$2:RelationTable[[#This Row],[Resource]])+IF(ISNUMBER(VLOOKUP('Table Seed Map'!$A$9,SeedMap[],9,0)),VLOOKUP('Table Seed Map'!$A$9,SeedMap[],9,0),0))</f>
        <v>18</v>
      </c>
      <c r="C20" s="15" t="str">
        <f>RelationTable[[#This Row],[Resource]]&amp;"/"&amp;RelationTable[[#This Row],[Method]]</f>
        <v>ResourceFormField/Validations</v>
      </c>
      <c r="D20" s="15">
        <f>RelationTable[[#This Row],[No]]</f>
        <v>18</v>
      </c>
      <c r="E20" s="9" t="s">
        <v>315</v>
      </c>
      <c r="F20" s="7" t="s">
        <v>370</v>
      </c>
      <c r="G20" s="15">
        <f>RelationTable[[#This Row],[No]]</f>
        <v>18</v>
      </c>
      <c r="H20" s="15">
        <f>IF(RelationTable[[#This Row],[No]]="id","resource",VLOOKUP([Resource],CHOOSE({1,2},ResourceTable[Name],ResourceTable[No]),2,0))</f>
        <v>9</v>
      </c>
      <c r="I20" s="17" t="s">
        <v>374</v>
      </c>
      <c r="J20" s="17" t="s">
        <v>375</v>
      </c>
      <c r="K20" s="17" t="s">
        <v>376</v>
      </c>
      <c r="L20" s="17" t="s">
        <v>250</v>
      </c>
      <c r="M20" s="44">
        <f>VLOOKUP([Relate Resource],CHOOSE({1,2},ResourceTable[Name],ResourceTable[No]),2,0)</f>
        <v>13</v>
      </c>
      <c r="N20" s="89">
        <f>[RELID]</f>
        <v>18</v>
      </c>
    </row>
    <row r="21" spans="1:14">
      <c r="A21" s="40" t="str">
        <f>Page&amp;"-"&amp;(COUNTA($E$1:RelationTable[[#This Row],[Resource]])-1)</f>
        <v>Resource Relations-19</v>
      </c>
      <c r="B21" s="3">
        <f>IF(RelationTable[[#This Row],[Resource]]="","id",COUNTA($E$2:RelationTable[[#This Row],[Resource]])+IF(ISNUMBER(VLOOKUP('Table Seed Map'!$A$9,SeedMap[],9,0)),VLOOKUP('Table Seed Map'!$A$9,SeedMap[],9,0),0))</f>
        <v>19</v>
      </c>
      <c r="C21" s="15" t="str">
        <f>RelationTable[[#This Row],[Resource]]&amp;"/"&amp;RelationTable[[#This Row],[Method]]</f>
        <v>ResourceForm/Resource</v>
      </c>
      <c r="D21" s="15">
        <f>RelationTable[[#This Row],[No]]</f>
        <v>19</v>
      </c>
      <c r="E21" s="7" t="s">
        <v>311</v>
      </c>
      <c r="F21" s="7" t="s">
        <v>204</v>
      </c>
      <c r="G21" s="15">
        <f>RelationTable[[#This Row],[No]]</f>
        <v>19</v>
      </c>
      <c r="H21" s="15">
        <f>IF(RelationTable[[#This Row],[No]]="id","resource",VLOOKUP([Resource],CHOOSE({1,2},ResourceTable[Name],ResourceTable[No]),2,0))</f>
        <v>8</v>
      </c>
      <c r="I21" s="17" t="s">
        <v>377</v>
      </c>
      <c r="J21" s="17" t="s">
        <v>378</v>
      </c>
      <c r="K21" s="17" t="s">
        <v>204</v>
      </c>
      <c r="L21" s="17" t="s">
        <v>310</v>
      </c>
      <c r="M21" s="44">
        <f>VLOOKUP([Relate Resource],CHOOSE({1,2},ResourceTable[Name],ResourceTable[No]),2,0)</f>
        <v>4</v>
      </c>
      <c r="N21" s="89">
        <f>[RELID]</f>
        <v>19</v>
      </c>
    </row>
    <row r="22" spans="1:14">
      <c r="A22" s="40" t="str">
        <f>Page&amp;"-"&amp;(COUNTA($E$1:RelationTable[[#This Row],[Resource]])-1)</f>
        <v>Resource Relations-20</v>
      </c>
      <c r="B22" s="3">
        <f>IF(RelationTable[[#This Row],[Resource]]="","id",COUNTA($E$2:RelationTable[[#This Row],[Resource]])+IF(ISNUMBER(VLOOKUP('Table Seed Map'!$A$9,SeedMap[],9,0)),VLOOKUP('Table Seed Map'!$A$9,SeedMap[],9,0),0))</f>
        <v>20</v>
      </c>
      <c r="C22" s="15" t="str">
        <f>RelationTable[[#This Row],[Resource]]&amp;"/"&amp;RelationTable[[#This Row],[Method]]</f>
        <v>ResourceForm/Defaults</v>
      </c>
      <c r="D22" s="15">
        <f>RelationTable[[#This Row],[No]]</f>
        <v>20</v>
      </c>
      <c r="E22" s="7" t="s">
        <v>311</v>
      </c>
      <c r="F22" s="7" t="s">
        <v>379</v>
      </c>
      <c r="G22" s="15">
        <f>RelationTable[[#This Row],[No]]</f>
        <v>20</v>
      </c>
      <c r="H22" s="15">
        <f>IF(RelationTable[[#This Row],[No]]="id","resource",VLOOKUP([Resource],CHOOSE({1,2},ResourceTable[Name],ResourceTable[No]),2,0))</f>
        <v>8</v>
      </c>
      <c r="I22" s="17" t="s">
        <v>381</v>
      </c>
      <c r="J22" s="17" t="s">
        <v>383</v>
      </c>
      <c r="K22" s="17" t="s">
        <v>384</v>
      </c>
      <c r="L22" s="17" t="s">
        <v>250</v>
      </c>
      <c r="M22" s="44">
        <f>VLOOKUP([Relate Resource],CHOOSE({1,2},ResourceTable[Name],ResourceTable[No]),2,0)</f>
        <v>19</v>
      </c>
      <c r="N22" s="89">
        <f>[RELID]</f>
        <v>20</v>
      </c>
    </row>
    <row r="23" spans="1:14">
      <c r="A23" s="40" t="str">
        <f>Page&amp;"-"&amp;(COUNTA($E$1:RelationTable[[#This Row],[Resource]])-1)</f>
        <v>Resource Relations-21</v>
      </c>
      <c r="B23" s="3">
        <f>IF(RelationTable[[#This Row],[Resource]]="","id",COUNTA($E$2:RelationTable[[#This Row],[Resource]])+IF(ISNUMBER(VLOOKUP('Table Seed Map'!$A$9,SeedMap[],9,0)),VLOOKUP('Table Seed Map'!$A$9,SeedMap[],9,0),0))</f>
        <v>21</v>
      </c>
      <c r="C23" s="15" t="str">
        <f>RelationTable[[#This Row],[Resource]]&amp;"/"&amp;RelationTable[[#This Row],[Method]]</f>
        <v>ResourceFormField/Data</v>
      </c>
      <c r="D23" s="15">
        <f>RelationTable[[#This Row],[No]]</f>
        <v>21</v>
      </c>
      <c r="E23" s="7" t="s">
        <v>315</v>
      </c>
      <c r="F23" s="7" t="s">
        <v>385</v>
      </c>
      <c r="G23" s="15">
        <f>RelationTable[[#This Row],[No]]</f>
        <v>21</v>
      </c>
      <c r="H23" s="15">
        <f>IF(RelationTable[[#This Row],[No]]="id","resource",VLOOKUP([Resource],CHOOSE({1,2},ResourceTable[Name],ResourceTable[No]),2,0))</f>
        <v>9</v>
      </c>
      <c r="I23" s="17" t="s">
        <v>387</v>
      </c>
      <c r="J23" s="17" t="s">
        <v>389</v>
      </c>
      <c r="K23" s="17" t="s">
        <v>302</v>
      </c>
      <c r="L23" s="17" t="s">
        <v>283</v>
      </c>
      <c r="M23" s="44">
        <f>VLOOKUP([Relate Resource],CHOOSE({1,2},ResourceTable[Name],ResourceTable[No]),2,0)</f>
        <v>10</v>
      </c>
      <c r="N23" s="89">
        <f>[RELID]</f>
        <v>21</v>
      </c>
    </row>
    <row r="24" spans="1:14">
      <c r="A24" s="40" t="str">
        <f>Page&amp;"-"&amp;(COUNTA($E$1:RelationTable[[#This Row],[Resource]])-1)</f>
        <v>Resource Relations-22</v>
      </c>
      <c r="B24" s="3">
        <f>IF(RelationTable[[#This Row],[Resource]]="","id",COUNTA($E$2:RelationTable[[#This Row],[Resource]])+IF(ISNUMBER(VLOOKUP('Table Seed Map'!$A$9,SeedMap[],9,0)),VLOOKUP('Table Seed Map'!$A$9,SeedMap[],9,0),0))</f>
        <v>22</v>
      </c>
      <c r="C24" s="15" t="str">
        <f>RelationTable[[#This Row],[Resource]]&amp;"/"&amp;RelationTable[[#This Row],[Method]]</f>
        <v>Resource/Relations</v>
      </c>
      <c r="D24" s="15">
        <f>RelationTable[[#This Row],[No]]</f>
        <v>22</v>
      </c>
      <c r="E24" s="7" t="s">
        <v>204</v>
      </c>
      <c r="F24" s="7" t="s">
        <v>449</v>
      </c>
      <c r="G24" s="15">
        <f>RelationTable[[#This Row],[No]]</f>
        <v>22</v>
      </c>
      <c r="H24" s="15">
        <f>IF(RelationTable[[#This Row],[No]]="id","resource",VLOOKUP([Resource],CHOOSE({1,2},ResourceTable[Name],ResourceTable[No]),2,0))</f>
        <v>4</v>
      </c>
      <c r="I24" s="17" t="s">
        <v>348</v>
      </c>
      <c r="J24" s="17" t="s">
        <v>390</v>
      </c>
      <c r="K24" s="17" t="s">
        <v>391</v>
      </c>
      <c r="L24" s="17" t="s">
        <v>250</v>
      </c>
      <c r="M24" s="44">
        <f>VLOOKUP([Relate Resource],CHOOSE({1,2},ResourceTable[Name],ResourceTable[No]),2,0)</f>
        <v>6</v>
      </c>
      <c r="N24" s="89">
        <f>[RELID]</f>
        <v>22</v>
      </c>
    </row>
    <row r="25" spans="1:14">
      <c r="A25" s="40" t="str">
        <f>Page&amp;"-"&amp;(COUNTA($E$1:RelationTable[[#This Row],[Resource]])-1)</f>
        <v>Resource Relations-23</v>
      </c>
      <c r="B25" s="3">
        <f>IF(RelationTable[[#This Row],[Resource]]="","id",COUNTA($E$2:RelationTable[[#This Row],[Resource]])+IF(ISNUMBER(VLOOKUP('Table Seed Map'!$A$9,SeedMap[],9,0)),VLOOKUP('Table Seed Map'!$A$9,SeedMap[],9,0),0))</f>
        <v>23</v>
      </c>
      <c r="C25" s="15" t="str">
        <f>RelationTable[[#This Row],[Resource]]&amp;"/"&amp;RelationTable[[#This Row],[Method]]</f>
        <v>ResourceFormFieldData/Relation</v>
      </c>
      <c r="D25" s="15">
        <f>RelationTable[[#This Row],[No]]</f>
        <v>23</v>
      </c>
      <c r="E25" s="7" t="s">
        <v>385</v>
      </c>
      <c r="F25" s="7" t="s">
        <v>449</v>
      </c>
      <c r="G25" s="15">
        <f>RelationTable[[#This Row],[No]]</f>
        <v>23</v>
      </c>
      <c r="H25" s="15">
        <f>IF(RelationTable[[#This Row],[No]]="id","resource",VLOOKUP([Resource],CHOOSE({1,2},ResourceTable[Name],ResourceTable[No]),2,0))</f>
        <v>10</v>
      </c>
      <c r="I25" s="17" t="s">
        <v>521</v>
      </c>
      <c r="J25" s="17" t="s">
        <v>522</v>
      </c>
      <c r="K25" s="17" t="s">
        <v>246</v>
      </c>
      <c r="L25" s="17" t="s">
        <v>310</v>
      </c>
      <c r="M25" s="44">
        <f>VLOOKUP([Relate Resource],CHOOSE({1,2},ResourceTable[Name],ResourceTable[No]),2,0)</f>
        <v>6</v>
      </c>
      <c r="N25" s="89">
        <f>[RELID]</f>
        <v>23</v>
      </c>
    </row>
    <row r="26" spans="1:14">
      <c r="A26" s="40" t="str">
        <f>Page&amp;"-"&amp;(COUNTA($E$1:RelationTable[[#This Row],[Resource]])-1)</f>
        <v>Resource Relations-24</v>
      </c>
      <c r="B26" s="3">
        <f>IF(RelationTable[[#This Row],[Resource]]="","id",COUNTA($E$2:RelationTable[[#This Row],[Resource]])+IF(ISNUMBER(VLOOKUP('Table Seed Map'!$A$9,SeedMap[],9,0)),VLOOKUP('Table Seed Map'!$A$9,SeedMap[],9,0),0))</f>
        <v>24</v>
      </c>
      <c r="C26" s="15" t="str">
        <f>RelationTable[[#This Row],[Resource]]&amp;"/"&amp;RelationTable[[#This Row],[Method]]</f>
        <v>ResourceFormDefault/Relation</v>
      </c>
      <c r="D26" s="15">
        <f>RelationTable[[#This Row],[No]]</f>
        <v>24</v>
      </c>
      <c r="E26" s="7" t="s">
        <v>379</v>
      </c>
      <c r="F26" s="7" t="s">
        <v>204</v>
      </c>
      <c r="G26" s="15">
        <f>RelationTable[[#This Row],[No]]</f>
        <v>24</v>
      </c>
      <c r="H26" s="15">
        <f>IF(RelationTable[[#This Row],[No]]="id","resource",VLOOKUP([Resource],CHOOSE({1,2},ResourceTable[Name],ResourceTable[No]),2,0))</f>
        <v>19</v>
      </c>
      <c r="I26" s="17" t="s">
        <v>403</v>
      </c>
      <c r="J26" s="17" t="s">
        <v>404</v>
      </c>
      <c r="K26" s="17" t="s">
        <v>246</v>
      </c>
      <c r="L26" s="17" t="s">
        <v>310</v>
      </c>
      <c r="M26" s="44">
        <f>VLOOKUP([Relate Resource],CHOOSE({1,2},ResourceTable[Name],ResourceTable[No]),2,0)</f>
        <v>4</v>
      </c>
      <c r="N26" s="89">
        <f>[RELID]</f>
        <v>24</v>
      </c>
    </row>
    <row r="27" spans="1:14">
      <c r="A27" s="40" t="str">
        <f>Page&amp;"-"&amp;(COUNTA($E$1:RelationTable[[#This Row],[Resource]])-1)</f>
        <v>Resource Relations-25</v>
      </c>
      <c r="B27" s="3">
        <f>IF(RelationTable[[#This Row],[Resource]]="","id",COUNTA($E$2:RelationTable[[#This Row],[Resource]])+IF(ISNUMBER(VLOOKUP('Table Seed Map'!$A$9,SeedMap[],9,0)),VLOOKUP('Table Seed Map'!$A$9,SeedMap[],9,0),0))</f>
        <v>25</v>
      </c>
      <c r="C27" s="15" t="str">
        <f>RelationTable[[#This Row],[Resource]]&amp;"/"&amp;RelationTable[[#This Row],[Method]]</f>
        <v>ResourceList/Resource</v>
      </c>
      <c r="D27" s="15">
        <f>RelationTable[[#This Row],[No]]</f>
        <v>25</v>
      </c>
      <c r="E27" s="7" t="s">
        <v>407</v>
      </c>
      <c r="F27" s="7" t="s">
        <v>204</v>
      </c>
      <c r="G27" s="15">
        <f>RelationTable[[#This Row],[No]]</f>
        <v>25</v>
      </c>
      <c r="H27" s="15">
        <f>IF(RelationTable[[#This Row],[No]]="id","resource",VLOOKUP([Resource],CHOOSE({1,2},ResourceTable[Name],ResourceTable[No]),2,0))</f>
        <v>20</v>
      </c>
      <c r="I27" s="17" t="s">
        <v>308</v>
      </c>
      <c r="J27" s="17" t="s">
        <v>410</v>
      </c>
      <c r="K27" s="17" t="s">
        <v>204</v>
      </c>
      <c r="L27" s="17" t="s">
        <v>310</v>
      </c>
      <c r="M27" s="44">
        <f>VLOOKUP([Relate Resource],CHOOSE({1,2},ResourceTable[Name],ResourceTable[No]),2,0)</f>
        <v>4</v>
      </c>
      <c r="N27" s="89">
        <f>[RELID]</f>
        <v>25</v>
      </c>
    </row>
    <row r="28" spans="1:14">
      <c r="A28" s="40" t="str">
        <f>Page&amp;"-"&amp;(COUNTA($E$1:RelationTable[[#This Row],[Resource]])-1)</f>
        <v>Resource Relations-26</v>
      </c>
      <c r="B28" s="3">
        <f>IF(RelationTable[[#This Row],[Resource]]="","id",COUNTA($E$2:RelationTable[[#This Row],[Resource]])+IF(ISNUMBER(VLOOKUP('Table Seed Map'!$A$9,SeedMap[],9,0)),VLOOKUP('Table Seed Map'!$A$9,SeedMap[],9,0),0))</f>
        <v>26</v>
      </c>
      <c r="C28" s="15" t="str">
        <f>RelationTable[[#This Row],[Resource]]&amp;"/"&amp;RelationTable[[#This Row],[Method]]</f>
        <v>ResourceList/Relations</v>
      </c>
      <c r="D28" s="15">
        <f>RelationTable[[#This Row],[No]]</f>
        <v>26</v>
      </c>
      <c r="E28" s="7" t="s">
        <v>407</v>
      </c>
      <c r="F28" s="7" t="s">
        <v>411</v>
      </c>
      <c r="G28" s="15">
        <f>RelationTable[[#This Row],[No]]</f>
        <v>26</v>
      </c>
      <c r="H28" s="15">
        <f>IF(RelationTable[[#This Row],[No]]="id","resource",VLOOKUP([Resource],CHOOSE({1,2},ResourceTable[Name],ResourceTable[No]),2,0))</f>
        <v>20</v>
      </c>
      <c r="I28" s="17" t="s">
        <v>413</v>
      </c>
      <c r="J28" s="17" t="s">
        <v>412</v>
      </c>
      <c r="K28" s="17" t="s">
        <v>391</v>
      </c>
      <c r="L28" s="17" t="s">
        <v>250</v>
      </c>
      <c r="M28" s="44">
        <f>VLOOKUP([Relate Resource],CHOOSE({1,2},ResourceTable[Name],ResourceTable[No]),2,0)</f>
        <v>21</v>
      </c>
      <c r="N28" s="89">
        <f>[RELID]</f>
        <v>26</v>
      </c>
    </row>
    <row r="29" spans="1:14">
      <c r="A29" s="40" t="str">
        <f>Page&amp;"-"&amp;(COUNTA($E$1:RelationTable[[#This Row],[Resource]])-1)</f>
        <v>Resource Relations-27</v>
      </c>
      <c r="B29" s="3">
        <f>IF(RelationTable[[#This Row],[Resource]]="","id",COUNTA($E$2:RelationTable[[#This Row],[Resource]])+IF(ISNUMBER(VLOOKUP('Table Seed Map'!$A$9,SeedMap[],9,0)),VLOOKUP('Table Seed Map'!$A$9,SeedMap[],9,0),0))</f>
        <v>27</v>
      </c>
      <c r="C29" s="15" t="str">
        <f>RelationTable[[#This Row],[Resource]]&amp;"/"&amp;RelationTable[[#This Row],[Method]]</f>
        <v>Resource/Scopes</v>
      </c>
      <c r="D29" s="15">
        <f>RelationTable[[#This Row],[No]]</f>
        <v>27</v>
      </c>
      <c r="E29" s="7" t="s">
        <v>204</v>
      </c>
      <c r="F29" s="7" t="s">
        <v>415</v>
      </c>
      <c r="G29" s="15">
        <f>RelationTable[[#This Row],[No]]</f>
        <v>27</v>
      </c>
      <c r="H29" s="15">
        <f>IF(RelationTable[[#This Row],[No]]="id","resource",VLOOKUP([Resource],CHOOSE({1,2},ResourceTable[Name],ResourceTable[No]),2,0))</f>
        <v>4</v>
      </c>
      <c r="I29" s="17" t="s">
        <v>346</v>
      </c>
      <c r="J29" s="17" t="s">
        <v>421</v>
      </c>
      <c r="K29" s="17" t="s">
        <v>422</v>
      </c>
      <c r="L29" s="17" t="s">
        <v>250</v>
      </c>
      <c r="M29" s="44">
        <f>VLOOKUP([Relate Resource],CHOOSE({1,2},ResourceTable[Name],ResourceTable[No]),2,0)</f>
        <v>7</v>
      </c>
      <c r="N29" s="89">
        <f>[RELID]</f>
        <v>27</v>
      </c>
    </row>
    <row r="30" spans="1:14">
      <c r="A30" s="40" t="str">
        <f>Page&amp;"-"&amp;(COUNTA($E$1:RelationTable[[#This Row],[Resource]])-1)</f>
        <v>Resource Relations-28</v>
      </c>
      <c r="B30" s="3">
        <f>IF(RelationTable[[#This Row],[Resource]]="","id",COUNTA($E$2:RelationTable[[#This Row],[Resource]])+IF(ISNUMBER(VLOOKUP('Table Seed Map'!$A$9,SeedMap[],9,0)),VLOOKUP('Table Seed Map'!$A$9,SeedMap[],9,0),0))</f>
        <v>28</v>
      </c>
      <c r="C30" s="15" t="str">
        <f>RelationTable[[#This Row],[Resource]]&amp;"/"&amp;RelationTable[[#This Row],[Method]]</f>
        <v>ResourceList/Scopes</v>
      </c>
      <c r="D30" s="15">
        <f>RelationTable[[#This Row],[No]]</f>
        <v>28</v>
      </c>
      <c r="E30" s="7" t="s">
        <v>407</v>
      </c>
      <c r="F30" s="7" t="s">
        <v>415</v>
      </c>
      <c r="G30" s="15">
        <f>RelationTable[[#This Row],[No]]</f>
        <v>28</v>
      </c>
      <c r="H30" s="15">
        <f>IF(RelationTable[[#This Row],[No]]="id","resource",VLOOKUP([Resource],CHOOSE({1,2},ResourceTable[Name],ResourceTable[No]),2,0))</f>
        <v>20</v>
      </c>
      <c r="I30" s="17" t="s">
        <v>419</v>
      </c>
      <c r="J30" s="17" t="s">
        <v>423</v>
      </c>
      <c r="K30" s="17" t="s">
        <v>422</v>
      </c>
      <c r="L30" s="17" t="s">
        <v>212</v>
      </c>
      <c r="M30" s="44">
        <f>VLOOKUP([Relate Resource],CHOOSE({1,2},ResourceTable[Name],ResourceTable[No]),2,0)</f>
        <v>7</v>
      </c>
      <c r="N30" s="89">
        <f>[RELID]</f>
        <v>28</v>
      </c>
    </row>
    <row r="31" spans="1:14">
      <c r="A31" s="40" t="str">
        <f>Page&amp;"-"&amp;(COUNTA($E$1:RelationTable[[#This Row],[Resource]])-1)</f>
        <v>Resource Relations-29</v>
      </c>
      <c r="B31" s="3">
        <f>IF(RelationTable[[#This Row],[Resource]]="","id",COUNTA($E$2:RelationTable[[#This Row],[Resource]])+IF(ISNUMBER(VLOOKUP('Table Seed Map'!$A$9,SeedMap[],9,0)),VLOOKUP('Table Seed Map'!$A$9,SeedMap[],9,0),0))</f>
        <v>29</v>
      </c>
      <c r="C31" s="15" t="str">
        <f>RelationTable[[#This Row],[Resource]]&amp;"/"&amp;RelationTable[[#This Row],[Method]]</f>
        <v>ResourceData/Relations</v>
      </c>
      <c r="D31" s="15">
        <f>RelationTable[[#This Row],[No]]</f>
        <v>29</v>
      </c>
      <c r="E31" s="7" t="s">
        <v>430</v>
      </c>
      <c r="F31" s="7" t="s">
        <v>432</v>
      </c>
      <c r="G31" s="15">
        <f>RelationTable[[#This Row],[No]]</f>
        <v>29</v>
      </c>
      <c r="H31" s="15">
        <f>IF(RelationTable[[#This Row],[No]]="id","resource",VLOOKUP([Resource],CHOOSE({1,2},ResourceTable[Name],ResourceTable[No]),2,0))</f>
        <v>25</v>
      </c>
      <c r="I31" s="17" t="s">
        <v>436</v>
      </c>
      <c r="J31" s="17" t="s">
        <v>437</v>
      </c>
      <c r="K31" s="17" t="s">
        <v>391</v>
      </c>
      <c r="L31" s="17" t="s">
        <v>250</v>
      </c>
      <c r="M31" s="44">
        <f>VLOOKUP([Relate Resource],CHOOSE({1,2},ResourceTable[Name],ResourceTable[No]),2,0)</f>
        <v>26</v>
      </c>
      <c r="N31" s="89">
        <f>[RELID]</f>
        <v>29</v>
      </c>
    </row>
    <row r="32" spans="1:14">
      <c r="A32" s="40" t="str">
        <f>Page&amp;"-"&amp;(COUNTA($E$1:RelationTable[[#This Row],[Resource]])-1)</f>
        <v>Resource Relations-30</v>
      </c>
      <c r="B32" s="3">
        <f>IF(RelationTable[[#This Row],[Resource]]="","id",COUNTA($E$2:RelationTable[[#This Row],[Resource]])+IF(ISNUMBER(VLOOKUP('Table Seed Map'!$A$9,SeedMap[],9,0)),VLOOKUP('Table Seed Map'!$A$9,SeedMap[],9,0),0))</f>
        <v>30</v>
      </c>
      <c r="C32" s="15" t="str">
        <f>RelationTable[[#This Row],[Resource]]&amp;"/"&amp;RelationTable[[#This Row],[Method]]</f>
        <v>ResourceData/Resource</v>
      </c>
      <c r="D32" s="15">
        <f>RelationTable[[#This Row],[No]]</f>
        <v>30</v>
      </c>
      <c r="E32" s="7" t="s">
        <v>430</v>
      </c>
      <c r="F32" s="7" t="s">
        <v>204</v>
      </c>
      <c r="G32" s="15">
        <f>RelationTable[[#This Row],[No]]</f>
        <v>30</v>
      </c>
      <c r="H32" s="15">
        <f>IF(RelationTable[[#This Row],[No]]="id","resource",VLOOKUP([Resource],CHOOSE({1,2},ResourceTable[Name],ResourceTable[No]),2,0))</f>
        <v>25</v>
      </c>
      <c r="I32" s="17" t="s">
        <v>308</v>
      </c>
      <c r="J32" s="17" t="s">
        <v>438</v>
      </c>
      <c r="K32" s="17" t="s">
        <v>204</v>
      </c>
      <c r="L32" s="17" t="s">
        <v>310</v>
      </c>
      <c r="M32" s="44">
        <f>VLOOKUP([Relate Resource],CHOOSE({1,2},ResourceTable[Name],ResourceTable[No]),2,0)</f>
        <v>4</v>
      </c>
      <c r="N32" s="89">
        <f>[RELID]</f>
        <v>30</v>
      </c>
    </row>
    <row r="33" spans="1:14">
      <c r="A33" s="40" t="str">
        <f>Page&amp;"-"&amp;(COUNTA($E$1:RelationTable[[#This Row],[Resource]])-1)</f>
        <v>Resource Relations-31</v>
      </c>
      <c r="B33" s="3">
        <f>IF(RelationTable[[#This Row],[Resource]]="","id",COUNTA($E$2:RelationTable[[#This Row],[Resource]])+IF(ISNUMBER(VLOOKUP('Table Seed Map'!$A$9,SeedMap[],9,0)),VLOOKUP('Table Seed Map'!$A$9,SeedMap[],9,0),0))</f>
        <v>31</v>
      </c>
      <c r="C33" s="15" t="str">
        <f>RelationTable[[#This Row],[Resource]]&amp;"/"&amp;RelationTable[[#This Row],[Method]]</f>
        <v>ResourceList/Layout</v>
      </c>
      <c r="D33" s="15">
        <f>RelationTable[[#This Row],[No]]</f>
        <v>31</v>
      </c>
      <c r="E33" s="9" t="s">
        <v>407</v>
      </c>
      <c r="F33" s="9" t="s">
        <v>443</v>
      </c>
      <c r="G33" s="15">
        <f>RelationTable[[#This Row],[No]]</f>
        <v>31</v>
      </c>
      <c r="H33" s="15">
        <f>IF(RelationTable[[#This Row],[No]]="id","resource",VLOOKUP([Resource],CHOOSE({1,2},ResourceTable[Name],ResourceTable[No]),2,0))</f>
        <v>20</v>
      </c>
      <c r="I33" s="16" t="s">
        <v>445</v>
      </c>
      <c r="J33" s="16" t="s">
        <v>444</v>
      </c>
      <c r="K33" s="16" t="s">
        <v>447</v>
      </c>
      <c r="L33" s="16" t="s">
        <v>250</v>
      </c>
      <c r="M33" s="43">
        <f>VLOOKUP([Relate Resource],CHOOSE({1,2},ResourceTable[Name],ResourceTable[No]),2,0)</f>
        <v>23</v>
      </c>
      <c r="N33" s="89">
        <f>[RELID]</f>
        <v>31</v>
      </c>
    </row>
    <row r="34" spans="1:14">
      <c r="A34" s="40" t="str">
        <f>Page&amp;"-"&amp;(COUNTA($E$1:RelationTable[[#This Row],[Resource]])-1)</f>
        <v>Resource Relations-32</v>
      </c>
      <c r="B34" s="3">
        <f>IF(RelationTable[[#This Row],[Resource]]="","id",COUNTA($E$2:RelationTable[[#This Row],[Resource]])+IF(ISNUMBER(VLOOKUP('Table Seed Map'!$A$9,SeedMap[],9,0)),VLOOKUP('Table Seed Map'!$A$9,SeedMap[],9,0),0))</f>
        <v>32</v>
      </c>
      <c r="C34" s="15" t="str">
        <f>RelationTable[[#This Row],[Resource]]&amp;"/"&amp;RelationTable[[#This Row],[Method]]</f>
        <v>ResourceRelation/Nest</v>
      </c>
      <c r="D34" s="15">
        <f>RelationTable[[#This Row],[No]]</f>
        <v>32</v>
      </c>
      <c r="E34" s="7" t="s">
        <v>449</v>
      </c>
      <c r="F34" s="7" t="s">
        <v>449</v>
      </c>
      <c r="G34" s="15">
        <f>RelationTable[[#This Row],[No]]</f>
        <v>32</v>
      </c>
      <c r="H34" s="15">
        <f>IF(RelationTable[[#This Row],[No]]="id","resource",VLOOKUP([Resource],CHOOSE({1,2},ResourceTable[Name],ResourceTable[No]),2,0))</f>
        <v>6</v>
      </c>
      <c r="I34" s="17" t="s">
        <v>465</v>
      </c>
      <c r="J34" s="17" t="s">
        <v>465</v>
      </c>
      <c r="K34" s="17" t="s">
        <v>466</v>
      </c>
      <c r="L34" s="16" t="s">
        <v>250</v>
      </c>
      <c r="M34" s="44">
        <f>VLOOKUP([Relate Resource],CHOOSE({1,2},ResourceTable[Name],ResourceTable[No]),2,0)</f>
        <v>6</v>
      </c>
      <c r="N34" s="89">
        <f>[RELID]</f>
        <v>32</v>
      </c>
    </row>
    <row r="35" spans="1:14">
      <c r="A35" s="40" t="str">
        <f>Page&amp;"-"&amp;(COUNTA($E$1:RelationTable[[#This Row],[Resource]])-1)</f>
        <v>Resource Relations-33</v>
      </c>
      <c r="B35" s="3">
        <f>IF(RelationTable[[#This Row],[Resource]]="","id",COUNTA($E$2:RelationTable[[#This Row],[Resource]])+IF(ISNUMBER(VLOOKUP('Table Seed Map'!$A$9,SeedMap[],9,0)),VLOOKUP('Table Seed Map'!$A$9,SeedMap[],9,0),0))</f>
        <v>33</v>
      </c>
      <c r="C35" s="15" t="str">
        <f>RelationTable[[#This Row],[Resource]]&amp;"/"&amp;RelationTable[[#This Row],[Method]]</f>
        <v>ResourceRelation/Relation</v>
      </c>
      <c r="D35" s="15">
        <f>RelationTable[[#This Row],[No]]</f>
        <v>33</v>
      </c>
      <c r="E35" s="7" t="s">
        <v>449</v>
      </c>
      <c r="F35" s="7" t="s">
        <v>204</v>
      </c>
      <c r="G35" s="15">
        <f>RelationTable[[#This Row],[No]]</f>
        <v>33</v>
      </c>
      <c r="H35" s="15">
        <f>IF(RelationTable[[#This Row],[No]]="id","resource",VLOOKUP([Resource],CHOOSE({1,2},ResourceTable[Name],ResourceTable[No]),2,0))</f>
        <v>6</v>
      </c>
      <c r="I35" s="17" t="s">
        <v>467</v>
      </c>
      <c r="J35" s="17" t="s">
        <v>468</v>
      </c>
      <c r="K35" s="17" t="s">
        <v>246</v>
      </c>
      <c r="L35" s="17" t="s">
        <v>310</v>
      </c>
      <c r="M35" s="44">
        <f>VLOOKUP([Relate Resource],CHOOSE({1,2},ResourceTable[Name],ResourceTable[No]),2,0)</f>
        <v>4</v>
      </c>
      <c r="N35" s="89">
        <f>[RELID]</f>
        <v>33</v>
      </c>
    </row>
    <row r="36" spans="1:14">
      <c r="A36" s="40" t="str">
        <f>Page&amp;"-"&amp;(COUNTA($E$1:RelationTable[[#This Row],[Resource]])-1)</f>
        <v>Resource Relations-34</v>
      </c>
      <c r="B36" s="3">
        <f>IF(RelationTable[[#This Row],[Resource]]="","id",COUNTA($E$2:RelationTable[[#This Row],[Resource]])+IF(ISNUMBER(VLOOKUP('Table Seed Map'!$A$9,SeedMap[],9,0)),VLOOKUP('Table Seed Map'!$A$9,SeedMap[],9,0),0))</f>
        <v>34</v>
      </c>
      <c r="C36" s="15" t="str">
        <f>RelationTable[[#This Row],[Resource]]&amp;"/"&amp;RelationTable[[#This Row],[Method]]</f>
        <v>ResourceData/Sections</v>
      </c>
      <c r="D36" s="15">
        <f>RelationTable[[#This Row],[No]]</f>
        <v>34</v>
      </c>
      <c r="E36" s="7" t="s">
        <v>430</v>
      </c>
      <c r="F36" s="7" t="s">
        <v>485</v>
      </c>
      <c r="G36" s="15">
        <f>RelationTable[[#This Row],[No]]</f>
        <v>34</v>
      </c>
      <c r="H36" s="15">
        <f>IF(RelationTable[[#This Row],[No]]="id","resource",VLOOKUP([Resource],CHOOSE({1,2},ResourceTable[Name],ResourceTable[No]),2,0))</f>
        <v>25</v>
      </c>
      <c r="I36" s="17" t="s">
        <v>487</v>
      </c>
      <c r="J36" s="17" t="s">
        <v>490</v>
      </c>
      <c r="K36" s="17" t="s">
        <v>489</v>
      </c>
      <c r="L36" s="17" t="s">
        <v>250</v>
      </c>
      <c r="M36" s="44">
        <f>VLOOKUP([Relate Resource],CHOOSE({1,2},ResourceTable[Name],ResourceTable[No]),2,0)</f>
        <v>28</v>
      </c>
      <c r="N36" s="89">
        <f>[RELID]</f>
        <v>34</v>
      </c>
    </row>
    <row r="37" spans="1:14">
      <c r="A37" s="40" t="str">
        <f>Page&amp;"-"&amp;(COUNTA($E$1:RelationTable[[#This Row],[Resource]])-1)</f>
        <v>Resource Relations-35</v>
      </c>
      <c r="B37" s="3">
        <f>IF(RelationTable[[#This Row],[Resource]]="","id",COUNTA($E$2:RelationTable[[#This Row],[Resource]])+IF(ISNUMBER(VLOOKUP('Table Seed Map'!$A$9,SeedMap[],9,0)),VLOOKUP('Table Seed Map'!$A$9,SeedMap[],9,0),0))</f>
        <v>35</v>
      </c>
      <c r="C37" s="15" t="str">
        <f>RelationTable[[#This Row],[Resource]]&amp;"/"&amp;RelationTable[[#This Row],[Method]]</f>
        <v>ResourceDataViewSection/Relation</v>
      </c>
      <c r="D37" s="15">
        <f>RelationTable[[#This Row],[No]]</f>
        <v>35</v>
      </c>
      <c r="E37" s="7" t="s">
        <v>485</v>
      </c>
      <c r="F37" s="7" t="s">
        <v>449</v>
      </c>
      <c r="G37" s="15">
        <f>RelationTable[[#This Row],[No]]</f>
        <v>35</v>
      </c>
      <c r="H37" s="15">
        <f>IF(RelationTable[[#This Row],[No]]="id","resource",VLOOKUP([Resource],CHOOSE({1,2},ResourceTable[Name],ResourceTable[No]),2,0))</f>
        <v>28</v>
      </c>
      <c r="I37" s="17" t="s">
        <v>436</v>
      </c>
      <c r="J37" s="17" t="s">
        <v>497</v>
      </c>
      <c r="K37" s="17" t="s">
        <v>246</v>
      </c>
      <c r="L37" s="17" t="s">
        <v>310</v>
      </c>
      <c r="M37" s="44">
        <f>VLOOKUP([Relate Resource],CHOOSE({1,2},ResourceTable[Name],ResourceTable[No]),2,0)</f>
        <v>6</v>
      </c>
      <c r="N37" s="89">
        <f>[RELID]</f>
        <v>35</v>
      </c>
    </row>
    <row r="38" spans="1:14">
      <c r="A38" s="40" t="str">
        <f>Page&amp;"-"&amp;(COUNTA($E$1:RelationTable[[#This Row],[Resource]])-1)</f>
        <v>Resource Relations-36</v>
      </c>
      <c r="B38" s="3">
        <f>IF(RelationTable[[#This Row],[Resource]]="","id",COUNTA($E$2:RelationTable[[#This Row],[Resource]])+IF(ISNUMBER(VLOOKUP('Table Seed Map'!$A$9,SeedMap[],9,0)),VLOOKUP('Table Seed Map'!$A$9,SeedMap[],9,0),0))</f>
        <v>36</v>
      </c>
      <c r="C38" s="15" t="str">
        <f>RelationTable[[#This Row],[Resource]]&amp;"/"&amp;RelationTable[[#This Row],[Method]]</f>
        <v>ResourceDataViewSectionItem/Relation</v>
      </c>
      <c r="D38" s="15">
        <f>RelationTable[[#This Row],[No]]</f>
        <v>36</v>
      </c>
      <c r="E38" s="7" t="s">
        <v>492</v>
      </c>
      <c r="F38" s="7" t="s">
        <v>449</v>
      </c>
      <c r="G38" s="15">
        <f>RelationTable[[#This Row],[No]]</f>
        <v>36</v>
      </c>
      <c r="H38" s="15">
        <f>IF(RelationTable[[#This Row],[No]]="id","resource",VLOOKUP([Resource],CHOOSE({1,2},ResourceTable[Name],ResourceTable[No]),2,0))</f>
        <v>29</v>
      </c>
      <c r="I38" s="17" t="s">
        <v>498</v>
      </c>
      <c r="J38" s="17" t="s">
        <v>499</v>
      </c>
      <c r="K38" s="17" t="s">
        <v>246</v>
      </c>
      <c r="L38" s="17" t="s">
        <v>310</v>
      </c>
      <c r="M38" s="44">
        <f>VLOOKUP([Relate Resource],CHOOSE({1,2},ResourceTable[Name],ResourceTable[No]),2,0)</f>
        <v>6</v>
      </c>
      <c r="N38" s="89">
        <f>[RELID]</f>
        <v>36</v>
      </c>
    </row>
    <row r="39" spans="1:14">
      <c r="A39" s="40" t="str">
        <f>Page&amp;"-"&amp;(COUNTA($E$1:RelationTable[[#This Row],[Resource]])-1)</f>
        <v>Resource Relations-37</v>
      </c>
      <c r="B39" s="3">
        <f>IF(RelationTable[[#This Row],[Resource]]="","id",COUNTA($E$2:RelationTable[[#This Row],[Resource]])+IF(ISNUMBER(VLOOKUP('Table Seed Map'!$A$9,SeedMap[],9,0)),VLOOKUP('Table Seed Map'!$A$9,SeedMap[],9,0),0))</f>
        <v>37</v>
      </c>
      <c r="C39" s="15" t="str">
        <f>RelationTable[[#This Row],[Resource]]&amp;"/"&amp;RelationTable[[#This Row],[Method]]</f>
        <v>ResourceRelation/Owner</v>
      </c>
      <c r="D39" s="15">
        <f>RelationTable[[#This Row],[No]]</f>
        <v>37</v>
      </c>
      <c r="E39" s="7" t="s">
        <v>449</v>
      </c>
      <c r="F39" s="7" t="s">
        <v>204</v>
      </c>
      <c r="G39" s="15">
        <f>RelationTable[[#This Row],[No]]</f>
        <v>37</v>
      </c>
      <c r="H39" s="15">
        <f>IF(RelationTable[[#This Row],[No]]="id","resource",VLOOKUP([Resource],CHOOSE({1,2},ResourceTable[Name],ResourceTable[No]),2,0))</f>
        <v>6</v>
      </c>
      <c r="I39" s="17" t="s">
        <v>501</v>
      </c>
      <c r="J39" s="17" t="s">
        <v>502</v>
      </c>
      <c r="K39" s="17" t="s">
        <v>503</v>
      </c>
      <c r="L39" s="17" t="s">
        <v>310</v>
      </c>
      <c r="M39" s="44">
        <f>VLOOKUP([Relate Resource],CHOOSE({1,2},ResourceTable[Name],ResourceTable[No]),2,0)</f>
        <v>4</v>
      </c>
      <c r="N39" s="89">
        <f>[RELID]</f>
        <v>37</v>
      </c>
    </row>
    <row r="40" spans="1:14">
      <c r="A40" s="40" t="str">
        <f>Page&amp;"-"&amp;(COUNTA($E$1:RelationTable[[#This Row],[Resource]])-1)</f>
        <v>Resource Relations-38</v>
      </c>
      <c r="B40" s="3">
        <f>IF(RelationTable[[#This Row],[Resource]]="","id",COUNTA($E$2:RelationTable[[#This Row],[Resource]])+IF(ISNUMBER(VLOOKUP('Table Seed Map'!$A$9,SeedMap[],9,0)),VLOOKUP('Table Seed Map'!$A$9,SeedMap[],9,0),0))</f>
        <v>38</v>
      </c>
      <c r="C40" s="15" t="str">
        <f>RelationTable[[#This Row],[Resource]]&amp;"/"&amp;RelationTable[[#This Row],[Method]]</f>
        <v>ResourceForm/Collections</v>
      </c>
      <c r="D40" s="15">
        <f>RelationTable[[#This Row],[No]]</f>
        <v>38</v>
      </c>
      <c r="E40" s="7" t="s">
        <v>311</v>
      </c>
      <c r="F40" s="7" t="s">
        <v>511</v>
      </c>
      <c r="G40" s="15">
        <f>RelationTable[[#This Row],[No]]</f>
        <v>38</v>
      </c>
      <c r="H40" s="15">
        <f>IF(RelationTable[[#This Row],[No]]="id","resource",VLOOKUP([Resource],CHOOSE({1,2},ResourceTable[Name],ResourceTable[No]),2,0))</f>
        <v>8</v>
      </c>
      <c r="I40" s="17" t="s">
        <v>515</v>
      </c>
      <c r="J40" s="17" t="s">
        <v>516</v>
      </c>
      <c r="K40" s="17" t="s">
        <v>515</v>
      </c>
      <c r="L40" s="17" t="s">
        <v>250</v>
      </c>
      <c r="M40" s="44">
        <f>VLOOKUP([Relate Resource],CHOOSE({1,2},ResourceTable[Name],ResourceTable[No]),2,0)</f>
        <v>17</v>
      </c>
      <c r="N40" s="89">
        <f>[RELID]</f>
        <v>38</v>
      </c>
    </row>
    <row r="41" spans="1:14">
      <c r="A41" s="40" t="str">
        <f>Page&amp;"-"&amp;(COUNTA($E$1:RelationTable[[#This Row],[Resource]])-1)</f>
        <v>Resource Relations-39</v>
      </c>
      <c r="B41" s="3">
        <f>IF(RelationTable[[#This Row],[Resource]]="","id",COUNTA($E$2:RelationTable[[#This Row],[Resource]])+IF(ISNUMBER(VLOOKUP('Table Seed Map'!$A$9,SeedMap[],9,0)),VLOOKUP('Table Seed Map'!$A$9,SeedMap[],9,0),0))</f>
        <v>39</v>
      </c>
      <c r="C41" s="15" t="str">
        <f>RelationTable[[#This Row],[Resource]]&amp;"/"&amp;RelationTable[[#This Row],[Method]]</f>
        <v>ResourceFormCollection/Form</v>
      </c>
      <c r="D41" s="15">
        <f>RelationTable[[#This Row],[No]]</f>
        <v>39</v>
      </c>
      <c r="E41" s="7" t="s">
        <v>511</v>
      </c>
      <c r="F41" s="7" t="s">
        <v>311</v>
      </c>
      <c r="G41" s="15">
        <f>RelationTable[[#This Row],[No]]</f>
        <v>39</v>
      </c>
      <c r="H41" s="15">
        <f>IF(RelationTable[[#This Row],[No]]="id","resource",VLOOKUP([Resource],CHOOSE({1,2},ResourceTable[Name],ResourceTable[No]),2,0))</f>
        <v>17</v>
      </c>
      <c r="I41" s="17" t="s">
        <v>513</v>
      </c>
      <c r="J41" s="17" t="s">
        <v>513</v>
      </c>
      <c r="K41" s="17" t="s">
        <v>276</v>
      </c>
      <c r="L41" s="17" t="s">
        <v>310</v>
      </c>
      <c r="M41" s="44">
        <f>VLOOKUP([Relate Resource],CHOOSE({1,2},ResourceTable[Name],ResourceTable[No]),2,0)</f>
        <v>8</v>
      </c>
      <c r="N41" s="89">
        <f>[RELID]</f>
        <v>39</v>
      </c>
    </row>
    <row r="42" spans="1:14">
      <c r="A42" s="4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Map'!$A$9,SeedMap[],9,0)),VLOOKUP('Table Seed Map'!$A$9,SeedMap[],9,0),0))</f>
        <v>40</v>
      </c>
      <c r="C42" s="15" t="str">
        <f>RelationTable[[#This Row],[Resource]]&amp;"/"&amp;RelationTable[[#This Row],[Method]]</f>
        <v>ResourceFormCollection/Relation</v>
      </c>
      <c r="D42" s="15">
        <f>RelationTable[[#This Row],[No]]</f>
        <v>40</v>
      </c>
      <c r="E42" s="7" t="s">
        <v>511</v>
      </c>
      <c r="F42" s="7" t="s">
        <v>449</v>
      </c>
      <c r="G42" s="15">
        <f>RelationTable[[#This Row],[No]]</f>
        <v>40</v>
      </c>
      <c r="H42" s="15">
        <f>IF(RelationTable[[#This Row],[No]]="id","resource",VLOOKUP([Resource],CHOOSE({1,2},ResourceTable[Name],ResourceTable[No]),2,0))</f>
        <v>17</v>
      </c>
      <c r="I42" s="17" t="s">
        <v>246</v>
      </c>
      <c r="J42" s="17" t="s">
        <v>518</v>
      </c>
      <c r="K42" s="17" t="s">
        <v>246</v>
      </c>
      <c r="L42" s="17" t="s">
        <v>310</v>
      </c>
      <c r="M42" s="44">
        <f>VLOOKUP([Relate Resource],CHOOSE({1,2},ResourceTable[Name],ResourceTable[No]),2,0)</f>
        <v>6</v>
      </c>
      <c r="N42" s="89">
        <f>[RELID]</f>
        <v>40</v>
      </c>
    </row>
    <row r="43" spans="1:14">
      <c r="A43" s="4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Map'!$A$9,SeedMap[],9,0)),VLOOKUP('Table Seed Map'!$A$9,SeedMap[],9,0),0))</f>
        <v>41</v>
      </c>
      <c r="C43" s="15" t="str">
        <f>RelationTable[[#This Row],[Resource]]&amp;"/"&amp;RelationTable[[#This Row],[Method]]</f>
        <v>ResourceFormFieldOption/Field</v>
      </c>
      <c r="D43" s="15">
        <f>RelationTable[[#This Row],[No]]</f>
        <v>41</v>
      </c>
      <c r="E43" s="7" t="s">
        <v>364</v>
      </c>
      <c r="F43" s="7" t="s">
        <v>315</v>
      </c>
      <c r="G43" s="15">
        <f>RelationTable[[#This Row],[No]]</f>
        <v>41</v>
      </c>
      <c r="H43" s="15">
        <f>IF(RelationTable[[#This Row],[No]]="id","resource",VLOOKUP([Resource],CHOOSE({1,2},ResourceTable[Name],ResourceTable[No]),2,0))</f>
        <v>12</v>
      </c>
      <c r="I43" s="17" t="s">
        <v>13</v>
      </c>
      <c r="J43" s="17" t="s">
        <v>519</v>
      </c>
      <c r="K43" s="17" t="s">
        <v>13</v>
      </c>
      <c r="L43" s="17" t="s">
        <v>310</v>
      </c>
      <c r="M43" s="44">
        <f>VLOOKUP([Relate Resource],CHOOSE({1,2},ResourceTable[Name],ResourceTable[No]),2,0)</f>
        <v>9</v>
      </c>
      <c r="N43" s="89">
        <f>[RELID]</f>
        <v>41</v>
      </c>
    </row>
    <row r="44" spans="1:14">
      <c r="A44" s="40" t="str">
        <f>Page&amp;"-"&amp;(COUNTA($E$1:RelationTable[[#This Row],[Resource]])-1)</f>
        <v>Resource Relations-42</v>
      </c>
      <c r="B44" s="3">
        <f>IF(RelationTable[[#This Row],[Resource]]="","id",COUNTA($E$2:RelationTable[[#This Row],[Resource]])+IF(ISNUMBER(VLOOKUP('Table Seed Map'!$A$9,SeedMap[],9,0)),VLOOKUP('Table Seed Map'!$A$9,SeedMap[],9,0),0))</f>
        <v>42</v>
      </c>
      <c r="C44" s="15" t="str">
        <f>RelationTable[[#This Row],[Resource]]&amp;"/"&amp;RelationTable[[#This Row],[Method]]</f>
        <v>ResourceFormField/Form</v>
      </c>
      <c r="D44" s="15">
        <f>RelationTable[[#This Row],[No]]</f>
        <v>42</v>
      </c>
      <c r="E44" s="7" t="s">
        <v>315</v>
      </c>
      <c r="F44" s="7" t="s">
        <v>311</v>
      </c>
      <c r="G44" s="15">
        <f>RelationTable[[#This Row],[No]]</f>
        <v>42</v>
      </c>
      <c r="H44" s="15">
        <f>IF(RelationTable[[#This Row],[No]]="id","resource",VLOOKUP([Resource],CHOOSE({1,2},ResourceTable[Name],ResourceTable[No]),2,0))</f>
        <v>9</v>
      </c>
      <c r="I44" s="17" t="s">
        <v>276</v>
      </c>
      <c r="J44" s="17" t="s">
        <v>520</v>
      </c>
      <c r="K44" s="17" t="s">
        <v>276</v>
      </c>
      <c r="L44" s="17" t="s">
        <v>310</v>
      </c>
      <c r="M44" s="44">
        <f>VLOOKUP([Relate Resource],CHOOSE({1,2},ResourceTable[Name],ResourceTable[No]),2,0)</f>
        <v>8</v>
      </c>
      <c r="N44" s="89">
        <f>[RELID]</f>
        <v>42</v>
      </c>
    </row>
    <row r="45" spans="1:14">
      <c r="A45" s="40" t="str">
        <f>Page&amp;"-"&amp;(COUNTA($E$1:RelationTable[[#This Row],[Resource]])-1)</f>
        <v>Resource Relations-43</v>
      </c>
      <c r="B45" s="3">
        <f>IF(RelationTable[[#This Row],[Resource]]="","id",COUNTA($E$2:RelationTable[[#This Row],[Resource]])+IF(ISNUMBER(VLOOKUP('Table Seed Map'!$A$9,SeedMap[],9,0)),VLOOKUP('Table Seed Map'!$A$9,SeedMap[],9,0),0))</f>
        <v>43</v>
      </c>
      <c r="C45" s="15" t="str">
        <f>RelationTable[[#This Row],[Resource]]&amp;"/"&amp;RelationTable[[#This Row],[Method]]</f>
        <v>ResourceList/Search</v>
      </c>
      <c r="D45" s="15">
        <f>RelationTable[[#This Row],[No]]</f>
        <v>43</v>
      </c>
      <c r="E45" s="7" t="s">
        <v>407</v>
      </c>
      <c r="F45" s="7" t="s">
        <v>533</v>
      </c>
      <c r="G45" s="15">
        <f>RelationTable[[#This Row],[No]]</f>
        <v>43</v>
      </c>
      <c r="H45" s="15">
        <f>IF(RelationTable[[#This Row],[No]]="id","resource",VLOOKUP([Resource],CHOOSE({1,2},ResourceTable[Name],ResourceTable[No]),2,0))</f>
        <v>20</v>
      </c>
      <c r="I45" s="17" t="s">
        <v>535</v>
      </c>
      <c r="J45" s="17" t="s">
        <v>538</v>
      </c>
      <c r="K45" s="17" t="s">
        <v>537</v>
      </c>
      <c r="L45" s="17" t="s">
        <v>250</v>
      </c>
      <c r="M45" s="44">
        <f>VLOOKUP([Relate Resource],CHOOSE({1,2},ResourceTable[Name],ResourceTable[No]),2,0)</f>
        <v>24</v>
      </c>
      <c r="N45" s="89">
        <f>[RELID]</f>
        <v>43</v>
      </c>
    </row>
    <row r="46" spans="1:14">
      <c r="A46" s="40" t="str">
        <f>Page&amp;"-"&amp;(COUNTA($E$1:RelationTable[[#This Row],[Resource]])-1)</f>
        <v>Resource Relations-44</v>
      </c>
      <c r="B46" s="3">
        <f>IF(RelationTable[[#This Row],[Resource]]="","id",COUNTA($E$2:RelationTable[[#This Row],[Resource]])+IF(ISNUMBER(VLOOKUP('Table Seed Map'!$A$9,SeedMap[],9,0)),VLOOKUP('Table Seed Map'!$A$9,SeedMap[],9,0),0))</f>
        <v>44</v>
      </c>
      <c r="C46" s="15" t="str">
        <f>RelationTable[[#This Row],[Resource]]&amp;"/"&amp;RelationTable[[#This Row],[Method]]</f>
        <v>ResourceFormField/Depends</v>
      </c>
      <c r="D46" s="15">
        <f>RelationTable[[#This Row],[No]]</f>
        <v>44</v>
      </c>
      <c r="E46" s="7" t="s">
        <v>315</v>
      </c>
      <c r="F46" s="7" t="s">
        <v>551</v>
      </c>
      <c r="G46" s="15">
        <f>RelationTable[[#This Row],[No]]</f>
        <v>44</v>
      </c>
      <c r="H46" s="15">
        <f>IF(RelationTable[[#This Row],[No]]="id","resource",VLOOKUP([Resource],CHOOSE({1,2},ResourceTable[Name],ResourceTable[No]),2,0))</f>
        <v>9</v>
      </c>
      <c r="I46" s="17" t="s">
        <v>555</v>
      </c>
      <c r="J46" s="17" t="s">
        <v>556</v>
      </c>
      <c r="K46" s="17" t="s">
        <v>557</v>
      </c>
      <c r="L46" s="17" t="s">
        <v>250</v>
      </c>
      <c r="M46" s="44">
        <f>VLOOKUP([Relate Resource],CHOOSE({1,2},ResourceTable[Name],ResourceTable[No]),2,0)</f>
        <v>14</v>
      </c>
      <c r="N46" s="89">
        <f>[RELID]</f>
        <v>44</v>
      </c>
    </row>
    <row r="47" spans="1:14">
      <c r="A47" s="40" t="str">
        <f>Page&amp;"-"&amp;(COUNTA($E$1:RelationTable[[#This Row],[Resource]])-1)</f>
        <v>Resource Relations-45</v>
      </c>
      <c r="B47" s="3">
        <f>IF(RelationTable[[#This Row],[Resource]]="","id",COUNTA($E$2:RelationTable[[#This Row],[Resource]])+IF(ISNUMBER(VLOOKUP('Table Seed Map'!$A$9,SeedMap[],9,0)),VLOOKUP('Table Seed Map'!$A$9,SeedMap[],9,0),0))</f>
        <v>45</v>
      </c>
      <c r="C47" s="15" t="str">
        <f>RelationTable[[#This Row],[Resource]]&amp;"/"&amp;RelationTable[[#This Row],[Method]]</f>
        <v>Resource/Dashboards</v>
      </c>
      <c r="D47" s="15">
        <f>RelationTable[[#This Row],[No]]</f>
        <v>45</v>
      </c>
      <c r="E47" s="7" t="s">
        <v>204</v>
      </c>
      <c r="F47" s="7" t="s">
        <v>606</v>
      </c>
      <c r="G47" s="15">
        <f>RelationTable[[#This Row],[No]]</f>
        <v>45</v>
      </c>
      <c r="H47" s="15">
        <f>IF(RelationTable[[#This Row],[No]]="id","resource",VLOOKUP([Resource],CHOOSE({1,2},ResourceTable[Name],ResourceTable[No]),2,0))</f>
        <v>4</v>
      </c>
      <c r="I47" s="17" t="s">
        <v>622</v>
      </c>
      <c r="J47" s="17" t="s">
        <v>621</v>
      </c>
      <c r="K47" s="17" t="s">
        <v>620</v>
      </c>
      <c r="L47" s="17" t="s">
        <v>250</v>
      </c>
      <c r="M47" s="44">
        <f>VLOOKUP([Relate Resource],CHOOSE({1,2},ResourceTable[Name],ResourceTable[No]),2,0)</f>
        <v>37</v>
      </c>
      <c r="N47" s="89">
        <f>[RELID]</f>
        <v>45</v>
      </c>
    </row>
    <row r="48" spans="1:14">
      <c r="A48" s="40" t="str">
        <f>Page&amp;"-"&amp;(COUNTA($E$1:RelationTable[[#This Row],[Resource]])-1)</f>
        <v>Resource Relations-46</v>
      </c>
      <c r="B48" s="3">
        <f>IF(RelationTable[[#This Row],[Resource]]="","id",COUNTA($E$2:RelationTable[[#This Row],[Resource]])+IF(ISNUMBER(VLOOKUP('Table Seed Map'!$A$9,SeedMap[],9,0)),VLOOKUP('Table Seed Map'!$A$9,SeedMap[],9,0),0))</f>
        <v>46</v>
      </c>
      <c r="C48" s="15" t="str">
        <f>RelationTable[[#This Row],[Resource]]&amp;"/"&amp;RelationTable[[#This Row],[Method]]</f>
        <v>ResourceDashboard/Sections</v>
      </c>
      <c r="D48" s="15">
        <f>RelationTable[[#This Row],[No]]</f>
        <v>46</v>
      </c>
      <c r="E48" s="7" t="s">
        <v>606</v>
      </c>
      <c r="F48" s="7" t="s">
        <v>607</v>
      </c>
      <c r="G48" s="15">
        <f>RelationTable[[#This Row],[No]]</f>
        <v>46</v>
      </c>
      <c r="H48" s="15">
        <f>IF(RelationTable[[#This Row],[No]]="id","resource",VLOOKUP([Resource],CHOOSE({1,2},ResourceTable[Name],ResourceTable[No]),2,0))</f>
        <v>37</v>
      </c>
      <c r="I48" s="17" t="s">
        <v>603</v>
      </c>
      <c r="J48" s="17" t="s">
        <v>623</v>
      </c>
      <c r="K48" s="17" t="s">
        <v>489</v>
      </c>
      <c r="L48" s="17" t="s">
        <v>250</v>
      </c>
      <c r="M48" s="44">
        <f>VLOOKUP([Relate Resource],CHOOSE({1,2},ResourceTable[Name],ResourceTable[No]),2,0)</f>
        <v>38</v>
      </c>
      <c r="N48" s="89">
        <f>[RELID]</f>
        <v>46</v>
      </c>
    </row>
    <row r="49" spans="1:14">
      <c r="A49" s="40" t="str">
        <f>Page&amp;"-"&amp;(COUNTA($E$1:RelationTable[[#This Row],[Resource]])-1)</f>
        <v>Resource Relations-47</v>
      </c>
      <c r="B49" s="3">
        <f>IF(RelationTable[[#This Row],[Resource]]="","id",COUNTA($E$2:RelationTable[[#This Row],[Resource]])+IF(ISNUMBER(VLOOKUP('Table Seed Map'!$A$9,SeedMap[],9,0)),VLOOKUP('Table Seed Map'!$A$9,SeedMap[],9,0),0))</f>
        <v>47</v>
      </c>
      <c r="C49" s="15" t="str">
        <f>RelationTable[[#This Row],[Resource]]&amp;"/"&amp;RelationTable[[#This Row],[Method]]</f>
        <v>ResourceDashboardSection/Items</v>
      </c>
      <c r="D49" s="15">
        <f>RelationTable[[#This Row],[No]]</f>
        <v>47</v>
      </c>
      <c r="E49" s="7" t="s">
        <v>607</v>
      </c>
      <c r="F49" s="7" t="s">
        <v>608</v>
      </c>
      <c r="G49" s="15">
        <f>RelationTable[[#This Row],[No]]</f>
        <v>47</v>
      </c>
      <c r="H49" s="15">
        <f>IF(RelationTable[[#This Row],[No]]="id","resource",VLOOKUP([Resource],CHOOSE({1,2},ResourceTable[Name],ResourceTable[No]),2,0))</f>
        <v>38</v>
      </c>
      <c r="I49" s="17" t="s">
        <v>604</v>
      </c>
      <c r="J49" s="17" t="s">
        <v>624</v>
      </c>
      <c r="K49" s="17" t="s">
        <v>496</v>
      </c>
      <c r="L49" s="17" t="s">
        <v>250</v>
      </c>
      <c r="M49" s="44">
        <f>VLOOKUP([Relate Resource],CHOOSE({1,2},ResourceTable[Name],ResourceTable[No]),2,0)</f>
        <v>39</v>
      </c>
      <c r="N49" s="89">
        <f>[RELID]</f>
        <v>47</v>
      </c>
    </row>
    <row r="50" spans="1:14">
      <c r="A50" s="40" t="str">
        <f>Page&amp;"-"&amp;(COUNTA($E$1:RelationTable[[#This Row],[Resource]])-1)</f>
        <v>Resource Relations-48</v>
      </c>
      <c r="B50" s="3">
        <f>IF(RelationTable[[#This Row],[Resource]]="","id",COUNTA($E$2:RelationTable[[#This Row],[Resource]])+IF(ISNUMBER(VLOOKUP('Table Seed Map'!$A$9,SeedMap[],9,0)),VLOOKUP('Table Seed Map'!$A$9,SeedMap[],9,0),0))</f>
        <v>48</v>
      </c>
      <c r="C50" s="15" t="str">
        <f>RelationTable[[#This Row],[Resource]]&amp;"/"&amp;RelationTable[[#This Row],[Method]]</f>
        <v>ResourceDashboard/Resource</v>
      </c>
      <c r="D50" s="15">
        <f>RelationTable[[#This Row],[No]]</f>
        <v>48</v>
      </c>
      <c r="E50" s="7" t="s">
        <v>606</v>
      </c>
      <c r="F50" s="7" t="s">
        <v>204</v>
      </c>
      <c r="G50" s="15">
        <f>RelationTable[[#This Row],[No]]</f>
        <v>48</v>
      </c>
      <c r="H50" s="15">
        <f>IF(RelationTable[[#This Row],[No]]="id","resource",VLOOKUP([Resource],CHOOSE({1,2},ResourceTable[Name],ResourceTable[No]),2,0))</f>
        <v>37</v>
      </c>
      <c r="I50" s="17" t="s">
        <v>625</v>
      </c>
      <c r="J50" s="17" t="s">
        <v>626</v>
      </c>
      <c r="K50" s="17" t="s">
        <v>204</v>
      </c>
      <c r="L50" s="17" t="s">
        <v>310</v>
      </c>
      <c r="M50" s="44">
        <f>VLOOKUP([Relate Resource],CHOOSE({1,2},ResourceTable[Name],ResourceTable[No]),2,0)</f>
        <v>4</v>
      </c>
      <c r="N50" s="89">
        <f>[RELID]</f>
        <v>48</v>
      </c>
    </row>
    <row r="51" spans="1:14">
      <c r="A51" s="40" t="str">
        <f>Page&amp;"-"&amp;(COUNTA($E$1:RelationTable[[#This Row],[Resource]])-1)</f>
        <v>Resource Relations-49</v>
      </c>
      <c r="B51" s="3">
        <f>IF(RelationTable[[#This Row],[Resource]]="","id",COUNTA($E$2:RelationTable[[#This Row],[Resource]])+IF(ISNUMBER(VLOOKUP('Table Seed Map'!$A$9,SeedMap[],9,0)),VLOOKUP('Table Seed Map'!$A$9,SeedMap[],9,0),0))</f>
        <v>49</v>
      </c>
      <c r="C51" s="15" t="str">
        <f>RelationTable[[#This Row],[Resource]]&amp;"/"&amp;RelationTable[[#This Row],[Method]]</f>
        <v>ResourceFormField/Dynamics</v>
      </c>
      <c r="D51" s="15">
        <f>RelationTable[[#This Row],[No]]</f>
        <v>49</v>
      </c>
      <c r="E51" s="7" t="s">
        <v>315</v>
      </c>
      <c r="F51" s="7" t="s">
        <v>653</v>
      </c>
      <c r="G51" s="15">
        <f>RelationTable[[#This Row],[No]]</f>
        <v>49</v>
      </c>
      <c r="H51" s="15">
        <f>IF(RelationTable[[#This Row],[No]]="id","resource",VLOOKUP([Resource],CHOOSE({1,2},ResourceTable[Name],ResourceTable[No]),2,0))</f>
        <v>9</v>
      </c>
      <c r="I51" s="17" t="s">
        <v>658</v>
      </c>
      <c r="J51" s="17" t="s">
        <v>654</v>
      </c>
      <c r="K51" s="17" t="s">
        <v>657</v>
      </c>
      <c r="L51" s="17" t="s">
        <v>310</v>
      </c>
      <c r="M51" s="44">
        <f>VLOOKUP([Relate Resource],CHOOSE({1,2},ResourceTable[Name],ResourceTable[No]),2,0)</f>
        <v>15</v>
      </c>
      <c r="N51" s="89">
        <f>[RELID]</f>
        <v>49</v>
      </c>
    </row>
    <row r="52" spans="1:14">
      <c r="A52" s="40" t="str">
        <f>Page&amp;"-"&amp;(COUNTA($E$1:RelationTable[[#This Row],[Resource]])-1)</f>
        <v>Resource Relations-50</v>
      </c>
      <c r="B52" s="3">
        <f>IF(RelationTable[[#This Row],[Resource]]="","id",COUNTA($E$2:RelationTable[[#This Row],[Resource]])+IF(ISNUMBER(VLOOKUP('Table Seed Map'!$A$9,SeedMap[],9,0)),VLOOKUP('Table Seed Map'!$A$9,SeedMap[],9,0),0))</f>
        <v>50</v>
      </c>
      <c r="C52" s="15" t="str">
        <f>RelationTable[[#This Row],[Resource]]&amp;"/"&amp;RelationTable[[#This Row],[Method]]</f>
        <v>ResourceData/Scopes</v>
      </c>
      <c r="D52" s="15">
        <f>RelationTable[[#This Row],[No]]</f>
        <v>50</v>
      </c>
      <c r="E52" s="7" t="s">
        <v>430</v>
      </c>
      <c r="F52" s="8" t="s">
        <v>415</v>
      </c>
      <c r="G52" s="15">
        <f>RelationTable[[#This Row],[No]]</f>
        <v>50</v>
      </c>
      <c r="H52" s="15">
        <f>IF(RelationTable[[#This Row],[No]]="id","resource",VLOOKUP([Resource],CHOOSE({1,2},ResourceTable[Name],ResourceTable[No]),2,0))</f>
        <v>25</v>
      </c>
      <c r="I52" s="32" t="s">
        <v>667</v>
      </c>
      <c r="J52" s="32" t="s">
        <v>668</v>
      </c>
      <c r="K52" s="32" t="s">
        <v>422</v>
      </c>
      <c r="L52" s="32" t="s">
        <v>212</v>
      </c>
      <c r="M52" s="42">
        <f>VLOOKUP([Relate Resource],CHOOSE({1,2},ResourceTable[Name],ResourceTable[No]),2,0)</f>
        <v>7</v>
      </c>
      <c r="N52" s="88">
        <f>[RELID]</f>
        <v>50</v>
      </c>
    </row>
    <row r="53" spans="1:14">
      <c r="A53" s="40" t="str">
        <f>Page&amp;"-"&amp;(COUNTA($E$1:RelationTable[[#This Row],[Resource]])-1)</f>
        <v>Resource Relations-51</v>
      </c>
      <c r="B53" s="3">
        <f>IF(RelationTable[[#This Row],[Resource]]="","id",COUNTA($E$2:RelationTable[[#This Row],[Resource]])+IF(ISNUMBER(VLOOKUP('Table Seed Map'!$A$9,SeedMap[],9,0)),VLOOKUP('Table Seed Map'!$A$9,SeedMap[],9,0),0))</f>
        <v>51</v>
      </c>
      <c r="C53" s="15" t="str">
        <f>RelationTable[[#This Row],[Resource]]&amp;"/"&amp;RelationTable[[#This Row],[Method]]</f>
        <v>ResourceList/Actions</v>
      </c>
      <c r="D53" s="15">
        <f>RelationTable[[#This Row],[No]]</f>
        <v>51</v>
      </c>
      <c r="E53" s="7" t="s">
        <v>407</v>
      </c>
      <c r="F53" s="8" t="s">
        <v>256</v>
      </c>
      <c r="G53" s="15">
        <f>RelationTable[[#This Row],[No]]</f>
        <v>51</v>
      </c>
      <c r="H53" s="15">
        <f>IF(RelationTable[[#This Row],[No]]="id","resource",VLOOKUP([Resource],CHOOSE({1,2},ResourceTable[Name],ResourceTable[No]),2,0))</f>
        <v>20</v>
      </c>
      <c r="I53" s="32" t="s">
        <v>669</v>
      </c>
      <c r="J53" s="32" t="s">
        <v>670</v>
      </c>
      <c r="K53" s="32" t="s">
        <v>253</v>
      </c>
      <c r="L53" s="32" t="s">
        <v>212</v>
      </c>
      <c r="M53" s="42">
        <f>VLOOKUP([Relate Resource],CHOOSE({1,2},ResourceTable[Name],ResourceTable[No]),2,0)</f>
        <v>30</v>
      </c>
      <c r="N53" s="88">
        <f>[RELID]</f>
        <v>51</v>
      </c>
    </row>
    <row r="54" spans="1:14">
      <c r="A54" s="40" t="str">
        <f>Page&amp;"-"&amp;(COUNTA($E$1:RelationTable[[#This Row],[Resource]])-1)</f>
        <v>Resource Relations-52</v>
      </c>
      <c r="B54" s="3">
        <f>IF(RelationTable[[#This Row],[Resource]]="","id",COUNTA($E$2:RelationTable[[#This Row],[Resource]])+IF(ISNUMBER(VLOOKUP('Table Seed Map'!$A$9,SeedMap[],9,0)),VLOOKUP('Table Seed Map'!$A$9,SeedMap[],9,0),0))</f>
        <v>52</v>
      </c>
      <c r="C54" s="15" t="str">
        <f>RelationTable[[#This Row],[Resource]]&amp;"/"&amp;RelationTable[[#This Row],[Method]]</f>
        <v>ResourceData/Actions</v>
      </c>
      <c r="D54" s="15">
        <f>RelationTable[[#This Row],[No]]</f>
        <v>52</v>
      </c>
      <c r="E54" s="8" t="s">
        <v>430</v>
      </c>
      <c r="F54" s="8" t="s">
        <v>256</v>
      </c>
      <c r="G54" s="15">
        <f>RelationTable[[#This Row],[No]]</f>
        <v>52</v>
      </c>
      <c r="H54" s="15">
        <f>IF(RelationTable[[#This Row],[No]]="id","resource",VLOOKUP([Resource],CHOOSE({1,2},ResourceTable[Name],ResourceTable[No]),2,0))</f>
        <v>25</v>
      </c>
      <c r="I54" s="32" t="s">
        <v>671</v>
      </c>
      <c r="J54" s="32" t="s">
        <v>672</v>
      </c>
      <c r="K54" s="32" t="s">
        <v>253</v>
      </c>
      <c r="L54" s="32" t="s">
        <v>212</v>
      </c>
      <c r="M54" s="42">
        <f>VLOOKUP([Relate Resource],CHOOSE({1,2},ResourceTable[Name],ResourceTable[No]),2,0)</f>
        <v>30</v>
      </c>
      <c r="N54" s="88">
        <f>[RELID]</f>
        <v>52</v>
      </c>
    </row>
    <row r="55" spans="1:14">
      <c r="A55" s="40" t="str">
        <f>Page&amp;"-"&amp;(COUNTA($E$1:RelationTable[[#This Row],[Resource]])-1)</f>
        <v>Resource Relations-53</v>
      </c>
      <c r="B55" s="3">
        <f>IF(RelationTable[[#This Row],[Resource]]="","id",COUNTA($E$2:RelationTable[[#This Row],[Resource]])+IF(ISNUMBER(VLOOKUP('Table Seed Map'!$A$9,SeedMap[],9,0)),VLOOKUP('Table Seed Map'!$A$9,SeedMap[],9,0),0))</f>
        <v>53</v>
      </c>
      <c r="C55" s="15" t="str">
        <f>RelationTable[[#This Row],[Resource]]&amp;"/"&amp;RelationTable[[#This Row],[Method]]</f>
        <v>ResourceFormFieldDepend/Field</v>
      </c>
      <c r="D55" s="15">
        <f>RelationTable[[#This Row],[No]]</f>
        <v>53</v>
      </c>
      <c r="E55" s="7" t="s">
        <v>551</v>
      </c>
      <c r="F55" s="7" t="s">
        <v>315</v>
      </c>
      <c r="G55" s="15">
        <f>RelationTable[[#This Row],[No]]</f>
        <v>53</v>
      </c>
      <c r="H55" s="15">
        <f>IF(RelationTable[[#This Row],[No]]="id","resource",VLOOKUP([Resource],CHOOSE({1,2},ResourceTable[Name],ResourceTable[No]),2,0))</f>
        <v>14</v>
      </c>
      <c r="I55" s="17" t="s">
        <v>725</v>
      </c>
      <c r="J55" s="17" t="s">
        <v>724</v>
      </c>
      <c r="K55" s="17" t="s">
        <v>13</v>
      </c>
      <c r="L55" s="17" t="s">
        <v>310</v>
      </c>
      <c r="M55" s="44">
        <f>VLOOKUP([Relate Resource],CHOOSE({1,2},ResourceTable[Name],ResourceTable[No]),2,0)</f>
        <v>9</v>
      </c>
      <c r="N55" s="89">
        <f>[RELID]</f>
        <v>53</v>
      </c>
    </row>
    <row r="56" spans="1:14">
      <c r="A56" s="40" t="str">
        <f>Page&amp;"-"&amp;(COUNTA($E$1:RelationTable[[#This Row],[Resource]])-1)</f>
        <v>Resource Relations-54</v>
      </c>
      <c r="B56" s="3">
        <f>IF(RelationTable[[#This Row],[Resource]]="","id",COUNTA($E$2:RelationTable[[#This Row],[Resource]])+IF(ISNUMBER(VLOOKUP('Table Seed Map'!$A$9,SeedMap[],9,0)),VLOOKUP('Table Seed Map'!$A$9,SeedMap[],9,0),0))</f>
        <v>54</v>
      </c>
      <c r="C56" s="15" t="str">
        <f>RelationTable[[#This Row],[Resource]]&amp;"/"&amp;RelationTable[[#This Row],[Method]]</f>
        <v>Resource/Lists</v>
      </c>
      <c r="D56" s="15">
        <f>RelationTable[[#This Row],[No]]</f>
        <v>54</v>
      </c>
      <c r="E56" s="7" t="s">
        <v>204</v>
      </c>
      <c r="F56" s="7" t="s">
        <v>407</v>
      </c>
      <c r="G56" s="15">
        <f>RelationTable[[#This Row],[No]]</f>
        <v>54</v>
      </c>
      <c r="H56" s="15">
        <f>IF(RelationTable[[#This Row],[No]]="id","resource",VLOOKUP([Resource],CHOOSE({1,2},ResourceTable[Name],ResourceTable[No]),2,0))</f>
        <v>4</v>
      </c>
      <c r="I56" s="17" t="s">
        <v>347</v>
      </c>
      <c r="J56" s="17" t="s">
        <v>765</v>
      </c>
      <c r="K56" s="17" t="s">
        <v>300</v>
      </c>
      <c r="L56" s="17" t="s">
        <v>250</v>
      </c>
      <c r="M56" s="44">
        <f>VLOOKUP([Relate Resource],CHOOSE({1,2},ResourceTable[Name],ResourceTable[No]),2,0)</f>
        <v>20</v>
      </c>
      <c r="N56" s="89">
        <f>[RELID]</f>
        <v>54</v>
      </c>
    </row>
    <row r="57" spans="1:14">
      <c r="A57" s="40" t="str">
        <f>Page&amp;"-"&amp;(COUNTA($E$1:RelationTable[[#This Row],[Resource]])-1)</f>
        <v>Resource Relations-55</v>
      </c>
      <c r="B57" s="3">
        <f>IF(RelationTable[[#This Row],[Resource]]="","id",COUNTA($E$2:RelationTable[[#This Row],[Resource]])+IF(ISNUMBER(VLOOKUP('Table Seed Map'!$A$9,SeedMap[],9,0)),VLOOKUP('Table Seed Map'!$A$9,SeedMap[],9,0),0))</f>
        <v>55</v>
      </c>
      <c r="C57" s="15" t="str">
        <f>RelationTable[[#This Row],[Resource]]&amp;"/"&amp;RelationTable[[#This Row],[Method]]</f>
        <v>Resource/Data</v>
      </c>
      <c r="D57" s="15">
        <f>RelationTable[[#This Row],[No]]</f>
        <v>55</v>
      </c>
      <c r="E57" s="7" t="s">
        <v>204</v>
      </c>
      <c r="F57" s="7" t="s">
        <v>430</v>
      </c>
      <c r="G57" s="15">
        <f>RelationTable[[#This Row],[No]]</f>
        <v>55</v>
      </c>
      <c r="H57" s="15">
        <f>IF(RelationTable[[#This Row],[No]]="id","resource",VLOOKUP([Resource],CHOOSE({1,2},ResourceTable[Name],ResourceTable[No]),2,0))</f>
        <v>4</v>
      </c>
      <c r="I57" s="17" t="s">
        <v>439</v>
      </c>
      <c r="J57" s="17" t="s">
        <v>766</v>
      </c>
      <c r="K57" s="17" t="s">
        <v>302</v>
      </c>
      <c r="L57" s="17" t="s">
        <v>250</v>
      </c>
      <c r="M57" s="44">
        <f>VLOOKUP([Relate Resource],CHOOSE({1,2},ResourceTable[Name],ResourceTable[No]),2,0)</f>
        <v>25</v>
      </c>
      <c r="N57" s="89">
        <f>[RELID]</f>
        <v>55</v>
      </c>
    </row>
    <row r="58" spans="1:14">
      <c r="A58" s="40" t="str">
        <f>Page&amp;"-"&amp;(COUNTA($E$1:RelationTable[[#This Row],[Resource]])-1)</f>
        <v>Resource Relations-56</v>
      </c>
      <c r="B58" s="3">
        <f>IF(RelationTable[[#This Row],[Resource]]="","id",COUNTA($E$2:RelationTable[[#This Row],[Resource]])+IF(ISNUMBER(VLOOKUP('Table Seed Map'!$A$9,SeedMap[],9,0)),VLOOKUP('Table Seed Map'!$A$9,SeedMap[],9,0),0))</f>
        <v>56</v>
      </c>
      <c r="C58" s="15" t="str">
        <f>RelationTable[[#This Row],[Resource]]&amp;"/"&amp;RelationTable[[#This Row],[Method]]</f>
        <v>ResourceForm/Layout</v>
      </c>
      <c r="D58" s="15">
        <f>RelationTable[[#This Row],[No]]</f>
        <v>56</v>
      </c>
      <c r="E58" s="7" t="s">
        <v>311</v>
      </c>
      <c r="F58" s="7" t="s">
        <v>474</v>
      </c>
      <c r="G58" s="15">
        <f>RelationTable[[#This Row],[No]]</f>
        <v>56</v>
      </c>
      <c r="H58" s="15">
        <f>IF(RelationTable[[#This Row],[No]]="id","resource",VLOOKUP([Resource],CHOOSE({1,2},ResourceTable[Name],ResourceTable[No]),2,0))</f>
        <v>8</v>
      </c>
      <c r="I58" s="17" t="s">
        <v>476</v>
      </c>
      <c r="J58" s="17" t="s">
        <v>767</v>
      </c>
      <c r="K58" s="17" t="s">
        <v>447</v>
      </c>
      <c r="L58" s="17" t="s">
        <v>250</v>
      </c>
      <c r="M58" s="44">
        <f>VLOOKUP([Relate Resource],CHOOSE({1,2},ResourceTable[Name],ResourceTable[No]),2,0)</f>
        <v>16</v>
      </c>
      <c r="N58" s="89">
        <f>[RELID]</f>
        <v>56</v>
      </c>
    </row>
    <row r="59" spans="1:14">
      <c r="A59" s="40" t="str">
        <f>Page&amp;"-"&amp;(COUNTA($E$1:RelationTable[[#This Row],[Resource]])-1)</f>
        <v>Resource Relations-57</v>
      </c>
      <c r="B59" s="3">
        <f>IF(RelationTable[[#This Row],[Resource]]="","id",COUNTA($E$2:RelationTable[[#This Row],[Resource]])+IF(ISNUMBER(VLOOKUP('Table Seed Map'!$A$9,SeedMap[],9,0)),VLOOKUP('Table Seed Map'!$A$9,SeedMap[],9,0),0))</f>
        <v>57</v>
      </c>
      <c r="C59" s="15" t="str">
        <f>RelationTable[[#This Row],[Resource]]&amp;"/"&amp;RelationTable[[#This Row],[Method]]</f>
        <v>ResourceDataViewSection/Items</v>
      </c>
      <c r="D59" s="15">
        <f>RelationTable[[#This Row],[No]]</f>
        <v>57</v>
      </c>
      <c r="E59" s="7" t="s">
        <v>485</v>
      </c>
      <c r="F59" s="7" t="s">
        <v>492</v>
      </c>
      <c r="G59" s="15">
        <f>RelationTable[[#This Row],[No]]</f>
        <v>57</v>
      </c>
      <c r="H59" s="15">
        <f>IF(RelationTable[[#This Row],[No]]="id","resource",VLOOKUP([Resource],CHOOSE({1,2},ResourceTable[Name],ResourceTable[No]),2,0))</f>
        <v>28</v>
      </c>
      <c r="I59" s="17" t="s">
        <v>768</v>
      </c>
      <c r="J59" s="17" t="s">
        <v>769</v>
      </c>
      <c r="K59" s="17" t="s">
        <v>496</v>
      </c>
      <c r="L59" s="17" t="s">
        <v>250</v>
      </c>
      <c r="M59" s="44">
        <f>VLOOKUP([Relate Resource],CHOOSE({1,2},ResourceTable[Name],ResourceTable[No]),2,0)</f>
        <v>29</v>
      </c>
      <c r="N59" s="89">
        <f>[RELID]</f>
        <v>57</v>
      </c>
    </row>
    <row r="60" spans="1:14">
      <c r="A60" s="112" t="str">
        <f>Page&amp;"-"&amp;(COUNTA($E$1:RelationTable[[#This Row],[Resource]])-1)</f>
        <v>Resource Relations-58</v>
      </c>
      <c r="B60" s="108">
        <f>IF(RelationTable[[#This Row],[Resource]]="","id",COUNTA($E$2:RelationTable[[#This Row],[Resource]])+IF(ISNUMBER(VLOOKUP('Table Seed Map'!$A$9,SeedMap[],9,0)),VLOOKUP('Table Seed Map'!$A$9,SeedMap[],9,0),0))</f>
        <v>58</v>
      </c>
      <c r="C60" s="17" t="str">
        <f>RelationTable[[#This Row],[Resource]]&amp;"/"&amp;RelationTable[[#This Row],[Method]]</f>
        <v>ResourceFormLayout/Form</v>
      </c>
      <c r="D60" s="17">
        <f>RelationTable[[#This Row],[No]]</f>
        <v>58</v>
      </c>
      <c r="E60" s="7" t="s">
        <v>474</v>
      </c>
      <c r="F60" s="7" t="s">
        <v>311</v>
      </c>
      <c r="G60" s="17">
        <f>RelationTable[[#This Row],[No]]</f>
        <v>58</v>
      </c>
      <c r="H60" s="17">
        <f>IF(RelationTable[[#This Row],[No]]="id","resource",VLOOKUP([Resource],CHOOSE({1,2},ResourceTable[Name],ResourceTable[No]),2,0))</f>
        <v>16</v>
      </c>
      <c r="I60" s="17" t="s">
        <v>1180</v>
      </c>
      <c r="J60" s="17" t="s">
        <v>1181</v>
      </c>
      <c r="K60" s="17" t="s">
        <v>276</v>
      </c>
      <c r="L60" s="17" t="s">
        <v>310</v>
      </c>
      <c r="M60" s="44">
        <f>VLOOKUP([Relate Resource],CHOOSE({1,2},ResourceTable[Name],ResourceTable[No]),2,0)</f>
        <v>8</v>
      </c>
      <c r="N60" s="113">
        <f>[RELID]</f>
        <v>58</v>
      </c>
    </row>
    <row r="61" spans="1:14">
      <c r="A61" s="112" t="str">
        <f>Page&amp;"-"&amp;(COUNTA($E$1:RelationTable[[#This Row],[Resource]])-1)</f>
        <v>Resource Relations-59</v>
      </c>
      <c r="B61" s="108">
        <f>IF(RelationTable[[#This Row],[Resource]]="","id",COUNTA($E$2:RelationTable[[#This Row],[Resource]])+IF(ISNUMBER(VLOOKUP('Table Seed Map'!$A$9,SeedMap[],9,0)),VLOOKUP('Table Seed Map'!$A$9,SeedMap[],9,0),0))</f>
        <v>59</v>
      </c>
      <c r="C61" s="17" t="str">
        <f>RelationTable[[#This Row],[Resource]]&amp;"/"&amp;RelationTable[[#This Row],[Method]]</f>
        <v>ResourceFormLayout/Field</v>
      </c>
      <c r="D61" s="17">
        <f>RelationTable[[#This Row],[No]]</f>
        <v>59</v>
      </c>
      <c r="E61" s="7" t="s">
        <v>474</v>
      </c>
      <c r="F61" s="7" t="s">
        <v>315</v>
      </c>
      <c r="G61" s="17">
        <f>RelationTable[[#This Row],[No]]</f>
        <v>59</v>
      </c>
      <c r="H61" s="17">
        <f>IF(RelationTable[[#This Row],[No]]="id","resource",VLOOKUP([Resource],CHOOSE({1,2},ResourceTable[Name],ResourceTable[No]),2,0))</f>
        <v>16</v>
      </c>
      <c r="I61" s="17" t="s">
        <v>1182</v>
      </c>
      <c r="J61" s="17" t="s">
        <v>1183</v>
      </c>
      <c r="K61" s="17" t="s">
        <v>13</v>
      </c>
      <c r="L61" s="17" t="s">
        <v>310</v>
      </c>
      <c r="M61" s="44">
        <f>VLOOKUP([Relate Resource],CHOOSE({1,2},ResourceTable[Name],ResourceTable[No]),2,0)</f>
        <v>9</v>
      </c>
      <c r="N61" s="113">
        <f>[RELID]</f>
        <v>59</v>
      </c>
    </row>
    <row r="62" spans="1:14">
      <c r="A62" s="112" t="str">
        <f>Page&amp;"-"&amp;(COUNTA($E$1:RelationTable[[#This Row],[Resource]])-1)</f>
        <v>Resource Relations-60</v>
      </c>
      <c r="B62" s="108">
        <f>IF(RelationTable[[#This Row],[Resource]]="","id",COUNTA($E$2:RelationTable[[#This Row],[Resource]])+IF(ISNUMBER(VLOOKUP('Table Seed Map'!$A$9,SeedMap[],9,0)),VLOOKUP('Table Seed Map'!$A$9,SeedMap[],9,0),0))</f>
        <v>60</v>
      </c>
      <c r="C62" s="17" t="str">
        <f>RelationTable[[#This Row],[Resource]]&amp;"/"&amp;RelationTable[[#This Row],[Method]]</f>
        <v>ResourceFormCollection/Field</v>
      </c>
      <c r="D62" s="17">
        <f>RelationTable[[#This Row],[No]]</f>
        <v>60</v>
      </c>
      <c r="E62" s="7" t="s">
        <v>511</v>
      </c>
      <c r="F62" s="7" t="s">
        <v>315</v>
      </c>
      <c r="G62" s="17">
        <f>RelationTable[[#This Row],[No]]</f>
        <v>60</v>
      </c>
      <c r="H62" s="17">
        <f>IF(RelationTable[[#This Row],[No]]="id","resource",VLOOKUP([Resource],CHOOSE({1,2},ResourceTable[Name],ResourceTable[No]),2,0))</f>
        <v>17</v>
      </c>
      <c r="I62" s="17" t="s">
        <v>1191</v>
      </c>
      <c r="J62" s="17" t="s">
        <v>1192</v>
      </c>
      <c r="K62" s="17" t="s">
        <v>13</v>
      </c>
      <c r="L62" s="17" t="s">
        <v>310</v>
      </c>
      <c r="M62" s="44">
        <f>VLOOKUP([Relate Resource],CHOOSE({1,2},ResourceTable[Name],ResourceTable[No]),2,0)</f>
        <v>9</v>
      </c>
      <c r="N62" s="113">
        <f>[RELID]</f>
        <v>60</v>
      </c>
    </row>
    <row r="63" spans="1:14">
      <c r="A63" s="112" t="str">
        <f>Page&amp;"-"&amp;(COUNTA($E$1:RelationTable[[#This Row],[Resource]])-1)</f>
        <v>Resource Relations-61</v>
      </c>
      <c r="B63" s="108">
        <f>IF(RelationTable[[#This Row],[Resource]]="","id",COUNTA($E$2:RelationTable[[#This Row],[Resource]])+IF(ISNUMBER(VLOOKUP('Table Seed Map'!$A$9,SeedMap[],9,0)),VLOOKUP('Table Seed Map'!$A$9,SeedMap[],9,0),0))</f>
        <v>61</v>
      </c>
      <c r="C63" s="17" t="str">
        <f>RelationTable[[#This Row],[Resource]]&amp;"/"&amp;RelationTable[[#This Row],[Method]]</f>
        <v>ResourceListRelation/List</v>
      </c>
      <c r="D63" s="17">
        <f>RelationTable[[#This Row],[No]]</f>
        <v>61</v>
      </c>
      <c r="E63" s="7" t="s">
        <v>411</v>
      </c>
      <c r="F63" s="7" t="s">
        <v>407</v>
      </c>
      <c r="G63" s="17">
        <f>RelationTable[[#This Row],[No]]</f>
        <v>61</v>
      </c>
      <c r="H63" s="17">
        <f>IF(RelationTable[[#This Row],[No]]="id","resource",VLOOKUP([Resource],CHOOSE({1,2},ResourceTable[Name],ResourceTable[No]),2,0))</f>
        <v>21</v>
      </c>
      <c r="I63" s="17" t="s">
        <v>1217</v>
      </c>
      <c r="J63" s="17" t="s">
        <v>1216</v>
      </c>
      <c r="K63" s="17" t="s">
        <v>278</v>
      </c>
      <c r="L63" s="17" t="s">
        <v>310</v>
      </c>
      <c r="M63" s="44">
        <f>VLOOKUP([Relate Resource],CHOOSE({1,2},ResourceTable[Name],ResourceTable[No]),2,0)</f>
        <v>20</v>
      </c>
      <c r="N63" s="113">
        <f>[RELID]</f>
        <v>61</v>
      </c>
    </row>
    <row r="64" spans="1:14">
      <c r="A64" s="112" t="str">
        <f>Page&amp;"-"&amp;(COUNTA($E$1:RelationTable[[#This Row],[Resource]])-1)</f>
        <v>Resource Relations-62</v>
      </c>
      <c r="B64" s="108">
        <f>IF(RelationTable[[#This Row],[Resource]]="","id",COUNTA($E$2:RelationTable[[#This Row],[Resource]])+IF(ISNUMBER(VLOOKUP('Table Seed Map'!$A$9,SeedMap[],9,0)),VLOOKUP('Table Seed Map'!$A$9,SeedMap[],9,0),0))</f>
        <v>62</v>
      </c>
      <c r="C64" s="17" t="str">
        <f>RelationTable[[#This Row],[Resource]]&amp;"/"&amp;RelationTable[[#This Row],[Method]]</f>
        <v>ResourceListRelation/Relation</v>
      </c>
      <c r="D64" s="17">
        <f>RelationTable[[#This Row],[No]]</f>
        <v>62</v>
      </c>
      <c r="E64" s="7" t="s">
        <v>411</v>
      </c>
      <c r="F64" s="7" t="s">
        <v>449</v>
      </c>
      <c r="G64" s="17">
        <f>RelationTable[[#This Row],[No]]</f>
        <v>62</v>
      </c>
      <c r="H64" s="17">
        <f>IF(RelationTable[[#This Row],[No]]="id","resource",VLOOKUP([Resource],CHOOSE({1,2},ResourceTable[Name],ResourceTable[No]),2,0))</f>
        <v>21</v>
      </c>
      <c r="I64" s="17" t="s">
        <v>1218</v>
      </c>
      <c r="J64" s="17" t="s">
        <v>1219</v>
      </c>
      <c r="K64" s="17" t="s">
        <v>246</v>
      </c>
      <c r="L64" s="17" t="s">
        <v>310</v>
      </c>
      <c r="M64" s="44">
        <f>VLOOKUP([Relate Resource],CHOOSE({1,2},ResourceTable[Name],ResourceTable[No]),2,0)</f>
        <v>6</v>
      </c>
      <c r="N64" s="113">
        <f>[RELID]</f>
        <v>62</v>
      </c>
    </row>
    <row r="65" spans="1:14">
      <c r="A65" s="112" t="str">
        <f>Page&amp;"-"&amp;(COUNTA($E$1:RelationTable[[#This Row],[Resource]])-1)</f>
        <v>Resource Relations-63</v>
      </c>
      <c r="B65" s="108">
        <f>IF(RelationTable[[#This Row],[Resource]]="","id",COUNTA($E$2:RelationTable[[#This Row],[Resource]])+IF(ISNUMBER(VLOOKUP('Table Seed Map'!$A$9,SeedMap[],9,0)),VLOOKUP('Table Seed Map'!$A$9,SeedMap[],9,0),0))</f>
        <v>63</v>
      </c>
      <c r="C65" s="17" t="str">
        <f>RelationTable[[#This Row],[Resource]]&amp;"/"&amp;RelationTable[[#This Row],[Method]]</f>
        <v>ResourceListRelation/NRelation</v>
      </c>
      <c r="D65" s="17">
        <f>RelationTable[[#This Row],[No]]</f>
        <v>63</v>
      </c>
      <c r="E65" s="7" t="s">
        <v>411</v>
      </c>
      <c r="F65" s="7" t="s">
        <v>449</v>
      </c>
      <c r="G65" s="17">
        <f>RelationTable[[#This Row],[No]]</f>
        <v>63</v>
      </c>
      <c r="H65" s="17">
        <f>IF(RelationTable[[#This Row],[No]]="id","resource",VLOOKUP([Resource],CHOOSE({1,2},ResourceTable[Name],ResourceTable[No]),2,0))</f>
        <v>21</v>
      </c>
      <c r="I65" s="17" t="s">
        <v>1220</v>
      </c>
      <c r="J65" s="17" t="s">
        <v>1221</v>
      </c>
      <c r="K65" s="17" t="s">
        <v>1222</v>
      </c>
      <c r="L65" s="17" t="s">
        <v>310</v>
      </c>
      <c r="M65" s="44">
        <f>VLOOKUP([Relate Resource],CHOOSE({1,2},ResourceTable[Name],ResourceTable[No]),2,0)</f>
        <v>6</v>
      </c>
      <c r="N65" s="113">
        <f>[RELID]</f>
        <v>63</v>
      </c>
    </row>
    <row r="66" spans="1:14">
      <c r="A66" s="112" t="str">
        <f>Page&amp;"-"&amp;(COUNTA($E$1:RelationTable[[#This Row],[Resource]])-1)</f>
        <v>Resource Relations-64</v>
      </c>
      <c r="B66" s="108">
        <f>IF(RelationTable[[#This Row],[Resource]]="","id",COUNTA($E$2:RelationTable[[#This Row],[Resource]])+IF(ISNUMBER(VLOOKUP('Table Seed Map'!$A$9,SeedMap[],9,0)),VLOOKUP('Table Seed Map'!$A$9,SeedMap[],9,0),0))</f>
        <v>64</v>
      </c>
      <c r="C66" s="17" t="str">
        <f>RelationTable[[#This Row],[Resource]]&amp;"/"&amp;RelationTable[[#This Row],[Method]]</f>
        <v>ResourceListScope/List</v>
      </c>
      <c r="D66" s="17">
        <f>RelationTable[[#This Row],[No]]</f>
        <v>64</v>
      </c>
      <c r="E66" s="7" t="s">
        <v>417</v>
      </c>
      <c r="F66" s="7" t="s">
        <v>407</v>
      </c>
      <c r="G66" s="17">
        <f>RelationTable[[#This Row],[No]]</f>
        <v>64</v>
      </c>
      <c r="H66" s="17">
        <f>IF(RelationTable[[#This Row],[No]]="id","resource",VLOOKUP([Resource],CHOOSE({1,2},ResourceTable[Name],ResourceTable[No]),2,0))</f>
        <v>22</v>
      </c>
      <c r="I66" s="17" t="s">
        <v>1228</v>
      </c>
      <c r="J66" s="17" t="s">
        <v>1229</v>
      </c>
      <c r="K66" s="17" t="s">
        <v>278</v>
      </c>
      <c r="L66" s="17" t="s">
        <v>310</v>
      </c>
      <c r="M66" s="44">
        <f>VLOOKUP([Relate Resource],CHOOSE({1,2},ResourceTable[Name],ResourceTable[No]),2,0)</f>
        <v>20</v>
      </c>
      <c r="N66" s="113">
        <f>[RELID]</f>
        <v>64</v>
      </c>
    </row>
    <row r="67" spans="1:14">
      <c r="A67" s="112" t="str">
        <f>Page&amp;"-"&amp;(COUNTA($E$1:RelationTable[[#This Row],[Resource]])-1)</f>
        <v>Resource Relations-65</v>
      </c>
      <c r="B67" s="108">
        <f>IF(RelationTable[[#This Row],[Resource]]="","id",COUNTA($E$2:RelationTable[[#This Row],[Resource]])+IF(ISNUMBER(VLOOKUP('Table Seed Map'!$A$9,SeedMap[],9,0)),VLOOKUP('Table Seed Map'!$A$9,SeedMap[],9,0),0))</f>
        <v>65</v>
      </c>
      <c r="C67" s="17" t="str">
        <f>RelationTable[[#This Row],[Resource]]&amp;"/"&amp;RelationTable[[#This Row],[Method]]</f>
        <v>ResourceListScope/Scope</v>
      </c>
      <c r="D67" s="17">
        <f>RelationTable[[#This Row],[No]]</f>
        <v>65</v>
      </c>
      <c r="E67" s="7" t="s">
        <v>417</v>
      </c>
      <c r="F67" s="7" t="s">
        <v>415</v>
      </c>
      <c r="G67" s="17">
        <f>RelationTable[[#This Row],[No]]</f>
        <v>65</v>
      </c>
      <c r="H67" s="17">
        <f>IF(RelationTable[[#This Row],[No]]="id","resource",VLOOKUP([Resource],CHOOSE({1,2},ResourceTable[Name],ResourceTable[No]),2,0))</f>
        <v>22</v>
      </c>
      <c r="I67" s="17" t="s">
        <v>1230</v>
      </c>
      <c r="J67" s="17" t="s">
        <v>1231</v>
      </c>
      <c r="K67" s="17" t="s">
        <v>1232</v>
      </c>
      <c r="L67" s="17" t="s">
        <v>310</v>
      </c>
      <c r="M67" s="44">
        <f>VLOOKUP([Relate Resource],CHOOSE({1,2},ResourceTable[Name],ResourceTable[No]),2,0)</f>
        <v>7</v>
      </c>
      <c r="N67" s="113">
        <f>[RELID]</f>
        <v>65</v>
      </c>
    </row>
    <row r="68" spans="1:14">
      <c r="A68" s="112" t="str">
        <f>Page&amp;"-"&amp;(COUNTA($E$1:RelationTable[[#This Row],[Resource]])-1)</f>
        <v>Resource Relations-66</v>
      </c>
      <c r="B68" s="108">
        <f>IF(RelationTable[[#This Row],[Resource]]="","id",COUNTA($E$2:RelationTable[[#This Row],[Resource]])+IF(ISNUMBER(VLOOKUP('Table Seed Map'!$A$9,SeedMap[],9,0)),VLOOKUP('Table Seed Map'!$A$9,SeedMap[],9,0),0))</f>
        <v>66</v>
      </c>
      <c r="C68" s="17" t="str">
        <f>RelationTable[[#This Row],[Resource]]&amp;"/"&amp;RelationTable[[#This Row],[Method]]</f>
        <v>ResourceListLayout/List</v>
      </c>
      <c r="D68" s="17">
        <f>RelationTable[[#This Row],[No]]</f>
        <v>66</v>
      </c>
      <c r="E68" s="7" t="s">
        <v>443</v>
      </c>
      <c r="F68" s="7" t="s">
        <v>407</v>
      </c>
      <c r="G68" s="17">
        <f>RelationTable[[#This Row],[No]]</f>
        <v>66</v>
      </c>
      <c r="H68" s="17">
        <f>IF(RelationTable[[#This Row],[No]]="id","resource",VLOOKUP([Resource],CHOOSE({1,2},ResourceTable[Name],ResourceTable[No]),2,0))</f>
        <v>23</v>
      </c>
      <c r="I68" s="17" t="s">
        <v>1236</v>
      </c>
      <c r="J68" s="17" t="s">
        <v>1237</v>
      </c>
      <c r="K68" s="17" t="s">
        <v>278</v>
      </c>
      <c r="L68" s="17" t="s">
        <v>310</v>
      </c>
      <c r="M68" s="44">
        <f>VLOOKUP([Relate Resource],CHOOSE({1,2},ResourceTable[Name],ResourceTable[No]),2,0)</f>
        <v>20</v>
      </c>
      <c r="N68" s="113">
        <f>[RELID]</f>
        <v>66</v>
      </c>
    </row>
    <row r="69" spans="1:14">
      <c r="A69" s="112" t="str">
        <f>Page&amp;"-"&amp;(COUNTA($E$1:RelationTable[[#This Row],[Resource]])-1)</f>
        <v>Resource Relations-67</v>
      </c>
      <c r="B69" s="108">
        <f>IF(RelationTable[[#This Row],[Resource]]="","id",COUNTA($E$2:RelationTable[[#This Row],[Resource]])+IF(ISNUMBER(VLOOKUP('Table Seed Map'!$A$9,SeedMap[],9,0)),VLOOKUP('Table Seed Map'!$A$9,SeedMap[],9,0),0))</f>
        <v>67</v>
      </c>
      <c r="C69" s="17" t="str">
        <f>RelationTable[[#This Row],[Resource]]&amp;"/"&amp;RelationTable[[#This Row],[Method]]</f>
        <v>ResourceListLayout/Relation</v>
      </c>
      <c r="D69" s="17">
        <f>RelationTable[[#This Row],[No]]</f>
        <v>67</v>
      </c>
      <c r="E69" s="7" t="s">
        <v>443</v>
      </c>
      <c r="F69" s="7" t="s">
        <v>449</v>
      </c>
      <c r="G69" s="17">
        <f>RelationTable[[#This Row],[No]]</f>
        <v>67</v>
      </c>
      <c r="H69" s="17">
        <f>IF(RelationTable[[#This Row],[No]]="id","resource",VLOOKUP([Resource],CHOOSE({1,2},ResourceTable[Name],ResourceTable[No]),2,0))</f>
        <v>23</v>
      </c>
      <c r="I69" s="17" t="s">
        <v>1244</v>
      </c>
      <c r="J69" s="17" t="s">
        <v>1245</v>
      </c>
      <c r="K69" s="17" t="s">
        <v>246</v>
      </c>
      <c r="L69" s="17" t="s">
        <v>310</v>
      </c>
      <c r="M69" s="44">
        <f>VLOOKUP([Relate Resource],CHOOSE({1,2},ResourceTable[Name],ResourceTable[No]),2,0)</f>
        <v>6</v>
      </c>
      <c r="N69" s="113">
        <f>[RELID]</f>
        <v>67</v>
      </c>
    </row>
    <row r="70" spans="1:14">
      <c r="A70" s="112" t="str">
        <f>Page&amp;"-"&amp;(COUNTA($E$1:RelationTable[[#This Row],[Resource]])-1)</f>
        <v>Resource Relations-68</v>
      </c>
      <c r="B70" s="108">
        <f>IF(RelationTable[[#This Row],[Resource]]="","id",COUNTA($E$2:RelationTable[[#This Row],[Resource]])+IF(ISNUMBER(VLOOKUP('Table Seed Map'!$A$9,SeedMap[],9,0)),VLOOKUP('Table Seed Map'!$A$9,SeedMap[],9,0),0))</f>
        <v>68</v>
      </c>
      <c r="C70" s="17" t="str">
        <f>RelationTable[[#This Row],[Resource]]&amp;"/"&amp;RelationTable[[#This Row],[Method]]</f>
        <v>ResourceListSearch/List</v>
      </c>
      <c r="D70" s="17">
        <f>RelationTable[[#This Row],[No]]</f>
        <v>68</v>
      </c>
      <c r="E70" s="7" t="s">
        <v>533</v>
      </c>
      <c r="F70" s="7" t="s">
        <v>407</v>
      </c>
      <c r="G70" s="17">
        <f>RelationTable[[#This Row],[No]]</f>
        <v>68</v>
      </c>
      <c r="H70" s="17">
        <f>IF(RelationTable[[#This Row],[No]]="id","resource",VLOOKUP([Resource],CHOOSE({1,2},ResourceTable[Name],ResourceTable[No]),2,0))</f>
        <v>24</v>
      </c>
      <c r="I70" s="17" t="s">
        <v>1240</v>
      </c>
      <c r="J70" s="17" t="s">
        <v>1241</v>
      </c>
      <c r="K70" s="17" t="s">
        <v>278</v>
      </c>
      <c r="L70" s="17" t="s">
        <v>310</v>
      </c>
      <c r="M70" s="44">
        <f>VLOOKUP([Relate Resource],CHOOSE({1,2},ResourceTable[Name],ResourceTable[No]),2,0)</f>
        <v>20</v>
      </c>
      <c r="N70" s="113">
        <f>[RELID]</f>
        <v>68</v>
      </c>
    </row>
    <row r="71" spans="1:14">
      <c r="A71" s="112" t="str">
        <f>Page&amp;"-"&amp;(COUNTA($E$1:RelationTable[[#This Row],[Resource]])-1)</f>
        <v>Resource Relations-69</v>
      </c>
      <c r="B71" s="108">
        <f>IF(RelationTable[[#This Row],[Resource]]="","id",COUNTA($E$2:RelationTable[[#This Row],[Resource]])+IF(ISNUMBER(VLOOKUP('Table Seed Map'!$A$9,SeedMap[],9,0)),VLOOKUP('Table Seed Map'!$A$9,SeedMap[],9,0),0))</f>
        <v>69</v>
      </c>
      <c r="C71" s="17" t="str">
        <f>RelationTable[[#This Row],[Resource]]&amp;"/"&amp;RelationTable[[#This Row],[Method]]</f>
        <v>ResourceListSearch/Relation</v>
      </c>
      <c r="D71" s="17">
        <f>RelationTable[[#This Row],[No]]</f>
        <v>69</v>
      </c>
      <c r="E71" s="7" t="s">
        <v>533</v>
      </c>
      <c r="F71" s="7" t="s">
        <v>449</v>
      </c>
      <c r="G71" s="17">
        <f>RelationTable[[#This Row],[No]]</f>
        <v>69</v>
      </c>
      <c r="H71" s="17">
        <f>IF(RelationTable[[#This Row],[No]]="id","resource",VLOOKUP([Resource],CHOOSE({1,2},ResourceTable[Name],ResourceTable[No]),2,0))</f>
        <v>24</v>
      </c>
      <c r="I71" s="17" t="s">
        <v>1247</v>
      </c>
      <c r="J71" s="17" t="s">
        <v>1248</v>
      </c>
      <c r="K71" s="17" t="s">
        <v>246</v>
      </c>
      <c r="L71" s="17" t="s">
        <v>310</v>
      </c>
      <c r="M71" s="44">
        <f>VLOOKUP([Relate Resource],CHOOSE({1,2},ResourceTable[Name],ResourceTable[No]),2,0)</f>
        <v>6</v>
      </c>
      <c r="N71" s="113">
        <f>[RELID]</f>
        <v>69</v>
      </c>
    </row>
    <row r="72" spans="1:14">
      <c r="A72" s="112" t="str">
        <f>Page&amp;"-"&amp;(COUNTA($E$1:RelationTable[[#This Row],[Resource]])-1)</f>
        <v>Resource Relations-70</v>
      </c>
      <c r="B72" s="108">
        <f>IF(RelationTable[[#This Row],[Resource]]="","id",COUNTA($E$2:RelationTable[[#This Row],[Resource]])+IF(ISNUMBER(VLOOKUP('Table Seed Map'!$A$9,SeedMap[],9,0)),VLOOKUP('Table Seed Map'!$A$9,SeedMap[],9,0),0))</f>
        <v>70</v>
      </c>
      <c r="C72" s="17" t="str">
        <f>RelationTable[[#This Row],[Resource]]&amp;"/"&amp;RelationTable[[#This Row],[Method]]</f>
        <v>ResourceDataRelation/Data</v>
      </c>
      <c r="D72" s="17">
        <f>RelationTable[[#This Row],[No]]</f>
        <v>70</v>
      </c>
      <c r="E72" s="7" t="s">
        <v>432</v>
      </c>
      <c r="F72" s="7" t="s">
        <v>430</v>
      </c>
      <c r="G72" s="17">
        <f>RelationTable[[#This Row],[No]]</f>
        <v>70</v>
      </c>
      <c r="H72" s="17">
        <f>IF(RelationTable[[#This Row],[No]]="id","resource",VLOOKUP([Resource],CHOOSE({1,2},ResourceTable[Name],ResourceTable[No]),2,0))</f>
        <v>26</v>
      </c>
      <c r="I72" s="17" t="s">
        <v>1266</v>
      </c>
      <c r="J72" s="17" t="s">
        <v>1269</v>
      </c>
      <c r="K72" s="17" t="s">
        <v>302</v>
      </c>
      <c r="L72" s="17" t="s">
        <v>310</v>
      </c>
      <c r="M72" s="44">
        <f>VLOOKUP([Relate Resource],CHOOSE({1,2},ResourceTable[Name],ResourceTable[No]),2,0)</f>
        <v>25</v>
      </c>
      <c r="N72" s="113">
        <f>[RELID]</f>
        <v>70</v>
      </c>
    </row>
    <row r="73" spans="1:14">
      <c r="A73" s="112" t="str">
        <f>Page&amp;"-"&amp;(COUNTA($E$1:RelationTable[[#This Row],[Resource]])-1)</f>
        <v>Resource Relations-71</v>
      </c>
      <c r="B73" s="108">
        <f>IF(RelationTable[[#This Row],[Resource]]="","id",COUNTA($E$2:RelationTable[[#This Row],[Resource]])+IF(ISNUMBER(VLOOKUP('Table Seed Map'!$A$9,SeedMap[],9,0)),VLOOKUP('Table Seed Map'!$A$9,SeedMap[],9,0),0))</f>
        <v>71</v>
      </c>
      <c r="C73" s="17" t="str">
        <f>RelationTable[[#This Row],[Resource]]&amp;"/"&amp;RelationTable[[#This Row],[Method]]</f>
        <v>ResourceDataRelation/Relation</v>
      </c>
      <c r="D73" s="17">
        <f>RelationTable[[#This Row],[No]]</f>
        <v>71</v>
      </c>
      <c r="E73" s="7" t="s">
        <v>432</v>
      </c>
      <c r="F73" s="7" t="s">
        <v>449</v>
      </c>
      <c r="G73" s="17">
        <f>RelationTable[[#This Row],[No]]</f>
        <v>71</v>
      </c>
      <c r="H73" s="17">
        <f>IF(RelationTable[[#This Row],[No]]="id","resource",VLOOKUP([Resource],CHOOSE({1,2},ResourceTable[Name],ResourceTable[No]),2,0))</f>
        <v>26</v>
      </c>
      <c r="I73" s="17" t="s">
        <v>1267</v>
      </c>
      <c r="J73" s="17" t="s">
        <v>1270</v>
      </c>
      <c r="K73" s="17" t="s">
        <v>246</v>
      </c>
      <c r="L73" s="17" t="s">
        <v>310</v>
      </c>
      <c r="M73" s="44">
        <f>VLOOKUP([Relate Resource],CHOOSE({1,2},ResourceTable[Name],ResourceTable[No]),2,0)</f>
        <v>6</v>
      </c>
      <c r="N73" s="113">
        <f>[RELID]</f>
        <v>71</v>
      </c>
    </row>
    <row r="74" spans="1:14">
      <c r="A74" s="112" t="str">
        <f>Page&amp;"-"&amp;(COUNTA($E$1:RelationTable[[#This Row],[Resource]])-1)</f>
        <v>Resource Relations-72</v>
      </c>
      <c r="B74" s="108">
        <f>IF(RelationTable[[#This Row],[Resource]]="","id",COUNTA($E$2:RelationTable[[#This Row],[Resource]])+IF(ISNUMBER(VLOOKUP('Table Seed Map'!$A$9,SeedMap[],9,0)),VLOOKUP('Table Seed Map'!$A$9,SeedMap[],9,0),0))</f>
        <v>72</v>
      </c>
      <c r="C74" s="17" t="str">
        <f>RelationTable[[#This Row],[Resource]]&amp;"/"&amp;RelationTable[[#This Row],[Method]]</f>
        <v>ResourceDataRelation/NRelation</v>
      </c>
      <c r="D74" s="17">
        <f>RelationTable[[#This Row],[No]]</f>
        <v>72</v>
      </c>
      <c r="E74" s="7" t="s">
        <v>432</v>
      </c>
      <c r="F74" s="7" t="s">
        <v>449</v>
      </c>
      <c r="G74" s="17">
        <f>RelationTable[[#This Row],[No]]</f>
        <v>72</v>
      </c>
      <c r="H74" s="17">
        <f>IF(RelationTable[[#This Row],[No]]="id","resource",VLOOKUP([Resource],CHOOSE({1,2},ResourceTable[Name],ResourceTable[No]),2,0))</f>
        <v>26</v>
      </c>
      <c r="I74" s="17" t="s">
        <v>1268</v>
      </c>
      <c r="J74" s="17" t="s">
        <v>1271</v>
      </c>
      <c r="K74" s="17" t="s">
        <v>1222</v>
      </c>
      <c r="L74" s="17" t="s">
        <v>310</v>
      </c>
      <c r="M74" s="44">
        <f>VLOOKUP([Relate Resource],CHOOSE({1,2},ResourceTable[Name],ResourceTable[No]),2,0)</f>
        <v>6</v>
      </c>
      <c r="N74" s="113">
        <f>[RELID]</f>
        <v>72</v>
      </c>
    </row>
    <row r="75" spans="1:14">
      <c r="A75" s="112" t="str">
        <f>Page&amp;"-"&amp;(COUNTA($E$1:RelationTable[[#This Row],[Resource]])-1)</f>
        <v>Resource Relations-73</v>
      </c>
      <c r="B75" s="108">
        <f>IF(RelationTable[[#This Row],[Resource]]="","id",COUNTA($E$2:RelationTable[[#This Row],[Resource]])+IF(ISNUMBER(VLOOKUP('Table Seed Map'!$A$9,SeedMap[],9,0)),VLOOKUP('Table Seed Map'!$A$9,SeedMap[],9,0),0))</f>
        <v>73</v>
      </c>
      <c r="C75" s="17" t="str">
        <f>RelationTable[[#This Row],[Resource]]&amp;"/"&amp;RelationTable[[#This Row],[Method]]</f>
        <v>ResourceDataScope/Data</v>
      </c>
      <c r="D75" s="17">
        <f>RelationTable[[#This Row],[No]]</f>
        <v>73</v>
      </c>
      <c r="E75" s="7" t="s">
        <v>750</v>
      </c>
      <c r="F75" s="7" t="s">
        <v>430</v>
      </c>
      <c r="G75" s="17">
        <f>RelationTable[[#This Row],[No]]</f>
        <v>73</v>
      </c>
      <c r="H75" s="17">
        <f>IF(RelationTable[[#This Row],[No]]="id","resource",VLOOKUP([Resource],CHOOSE({1,2},ResourceTable[Name],ResourceTable[No]),2,0))</f>
        <v>27</v>
      </c>
      <c r="I75" s="17" t="s">
        <v>1272</v>
      </c>
      <c r="J75" s="17" t="s">
        <v>1274</v>
      </c>
      <c r="K75" s="17" t="s">
        <v>302</v>
      </c>
      <c r="L75" s="17" t="s">
        <v>310</v>
      </c>
      <c r="M75" s="44">
        <f>VLOOKUP([Relate Resource],CHOOSE({1,2},ResourceTable[Name],ResourceTable[No]),2,0)</f>
        <v>25</v>
      </c>
      <c r="N75" s="113">
        <f>[RELID]</f>
        <v>73</v>
      </c>
    </row>
    <row r="76" spans="1:14">
      <c r="A76" s="112" t="str">
        <f>Page&amp;"-"&amp;(COUNTA($E$1:RelationTable[[#This Row],[Resource]])-1)</f>
        <v>Resource Relations-74</v>
      </c>
      <c r="B76" s="108">
        <f>IF(RelationTable[[#This Row],[Resource]]="","id",COUNTA($E$2:RelationTable[[#This Row],[Resource]])+IF(ISNUMBER(VLOOKUP('Table Seed Map'!$A$9,SeedMap[],9,0)),VLOOKUP('Table Seed Map'!$A$9,SeedMap[],9,0),0))</f>
        <v>74</v>
      </c>
      <c r="C76" s="17" t="str">
        <f>RelationTable[[#This Row],[Resource]]&amp;"/"&amp;RelationTable[[#This Row],[Method]]</f>
        <v>ResourceDataScope/Scope</v>
      </c>
      <c r="D76" s="17">
        <f>RelationTable[[#This Row],[No]]</f>
        <v>74</v>
      </c>
      <c r="E76" s="7" t="s">
        <v>750</v>
      </c>
      <c r="F76" s="7" t="s">
        <v>415</v>
      </c>
      <c r="G76" s="17">
        <f>RelationTable[[#This Row],[No]]</f>
        <v>74</v>
      </c>
      <c r="H76" s="17">
        <f>IF(RelationTable[[#This Row],[No]]="id","resource",VLOOKUP([Resource],CHOOSE({1,2},ResourceTable[Name],ResourceTable[No]),2,0))</f>
        <v>27</v>
      </c>
      <c r="I76" s="17" t="s">
        <v>1273</v>
      </c>
      <c r="J76" s="17" t="s">
        <v>1275</v>
      </c>
      <c r="K76" s="17" t="s">
        <v>1232</v>
      </c>
      <c r="L76" s="17" t="s">
        <v>310</v>
      </c>
      <c r="M76" s="44">
        <f>VLOOKUP([Relate Resource],CHOOSE({1,2},ResourceTable[Name],ResourceTable[No]),2,0)</f>
        <v>7</v>
      </c>
      <c r="N76" s="113">
        <f>[RELID]</f>
        <v>74</v>
      </c>
    </row>
    <row r="77" spans="1:14">
      <c r="A77" s="112" t="str">
        <f>Page&amp;"-"&amp;(COUNTA($E$1:RelationTable[[#This Row],[Resource]])-1)</f>
        <v>Resource Relations-75</v>
      </c>
      <c r="B77" s="108">
        <f>IF(RelationTable[[#This Row],[Resource]]="","id",COUNTA($E$2:RelationTable[[#This Row],[Resource]])+IF(ISNUMBER(VLOOKUP('Table Seed Map'!$A$9,SeedMap[],9,0)),VLOOKUP('Table Seed Map'!$A$9,SeedMap[],9,0),0))</f>
        <v>75</v>
      </c>
      <c r="C77" s="17" t="str">
        <f>RelationTable[[#This Row],[Resource]]&amp;"/"&amp;RelationTable[[#This Row],[Method]]</f>
        <v>ResourceDataViewSection/Data</v>
      </c>
      <c r="D77" s="17">
        <f>RelationTable[[#This Row],[No]]</f>
        <v>75</v>
      </c>
      <c r="E77" s="7" t="s">
        <v>485</v>
      </c>
      <c r="F77" s="7" t="s">
        <v>430</v>
      </c>
      <c r="G77" s="17">
        <f>RelationTable[[#This Row],[No]]</f>
        <v>75</v>
      </c>
      <c r="H77" s="17">
        <f>IF(RelationTable[[#This Row],[No]]="id","resource",VLOOKUP([Resource],CHOOSE({1,2},ResourceTable[Name],ResourceTable[No]),2,0))</f>
        <v>28</v>
      </c>
      <c r="I77" s="17" t="s">
        <v>1276</v>
      </c>
      <c r="J77" s="17" t="s">
        <v>1277</v>
      </c>
      <c r="K77" s="17" t="s">
        <v>302</v>
      </c>
      <c r="L77" s="17" t="s">
        <v>310</v>
      </c>
      <c r="M77" s="44">
        <f>VLOOKUP([Relate Resource],CHOOSE({1,2},ResourceTable[Name],ResourceTable[No]),2,0)</f>
        <v>25</v>
      </c>
      <c r="N77" s="113">
        <f>[RELID]</f>
        <v>75</v>
      </c>
    </row>
    <row r="78" spans="1:14">
      <c r="A78" s="112" t="str">
        <f>Page&amp;"-"&amp;(COUNTA($E$1:RelationTable[[#This Row],[Resource]])-1)</f>
        <v>Resource Relations-76</v>
      </c>
      <c r="B78" s="108">
        <f>IF(RelationTable[[#This Row],[Resource]]="","id",COUNTA($E$2:RelationTable[[#This Row],[Resource]])+IF(ISNUMBER(VLOOKUP('Table Seed Map'!$A$9,SeedMap[],9,0)),VLOOKUP('Table Seed Map'!$A$9,SeedMap[],9,0),0))</f>
        <v>76</v>
      </c>
      <c r="C78" s="17" t="str">
        <f>RelationTable[[#This Row],[Resource]]&amp;"/"&amp;RelationTable[[#This Row],[Method]]</f>
        <v>ResourceAction/Attrs</v>
      </c>
      <c r="D78" s="17">
        <f>RelationTable[[#This Row],[No]]</f>
        <v>76</v>
      </c>
      <c r="E78" s="7" t="s">
        <v>256</v>
      </c>
      <c r="F78" s="7" t="s">
        <v>757</v>
      </c>
      <c r="G78" s="17">
        <f>RelationTable[[#This Row],[No]]</f>
        <v>76</v>
      </c>
      <c r="H78" s="17">
        <f>IF(RelationTable[[#This Row],[No]]="id","resource",VLOOKUP([Resource],CHOOSE({1,2},ResourceTable[Name],ResourceTable[No]),2,0))</f>
        <v>30</v>
      </c>
      <c r="I78" s="17" t="s">
        <v>1326</v>
      </c>
      <c r="J78" s="17" t="s">
        <v>1330</v>
      </c>
      <c r="K78" s="17" t="s">
        <v>1331</v>
      </c>
      <c r="L78" s="17" t="s">
        <v>250</v>
      </c>
      <c r="M78" s="44">
        <f>VLOOKUP([Relate Resource],CHOOSE({1,2},ResourceTable[Name],ResourceTable[No]),2,0)</f>
        <v>32</v>
      </c>
      <c r="N78" s="113">
        <f>[RELID]</f>
        <v>76</v>
      </c>
    </row>
  </sheetData>
  <dataValidations count="1">
    <dataValidation type="list" allowBlank="1" showInputMessage="1" showErrorMessage="1" sqref="Q2:Q4 E2:F78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DU68"/>
  <sheetViews>
    <sheetView topLeftCell="D1" workbookViewId="0">
      <selection activeCell="D16" sqref="D16"/>
    </sheetView>
  </sheetViews>
  <sheetFormatPr defaultRowHeight="15"/>
  <cols>
    <col min="1" max="1" width="13.140625" hidden="1" customWidth="1"/>
    <col min="2" max="2" width="19.7109375" style="21" hidden="1" customWidth="1"/>
    <col min="3" max="3" width="5.140625" style="21" hidden="1" customWidth="1"/>
    <col min="4" max="4" width="25.7109375" customWidth="1"/>
    <col min="5" max="5" width="4.7109375" style="21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1" customWidth="1"/>
    <col min="13" max="13" width="10" hidden="1" customWidth="1"/>
    <col min="14" max="14" width="29" bestFit="1" customWidth="1"/>
    <col min="15" max="15" width="5.140625" style="21" hidden="1" customWidth="1"/>
    <col min="16" max="16" width="27.140625" style="21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customWidth="1"/>
    <col min="26" max="26" width="10.5703125" style="21" hidden="1" customWidth="1"/>
    <col min="27" max="27" width="6.140625" style="21" hidden="1" customWidth="1"/>
    <col min="28" max="28" width="7.140625" style="21" hidden="1" customWidth="1"/>
    <col min="29" max="29" width="6.140625" style="21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1" hidden="1" customWidth="1"/>
    <col min="37" max="37" width="11.140625" style="21" hidden="1" customWidth="1"/>
    <col min="38" max="39" width="6.140625" style="21" hidden="1" customWidth="1"/>
    <col min="40" max="40" width="13.140625" hidden="1" customWidth="1"/>
    <col min="41" max="45" width="11" customWidth="1"/>
    <col min="46" max="49" width="10.28515625" style="21" hidden="1" customWidth="1"/>
    <col min="50" max="50" width="13.28515625" style="21" hidden="1" customWidth="1"/>
    <col min="51" max="51" width="13.140625" style="21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1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1" hidden="1" customWidth="1"/>
    <col min="63" max="63" width="9.28515625" style="21" hidden="1" customWidth="1"/>
    <col min="64" max="64" width="9.28515625" customWidth="1"/>
    <col min="65" max="65" width="13.7109375" customWidth="1"/>
    <col min="66" max="66" width="29" customWidth="1"/>
    <col min="67" max="69" width="9.5703125" customWidth="1"/>
    <col min="70" max="70" width="9.5703125" style="21" customWidth="1"/>
    <col min="71" max="71" width="22.7109375" style="21" hidden="1" customWidth="1"/>
    <col min="72" max="72" width="27.7109375" style="21" bestFit="1" customWidth="1"/>
    <col min="73" max="73" width="29" style="21" bestFit="1" customWidth="1"/>
    <col min="74" max="74" width="20" style="21" customWidth="1"/>
    <col min="75" max="75" width="39.85546875" style="21" bestFit="1" customWidth="1"/>
    <col min="76" max="76" width="5.140625" style="21" hidden="1" customWidth="1"/>
    <col min="77" max="77" width="13.140625" style="21" hidden="1" customWidth="1"/>
    <col min="78" max="78" width="14.7109375" style="21" hidden="1" customWidth="1"/>
    <col min="79" max="79" width="10.5703125" style="21" hidden="1" customWidth="1"/>
    <col min="80" max="80" width="15.28515625" style="21" hidden="1" customWidth="1"/>
    <col min="81" max="81" width="9.5703125" style="21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1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1" hidden="1" customWidth="1"/>
    <col min="94" max="98" width="11.7109375" style="21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1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6" width="28.7109375" customWidth="1"/>
  </cols>
  <sheetData>
    <row r="1" spans="1:125">
      <c r="A1" s="1" t="s">
        <v>850</v>
      </c>
      <c r="B1" s="1" t="s">
        <v>855</v>
      </c>
      <c r="C1" s="1" t="s">
        <v>239</v>
      </c>
      <c r="D1" s="1" t="s">
        <v>240</v>
      </c>
      <c r="E1" s="1" t="s">
        <v>785</v>
      </c>
      <c r="F1" s="1" t="s">
        <v>204</v>
      </c>
      <c r="G1" s="1" t="s">
        <v>1</v>
      </c>
      <c r="H1" s="1" t="s">
        <v>242</v>
      </c>
      <c r="I1" s="1" t="s">
        <v>236</v>
      </c>
      <c r="J1" s="1" t="s">
        <v>243</v>
      </c>
      <c r="K1" s="1" t="s">
        <v>979</v>
      </c>
      <c r="M1" s="1" t="s">
        <v>850</v>
      </c>
      <c r="N1" s="1" t="s">
        <v>241</v>
      </c>
      <c r="O1" s="1" t="s">
        <v>239</v>
      </c>
      <c r="P1" s="1" t="s">
        <v>861</v>
      </c>
      <c r="Q1" s="36" t="s">
        <v>785</v>
      </c>
      <c r="R1" s="1" t="s">
        <v>276</v>
      </c>
      <c r="S1" s="54" t="s">
        <v>1</v>
      </c>
      <c r="T1" s="54" t="s">
        <v>14</v>
      </c>
      <c r="U1" s="54" t="s">
        <v>244</v>
      </c>
      <c r="V1" s="58" t="s">
        <v>781</v>
      </c>
      <c r="W1" s="58" t="s">
        <v>782</v>
      </c>
      <c r="X1" s="58" t="s">
        <v>783</v>
      </c>
      <c r="Y1" s="58" t="s">
        <v>784</v>
      </c>
      <c r="Z1" s="58" t="s">
        <v>865</v>
      </c>
      <c r="AA1" s="58" t="s">
        <v>866</v>
      </c>
      <c r="AB1" s="58" t="s">
        <v>869</v>
      </c>
      <c r="AC1" s="58" t="s">
        <v>867</v>
      </c>
      <c r="AD1" s="58" t="s">
        <v>791</v>
      </c>
      <c r="AE1" s="58" t="s">
        <v>247</v>
      </c>
      <c r="AF1" s="1" t="s">
        <v>246</v>
      </c>
      <c r="AG1" s="1" t="s">
        <v>778</v>
      </c>
      <c r="AH1" s="1" t="s">
        <v>779</v>
      </c>
      <c r="AI1" s="1" t="s">
        <v>780</v>
      </c>
      <c r="AJ1" s="1" t="s">
        <v>872</v>
      </c>
      <c r="AK1" s="1" t="s">
        <v>871</v>
      </c>
      <c r="AL1" s="1" t="s">
        <v>868</v>
      </c>
      <c r="AM1" s="1" t="s">
        <v>873</v>
      </c>
      <c r="AN1" s="1" t="s">
        <v>790</v>
      </c>
      <c r="AO1" s="54" t="s">
        <v>787</v>
      </c>
      <c r="AP1" s="54" t="s">
        <v>238</v>
      </c>
      <c r="AQ1" s="54" t="s">
        <v>788</v>
      </c>
      <c r="AR1" s="54" t="s">
        <v>789</v>
      </c>
      <c r="AS1" s="54" t="s">
        <v>661</v>
      </c>
      <c r="AT1" s="1" t="s">
        <v>875</v>
      </c>
      <c r="AU1" s="1" t="s">
        <v>876</v>
      </c>
      <c r="AV1" s="1" t="s">
        <v>877</v>
      </c>
      <c r="AW1" s="1" t="s">
        <v>878</v>
      </c>
      <c r="AX1" s="1" t="s">
        <v>800</v>
      </c>
      <c r="AY1" s="1" t="s">
        <v>801</v>
      </c>
      <c r="AZ1" s="58" t="s">
        <v>802</v>
      </c>
      <c r="BB1" s="1" t="s">
        <v>835</v>
      </c>
      <c r="BC1" s="1" t="s">
        <v>850</v>
      </c>
      <c r="BD1" s="1" t="s">
        <v>239</v>
      </c>
      <c r="BE1" s="1" t="s">
        <v>13</v>
      </c>
      <c r="BF1" s="1" t="s">
        <v>1</v>
      </c>
      <c r="BG1" s="1" t="s">
        <v>665</v>
      </c>
      <c r="BI1" s="1" t="s">
        <v>842</v>
      </c>
      <c r="BJ1" s="1" t="s">
        <v>850</v>
      </c>
      <c r="BK1" s="1" t="s">
        <v>239</v>
      </c>
      <c r="BL1" s="1" t="s">
        <v>13</v>
      </c>
      <c r="BM1" s="1" t="s">
        <v>662</v>
      </c>
      <c r="BN1" s="1" t="s">
        <v>663</v>
      </c>
      <c r="BO1" s="1" t="s">
        <v>797</v>
      </c>
      <c r="BP1" s="1" t="s">
        <v>798</v>
      </c>
      <c r="BQ1" s="1" t="s">
        <v>799</v>
      </c>
      <c r="BR1" s="1"/>
      <c r="BS1" s="1" t="s">
        <v>850</v>
      </c>
      <c r="BT1" s="1" t="s">
        <v>912</v>
      </c>
      <c r="BU1" s="1" t="s">
        <v>513</v>
      </c>
      <c r="BV1" s="1" t="s">
        <v>246</v>
      </c>
      <c r="BW1" s="1" t="s">
        <v>913</v>
      </c>
      <c r="BX1" s="1" t="s">
        <v>239</v>
      </c>
      <c r="BY1" s="1" t="s">
        <v>914</v>
      </c>
      <c r="BZ1" s="1" t="s">
        <v>915</v>
      </c>
      <c r="CA1" s="1" t="s">
        <v>916</v>
      </c>
      <c r="CB1" s="1" t="s">
        <v>673</v>
      </c>
      <c r="CC1" s="1"/>
      <c r="CE1" s="21" t="s">
        <v>850</v>
      </c>
      <c r="CF1" s="21" t="s">
        <v>903</v>
      </c>
      <c r="CG1" s="21" t="s">
        <v>239</v>
      </c>
      <c r="CH1" s="21" t="s">
        <v>276</v>
      </c>
      <c r="CI1" s="21" t="s">
        <v>1</v>
      </c>
      <c r="CJ1" s="21" t="s">
        <v>665</v>
      </c>
      <c r="CK1" s="21" t="s">
        <v>246</v>
      </c>
      <c r="CL1" s="21" t="s">
        <v>247</v>
      </c>
      <c r="CM1" s="21" t="s">
        <v>909</v>
      </c>
      <c r="CN1" s="21" t="s">
        <v>910</v>
      </c>
      <c r="CO1" s="21" t="s">
        <v>911</v>
      </c>
      <c r="CP1" s="21" t="s">
        <v>275</v>
      </c>
      <c r="CQ1" s="21" t="s">
        <v>908</v>
      </c>
      <c r="CR1" s="21" t="s">
        <v>778</v>
      </c>
      <c r="CS1" s="21" t="s">
        <v>779</v>
      </c>
      <c r="CT1" s="21" t="s">
        <v>780</v>
      </c>
      <c r="CU1" s="21" t="s">
        <v>905</v>
      </c>
      <c r="CV1" s="21" t="s">
        <v>906</v>
      </c>
      <c r="CW1" s="21" t="s">
        <v>907</v>
      </c>
      <c r="CX1" s="21" t="s">
        <v>17</v>
      </c>
      <c r="CZ1" s="1" t="s">
        <v>1111</v>
      </c>
      <c r="DA1" s="1" t="s">
        <v>850</v>
      </c>
      <c r="DB1" s="1" t="s">
        <v>785</v>
      </c>
      <c r="DC1" s="1" t="s">
        <v>1106</v>
      </c>
      <c r="DD1" s="1" t="s">
        <v>1104</v>
      </c>
      <c r="DE1" s="1" t="s">
        <v>1105</v>
      </c>
      <c r="DF1" s="1" t="s">
        <v>793</v>
      </c>
      <c r="DG1" s="1" t="s">
        <v>664</v>
      </c>
      <c r="DH1" s="1" t="s">
        <v>275</v>
      </c>
      <c r="DI1" s="1" t="s">
        <v>794</v>
      </c>
      <c r="DJ1" s="1" t="s">
        <v>795</v>
      </c>
      <c r="DL1" s="1" t="s">
        <v>1112</v>
      </c>
      <c r="DM1" s="1" t="s">
        <v>850</v>
      </c>
      <c r="DN1" s="1" t="s">
        <v>785</v>
      </c>
      <c r="DO1" s="1" t="s">
        <v>1106</v>
      </c>
      <c r="DP1" s="1" t="s">
        <v>14</v>
      </c>
      <c r="DQ1" s="1" t="s">
        <v>792</v>
      </c>
      <c r="DR1" s="1" t="s">
        <v>796</v>
      </c>
      <c r="DS1" s="1" t="s">
        <v>665</v>
      </c>
      <c r="DT1" s="1" t="s">
        <v>666</v>
      </c>
      <c r="DU1" s="1" t="s">
        <v>793</v>
      </c>
    </row>
    <row r="2" spans="1:125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 t="str">
        <f>IF(ResourceForms[[#This Row],[Resource Name]]="","",COUNTA($F$3:ResourceForms[[#This Row],[Resource]])+IF(VLOOKUP('Table Seed Map'!$A$10,SeedMap[],9,0),VLOOKUP('Table Seed Map'!$A$10,SeedMap[],9,0),0))</f>
        <v/>
      </c>
      <c r="D2" s="13"/>
      <c r="E2" s="15" t="s">
        <v>21</v>
      </c>
      <c r="F2" s="15" t="s">
        <v>23</v>
      </c>
      <c r="G2" s="6" t="s">
        <v>26</v>
      </c>
      <c r="H2" s="15" t="s">
        <v>28</v>
      </c>
      <c r="I2" s="6" t="s">
        <v>30</v>
      </c>
      <c r="J2" s="6" t="s">
        <v>63</v>
      </c>
      <c r="K2" s="3" t="str">
        <f>[ID]</f>
        <v>id</v>
      </c>
      <c r="M2" s="47" t="str">
        <f>'Table Seed Map'!$A$11&amp;"-"&amp;(COUNTA($Q$1:FormFields[[#This Row],[ID]])-2)</f>
        <v>Form Fields-0</v>
      </c>
      <c r="N2" s="37"/>
      <c r="O2" s="45" t="str">
        <f>IF(FormFields[[#This Row],[Form Name]]="","id",COUNTA($N$3:FormFields[[#This Row],[Form Name]])+IF(VLOOKUP('Table Seed Map'!$A$11,SeedMap[],9,0),VLOOKUP('Table Seed Map'!$A$11,SeedMap[],9,0),0))</f>
        <v>id</v>
      </c>
      <c r="P2" s="47" t="str">
        <f>FormFields[[#This Row],[Form Name]]&amp;"/"&amp;FormFields[[#This Row],[Name]]</f>
        <v>/name</v>
      </c>
      <c r="Q2" s="45" t="str">
        <f>FormFields[[#This Row],[No]]</f>
        <v>id</v>
      </c>
      <c r="R2" s="52" t="s">
        <v>116</v>
      </c>
      <c r="S2" s="55" t="s">
        <v>26</v>
      </c>
      <c r="T2" s="55" t="s">
        <v>48</v>
      </c>
      <c r="U2" s="55" t="s">
        <v>230</v>
      </c>
      <c r="V2" s="58"/>
      <c r="W2" s="58"/>
      <c r="X2" s="58"/>
      <c r="Y2" s="58"/>
      <c r="Z2" s="59" t="str">
        <f>'Table Seed Map'!$A$12&amp;"-"&amp;(COUNTIF($AB$2:FormFields[[#This Row],[Exists]],1)-1)</f>
        <v>Field Data-0</v>
      </c>
      <c r="AA2" s="60">
        <f>IF(FormFields[[#This Row],[Exists]]=1,IF(FormFields[[#This Row],[Exists]]="",$AA1,IF($AA1=0,IF(ISNUMBER(VLOOKUP('Table Seed Map'!$A$12,SeedMap[],9,0)),VLOOKUP('Table Seed Map'!$A$12,SeedMap[],9,0)+1,1),IFERROR($AA1+1,0))),$AA1)</f>
        <v>0</v>
      </c>
      <c r="AB2" s="60">
        <f>IF(AND(FormFields[[#This Row],[Attribute]]="",FormFields[[#This Row],[Relation]]=""),0,1)</f>
        <v>1</v>
      </c>
      <c r="AC2" s="60" t="s">
        <v>21</v>
      </c>
      <c r="AD2" s="61" t="s">
        <v>119</v>
      </c>
      <c r="AE2" s="60" t="s">
        <v>124</v>
      </c>
      <c r="AF2" s="45" t="str">
        <f>IF(FormFields[[#This Row],[Rel]]="",IF(EXACT($AF1,FormFields[[#Headers],[Relation]]),"relation",""),VLOOKUP(FormFields[[#This Row],[Rel]],RelationTable[[Display]:[RELID]],2,0))</f>
        <v>relation</v>
      </c>
      <c r="AG2" s="90" t="str">
        <f>IF(FormFields[[#This Row],[Rel1]]="",IF(EXACT($AG1,FormFields[[#Headers],[R1]]),"nest_relation1",""),VLOOKUP(FormFields[[#This Row],[Rel1]],RelationTable[[Display]:[RELID]],2,0))</f>
        <v>nest_relation1</v>
      </c>
      <c r="AH2" s="45" t="str">
        <f>IF(FormFields[[#This Row],[Rel2]]="",IF(EXACT($AH1,FormFields[[#Headers],[R2]]),"nest_relation2",""),VLOOKUP(FormFields[[#This Row],[Rel2]],RelationTable[[Display]:[RELID]],2,0))</f>
        <v>nest_relation2</v>
      </c>
      <c r="AI2" s="45" t="str">
        <f>IF(FormFields[[#This Row],[Rel3]]="",IF(EXACT($AI1,FormFields[[#Headers],[R3]]),"nest_relation3",""),VLOOKUP(FormFields[[#This Row],[Rel3]],RelationTable[[Display]:[RELID]],2,0))</f>
        <v>nest_relation3</v>
      </c>
      <c r="AJ2" s="45">
        <f>IF(OR(FormFields[[#This Row],[Option Type]]="",FormFields[[#This Row],[Option Type]]="type"),0,1)</f>
        <v>0</v>
      </c>
      <c r="AK2" s="45" t="str">
        <f>'Table Seed Map'!$A$13&amp;"-"&amp;COUNTIF($AJ$2:FormFields[[#This Row],[Exists FO]],1)</f>
        <v>Field Options-0</v>
      </c>
      <c r="AL2" s="45"/>
      <c r="AM2" s="45" t="s">
        <v>21</v>
      </c>
      <c r="AN2" s="38" t="s">
        <v>119</v>
      </c>
      <c r="AO2" s="71" t="s">
        <v>48</v>
      </c>
      <c r="AP2" s="71" t="s">
        <v>200</v>
      </c>
      <c r="AQ2" s="71" t="s">
        <v>357</v>
      </c>
      <c r="AR2" s="71" t="s">
        <v>359</v>
      </c>
      <c r="AS2" s="71" t="s">
        <v>361</v>
      </c>
      <c r="AT2" s="45">
        <f>IF(OR(FormFields[[#This Row],[Colspan]]="",FormFields[[#This Row],[Colspan]]="colspan"),0,1)</f>
        <v>0</v>
      </c>
      <c r="AU2" s="45" t="str">
        <f>'Table Seed Map'!$A$18&amp;"-"&amp;SUM($AT$2:FormFields[[#This Row],[Exists FL]])</f>
        <v>Form Layout-0</v>
      </c>
      <c r="AV2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>id</v>
      </c>
      <c r="AW2" s="45" t="str">
        <f>FormFields[[#This Row],[NO8]]</f>
        <v>id</v>
      </c>
      <c r="AX2" s="45" t="s">
        <v>116</v>
      </c>
      <c r="AY2" s="45" t="s">
        <v>119</v>
      </c>
      <c r="AZ2" s="61" t="s">
        <v>472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8" t="s">
        <v>119</v>
      </c>
      <c r="BF2" s="38" t="s">
        <v>26</v>
      </c>
      <c r="BG2" s="38" t="s">
        <v>95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119</v>
      </c>
      <c r="BM2" s="13" t="s">
        <v>128</v>
      </c>
      <c r="BN2" s="13" t="s">
        <v>129</v>
      </c>
      <c r="BO2" s="13" t="s">
        <v>36</v>
      </c>
      <c r="BP2" s="13" t="s">
        <v>37</v>
      </c>
      <c r="BQ2" s="13" t="s">
        <v>38</v>
      </c>
      <c r="BR2" s="13"/>
      <c r="BS2" s="15" t="str">
        <f>'Table Seed Map'!$A$20&amp;"-"&amp;COUNTA($BT$1:FormCollection[[#This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Map'!$A$20,SeedMap[],9,0)),VLOOKUP('Table Seed Map'!$A$20,SeedMap[],9,0)+1,1),IFERROR($BX1+1,"id"))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55</v>
      </c>
      <c r="CB2" s="15" t="s">
        <v>528</v>
      </c>
      <c r="CC2" s="13"/>
      <c r="CE2" s="6" t="str">
        <f>'Table Seed Map'!$A$19&amp;"-"&amp;COUNTA($CF$1:FormDefault[[#This Row],[Form for Default]])-1</f>
        <v>Form Defaults-0</v>
      </c>
      <c r="CF2" s="1"/>
      <c r="CG2" s="13" t="str">
        <f>IF($CG1="id",IF(ISNUMBER(VLOOKUP('Table Seed Map'!$A$19,SeedMap[],9,0)),VLOOKUP('Table Seed Map'!$A$19,SeedMap[],9,0)+1,1),IFERROR($CG1+1,"id"))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26</v>
      </c>
      <c r="CJ2" s="13" t="s">
        <v>95</v>
      </c>
      <c r="CK2" s="16" t="s">
        <v>55</v>
      </c>
      <c r="CL2" s="13" t="s">
        <v>124</v>
      </c>
      <c r="CM2" s="15" t="s">
        <v>455</v>
      </c>
      <c r="CN2" s="15" t="s">
        <v>456</v>
      </c>
      <c r="CO2" s="15" t="s">
        <v>457</v>
      </c>
      <c r="CP2" s="13" t="s">
        <v>35</v>
      </c>
      <c r="CQ2" s="13"/>
      <c r="CR2" s="13"/>
      <c r="CS2" s="13"/>
      <c r="CT2" s="13"/>
      <c r="CU2" s="13" t="s">
        <v>455</v>
      </c>
      <c r="CV2" s="13" t="s">
        <v>456</v>
      </c>
      <c r="CW2" s="13" t="s">
        <v>457</v>
      </c>
      <c r="CX2" s="13" t="s">
        <v>35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Depend]]="","id",COUNTA($CZ$3:FieldDepends[[#This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541</v>
      </c>
      <c r="DE2" s="2" t="s">
        <v>543</v>
      </c>
      <c r="DF2" s="2" t="s">
        <v>545</v>
      </c>
      <c r="DG2" s="2" t="s">
        <v>549</v>
      </c>
      <c r="DH2" s="2" t="s">
        <v>35</v>
      </c>
      <c r="DI2" s="2" t="s">
        <v>561</v>
      </c>
      <c r="DJ2" s="2" t="s">
        <v>559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Dynamic]]="","id",COUNTA($DL$3:FieldDynamic[[#This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48</v>
      </c>
      <c r="DQ2" s="2" t="s">
        <v>541</v>
      </c>
      <c r="DR2" s="2" t="s">
        <v>643</v>
      </c>
      <c r="DS2" s="2" t="s">
        <v>95</v>
      </c>
      <c r="DT2" s="2" t="s">
        <v>659</v>
      </c>
      <c r="DU2" s="2" t="s">
        <v>545</v>
      </c>
    </row>
    <row r="3" spans="1:125">
      <c r="A3" s="15" t="str">
        <f>'Table Seed Map'!$A$10&amp;"-"&amp;(COUNTA($F$1:ResourceForms[[#This Row],[Resource]])-2)</f>
        <v>Resource Forms-1</v>
      </c>
      <c r="B3" s="15" t="str">
        <f>ResourceForms[[#This Row],[Resource Name]]&amp;"/"&amp;ResourceForms[[#This Row],[Name]]</f>
        <v>User/NewUserForm</v>
      </c>
      <c r="C3" s="15">
        <f>IF(ResourceForms[[#This Row],[Resource Name]]="","",COUNTA($F$3:ResourceForms[[#This Row],[Resource]])+IF(VLOOKUP('Table Seed Map'!$A$10,SeedMap[],9,0),VLOOKUP('Table Seed Map'!$A$10,SeedMap[],9,0),0))</f>
        <v>1</v>
      </c>
      <c r="D3" s="13" t="s">
        <v>174</v>
      </c>
      <c r="E3" s="15">
        <f>ResourceForms[[#This Row],[No]]</f>
        <v>1</v>
      </c>
      <c r="F3" s="15">
        <f>VLOOKUP(ResourceForms[[#This Row],[Resource Name]],ResourceTable[[RName]:[RID]],2,0)</f>
        <v>1</v>
      </c>
      <c r="G3" s="6" t="s">
        <v>776</v>
      </c>
      <c r="H3" s="15" t="s">
        <v>777</v>
      </c>
      <c r="I3" s="6" t="s">
        <v>273</v>
      </c>
      <c r="J3" s="6" t="s">
        <v>225</v>
      </c>
      <c r="K3" s="3">
        <f>[ID]</f>
        <v>1</v>
      </c>
      <c r="M3" s="47" t="str">
        <f>'Table Seed Map'!$A$11&amp;"-"&amp;(COUNTA($Q$1:FormFields[[#This Row],[ID]])-2)</f>
        <v>Form Fields-1</v>
      </c>
      <c r="N3" s="37" t="s">
        <v>858</v>
      </c>
      <c r="O3" s="45">
        <f>IF(FormFields[[#This Row],[Form Name]]="","id",COUNTA($N$3:FormFields[[#This Row],[Form Name]])+IF(VLOOKUP('Table Seed Map'!$A$11,SeedMap[],9,0),VLOOKUP('Table Seed Map'!$A$11,SeedMap[],9,0),0))</f>
        <v>1</v>
      </c>
      <c r="P3" s="47" t="str">
        <f>FormFields[[#This Row],[Form Name]]&amp;"/"&amp;FormFields[[#This Row],[Name]]</f>
        <v>User/NewUserForm/name</v>
      </c>
      <c r="Q3" s="45">
        <f>FormFields[[#This Row],[No]]</f>
        <v>1</v>
      </c>
      <c r="R3" s="52">
        <f>VLOOKUP(FormFields[[#This Row],[Form Name]],ResourceForms[[FormName]:[No]],2,0)</f>
        <v>1</v>
      </c>
      <c r="S3" s="55" t="s">
        <v>26</v>
      </c>
      <c r="T3" s="55" t="s">
        <v>231</v>
      </c>
      <c r="U3" s="55" t="s">
        <v>1</v>
      </c>
      <c r="V3" s="58"/>
      <c r="W3" s="58"/>
      <c r="X3" s="58"/>
      <c r="Y3" s="58"/>
      <c r="Z3" s="59" t="str">
        <f>'Table Seed Map'!$A$12&amp;"-"&amp;(COUNTIF($AB$2:FormFields[[#This Row],[Exists]],1)-1)</f>
        <v>Field Data-1</v>
      </c>
      <c r="AA3" s="60">
        <f>IF(FormFields[[#This Row],[Exists]]=1,IF(FormFields[[#This Row],[Exists]]="",$AA2,IF($AA2=0,IF(ISNUMBER(VLOOKUP('Table Seed Map'!$A$12,SeedMap[],9,0)),VLOOKUP('Table Seed Map'!$A$12,SeedMap[],9,0)+1,1),IFERROR($AA2+1,0))),$AA2)</f>
        <v>1</v>
      </c>
      <c r="AB3" s="60">
        <f>IF(AND(FormFields[[#This Row],[Attribute]]="",FormFields[[#This Row],[Relation]]=""),0,1)</f>
        <v>1</v>
      </c>
      <c r="AC3" s="60">
        <f>FormFields[[#This Row],[NO2]]</f>
        <v>1</v>
      </c>
      <c r="AD3" s="62">
        <f>[ID]</f>
        <v>1</v>
      </c>
      <c r="AE3" s="63" t="str">
        <f>[Name]</f>
        <v>name</v>
      </c>
      <c r="AF3" s="90" t="str">
        <f>IF(FormFields[[#This Row],[Rel]]="",IF(EXACT($AF2,FormFields[[#Headers],[Relation]]),"relation",""),VLOOKUP(FormFields[[#This Row],[Rel]],RelationTable[[Display]:[RELID]],2,0))</f>
        <v/>
      </c>
      <c r="AG3" s="90" t="str">
        <f>IF(FormFields[[#This Row],[Rel1]]="",IF(EXACT($AG2,FormFields[[#Headers],[R1]]),"nest_relation1",""),VLOOKUP(FormFields[[#This Row],[Rel1]],RelationTable[[Display]:[RELID]],2,0))</f>
        <v/>
      </c>
      <c r="AH3" s="90" t="str">
        <f>IF(FormFields[[#This Row],[Rel2]]="",IF(EXACT($AH2,FormFields[[#Headers],[R2]]),"nest_relation2",""),VLOOKUP(FormFields[[#This Row],[Rel2]],RelationTable[[Display]:[RELID]],2,0))</f>
        <v/>
      </c>
      <c r="AI3" s="90" t="str">
        <f>IF(FormFields[[#This Row],[Rel3]]="",IF(EXACT($AI2,FormFields[[#Headers],[R3]]),"nest_relation3",""),VLOOKUP(FormFields[[#This Row],[Rel3]],RelationTable[[Display]:[RELID]],2,0))</f>
        <v/>
      </c>
      <c r="AJ3" s="45">
        <f>IF(OR(FormFields[[#This Row],[Option Type]]="",FormFields[[#This Row],[Option Type]]="type"),0,1)</f>
        <v>0</v>
      </c>
      <c r="AK3" s="45" t="str">
        <f>'Table Seed Map'!$A$13&amp;"-"&amp;COUNTIF($AJ$2:FormFields[[#This Row],[Exists FO]],1)</f>
        <v>Field Options-0</v>
      </c>
      <c r="AL3" s="45">
        <f>IF(FormFields[[#This Row],[Exists FO]]=0,$AL2,IF($AL2=0,IF(ISNUMBER(VLOOKUP('Table Seed Map'!$A$13,SeedMap[],9,0)),VLOOKUP('Table Seed Map'!$A$13,SeedMap[],9,0)+1,1),IFERROR($AL2+1,0)))</f>
        <v>0</v>
      </c>
      <c r="AM3" s="45">
        <f>FormFields[[#This Row],[NO4]]</f>
        <v>0</v>
      </c>
      <c r="AN3" s="38">
        <f>[ID]</f>
        <v>1</v>
      </c>
      <c r="AO3" s="71"/>
      <c r="AP3" s="71"/>
      <c r="AQ3" s="71"/>
      <c r="AR3" s="71"/>
      <c r="AS3" s="71"/>
      <c r="AT3" s="45">
        <f>IF(OR(FormFields[[#This Row],[Colspan]]="",FormFields[[#This Row],[Colspan]]="colspan"),0,1)</f>
        <v>1</v>
      </c>
      <c r="AU3" s="45" t="str">
        <f>'Table Seed Map'!$A$18&amp;"-"&amp;SUM($AT$2:FormFields[[#This Row],[Exists FL]])</f>
        <v>Form Layout-1</v>
      </c>
      <c r="AV3" s="45">
        <f>IF(FormFields[[#This Row],[Exists FL]]=0,IF(FormFields[[#This Row],[Form Name]]="","id",""),SUM($AT$3:FormFields[[#This Row],[Exists FL]],IF(VLOOKUP('Table Seed Map'!$A$18,SeedMap[],9,0),VLOOKUP('Table Seed Map'!$A$18,SeedMap[],9,0),0)))</f>
        <v>1</v>
      </c>
      <c r="AW3" s="45">
        <f>FormFields[[#This Row],[NO8]]</f>
        <v>1</v>
      </c>
      <c r="AX3" s="45">
        <f>[Form]</f>
        <v>1</v>
      </c>
      <c r="AY3" s="45">
        <f>[ID]</f>
        <v>1</v>
      </c>
      <c r="AZ3" s="61">
        <v>6</v>
      </c>
      <c r="BB3" s="1" t="s">
        <v>838</v>
      </c>
      <c r="BC3" s="6" t="str">
        <f>'Table Seed Map'!$A$14&amp;"-"&amp;(COUNTA($BB$2:FieldAttrs[[#This Row],[ATTR Field]]))</f>
        <v>Field Attrs-1</v>
      </c>
      <c r="BD3" s="15">
        <f>IF($BD2="id",IF(ISNUMBER(VLOOKUP('Table Seed Map'!$A$14,SeedMap[],9,0)),VLOOKUP('Table Seed Map'!$A$14,SeedMap[],9,0)+1,1),IFERROR($BD2+1,"id"))</f>
        <v>1</v>
      </c>
      <c r="BE3" s="38">
        <f>VLOOKUP([ATTR Field],FormFields[[Field Name]:[ID]],2,0)</f>
        <v>5</v>
      </c>
      <c r="BF3" s="38" t="s">
        <v>839</v>
      </c>
      <c r="BG3" s="38">
        <v>5</v>
      </c>
      <c r="BS3" s="16" t="str">
        <f>'Table Seed Map'!$A$20&amp;"-"&amp;COUNTA($BT$1:FormCollection[[#This Row],[Main Form for Collection]])-1</f>
        <v>Form Collection-1</v>
      </c>
      <c r="BT3" s="14" t="s">
        <v>1006</v>
      </c>
      <c r="BU3" s="14" t="s">
        <v>1010</v>
      </c>
      <c r="BV3" s="14" t="s">
        <v>1013</v>
      </c>
      <c r="BW3" s="14" t="s">
        <v>1014</v>
      </c>
      <c r="BX3" s="14">
        <f>IF($BX2="id",IF(ISNUMBER(VLOOKUP('Table Seed Map'!$A$20,SeedMap[],9,0)),VLOOKUP('Table Seed Map'!$A$20,SeedMap[],9,0)+1,1),IFERROR($BX2+1,"id"))</f>
        <v>1</v>
      </c>
      <c r="BY3" s="14">
        <f>IFERROR(VLOOKUP([Main Form for Collection],ResourceForms[[FormName]:[ID]],4,0),"resource_form")</f>
        <v>8</v>
      </c>
      <c r="BZ3" s="14">
        <f>IFERROR(VLOOKUP([Collection Form],ResourceForms[[FormName]:[ID]],4,0),"collection_form")</f>
        <v>9</v>
      </c>
      <c r="CA3" s="16">
        <f>IFERROR(VLOOKUP([Relation],RelationTable[[Display]:[RELID]],2,0),"")</f>
        <v>15</v>
      </c>
      <c r="CB3" s="16">
        <f>IFERROR(VLOOKUP([Foreign Field],FormFields[[Field Name]:[ID]],2,0),"")</f>
        <v>43</v>
      </c>
      <c r="CZ3" s="1" t="s">
        <v>1109</v>
      </c>
      <c r="DA3" s="6" t="str">
        <f>'Table Seed Map'!$A$17&amp;"-"&amp;COUNTA($CZ$2:FieldDepends[[#This Row],[Field for Depend]])</f>
        <v>Field Depends-1</v>
      </c>
      <c r="DB3" s="15">
        <f>IF(FieldDepends[[#This Row],[Field for Depend]]="","id",COUNTA($CZ$3:FieldDepends[[#This Row],[Field for Depend]])+IF(VLOOKUP('Table Seed Map'!$A$17,SeedMap[],9,0),VLOOKUP('Table Seed Map'!$A$17,SeedMap[],9,0),0))</f>
        <v>1</v>
      </c>
      <c r="DC3" s="15">
        <f>IFERROR(VLOOKUP(FieldDepends[[#This Row],[Field for Depend]],FormFields[[Field Name]:[ID]],2,0),"form_field")</f>
        <v>23</v>
      </c>
      <c r="DD3" s="6" t="s">
        <v>48</v>
      </c>
      <c r="DE3" s="1"/>
      <c r="DF3" s="1"/>
      <c r="DG3" s="1"/>
      <c r="DH3" s="1" t="s">
        <v>1102</v>
      </c>
      <c r="DI3" s="1"/>
      <c r="DJ3" s="1" t="s">
        <v>674</v>
      </c>
      <c r="DL3" s="1" t="s">
        <v>1110</v>
      </c>
      <c r="DM3" s="6" t="str">
        <f>'Table Seed Map'!$A$15&amp;"-"&amp;COUNTA($DL$2:FieldDynamic[[#This Row],[Field for Dynamic]])</f>
        <v>Field Dynamic-1</v>
      </c>
      <c r="DN3" s="15">
        <f>IF(FieldDynamic[[#This Row],[Field for Dynamic]]="","id",COUNTA($DL$3:FieldDynamic[[#This Row],[Field for Dynamic]])+IF(VLOOKUP('Table Seed Map'!$A$15,SeedMap[],9,0),VLOOKUP('Table Seed Map'!$A$15,SeedMap[],9,0),0))</f>
        <v>1</v>
      </c>
      <c r="DO3" s="15">
        <f>IFERROR(VLOOKUP(FieldDynamic[[#This Row],[Field for Dynamic]],FormFields[[Field Name]:[ID]],2,0),"form_field")</f>
        <v>24</v>
      </c>
      <c r="DP3" s="6" t="s">
        <v>1101</v>
      </c>
      <c r="DQ3" s="1" t="s">
        <v>48</v>
      </c>
      <c r="DR3" s="1" t="s">
        <v>95</v>
      </c>
      <c r="DS3" s="1"/>
      <c r="DT3" s="1" t="s">
        <v>1099</v>
      </c>
      <c r="DU3" s="1" t="s">
        <v>1100</v>
      </c>
    </row>
    <row r="4" spans="1:125">
      <c r="A4" s="16" t="str">
        <f>'Table Seed Map'!$A$10&amp;"-"&amp;(COUNTA($F$1:ResourceForms[[#This Row],[Resource]])-2)</f>
        <v>Resource Forms-2</v>
      </c>
      <c r="B4" s="16" t="str">
        <f>ResourceForms[[#This Row],[Resource Name]]&amp;"/"&amp;ResourceForms[[#This Row],[Name]]</f>
        <v>User/UpdateUserForm</v>
      </c>
      <c r="C4" s="15">
        <f>IF(ResourceForms[[#This Row],[Resource Name]]="","",COUNTA($F$3:ResourceForms[[#This Row],[Resource]])+IF(VLOOKUP('Table Seed Map'!$A$10,SeedMap[],9,0),VLOOKUP('Table Seed Map'!$A$10,SeedMap[],9,0),0))</f>
        <v>2</v>
      </c>
      <c r="D4" s="13" t="s">
        <v>174</v>
      </c>
      <c r="E4" s="15">
        <f>ResourceForms[[#This Row],[No]]</f>
        <v>2</v>
      </c>
      <c r="F4" s="16">
        <f>VLOOKUP(ResourceForms[[#This Row],[Resource Name]],ResourceTable[[RName]:[RID]],2,0)</f>
        <v>1</v>
      </c>
      <c r="G4" s="9" t="s">
        <v>820</v>
      </c>
      <c r="H4" s="16" t="s">
        <v>830</v>
      </c>
      <c r="I4" s="9" t="s">
        <v>821</v>
      </c>
      <c r="J4" s="9" t="s">
        <v>822</v>
      </c>
      <c r="K4" s="86">
        <f>[ID]</f>
        <v>2</v>
      </c>
      <c r="M4" s="47" t="str">
        <f>'Table Seed Map'!$A$11&amp;"-"&amp;(COUNTA($Q$1:FormFields[[#This Row],[ID]])-2)</f>
        <v>Form Fields-2</v>
      </c>
      <c r="N4" s="37" t="s">
        <v>858</v>
      </c>
      <c r="O4" s="45">
        <f>IF(FormFields[[#This Row],[Form Name]]="","id",COUNTA($N$3:FormFields[[#This Row],[Form Name]])+IF(VLOOKUP('Table Seed Map'!$A$11,SeedMap[],9,0),VLOOKUP('Table Seed Map'!$A$11,SeedMap[],9,0),0))</f>
        <v>2</v>
      </c>
      <c r="P4" s="47" t="str">
        <f>FormFields[[#This Row],[Form Name]]&amp;"/"&amp;FormFields[[#This Row],[Name]]</f>
        <v>User/NewUserForm/group</v>
      </c>
      <c r="Q4" s="45">
        <f>FormFields[[#This Row],[No]]</f>
        <v>2</v>
      </c>
      <c r="R4" s="52">
        <f>VLOOKUP(FormFields[[#This Row],[Form Name]],ResourceForms[[FormName]:[No]],2,0)</f>
        <v>1</v>
      </c>
      <c r="S4" s="56" t="s">
        <v>138</v>
      </c>
      <c r="T4" s="56" t="s">
        <v>234</v>
      </c>
      <c r="U4" s="56" t="s">
        <v>235</v>
      </c>
      <c r="V4" s="64" t="s">
        <v>862</v>
      </c>
      <c r="W4" s="64"/>
      <c r="X4" s="64"/>
      <c r="Y4" s="64"/>
      <c r="Z4" s="65" t="str">
        <f>'Table Seed Map'!$A$12&amp;"-"&amp;(COUNTIF($AB$2:FormFields[[#This Row],[Exists]],1)-1)</f>
        <v>Field Data-2</v>
      </c>
      <c r="AA4" s="60">
        <f>IF(FormFields[[#This Row],[Exists]]=1,IF(FormFields[[#This Row],[Exists]]="",$AA3,IF($AA3=0,IF(ISNUMBER(VLOOKUP('Table Seed Map'!$A$12,SeedMap[],9,0)),VLOOKUP('Table Seed Map'!$A$12,SeedMap[],9,0)+1,1),IFERROR($AA3+1,0))),$AA3)</f>
        <v>2</v>
      </c>
      <c r="AB4" s="63">
        <f>IF(AND(FormFields[[#This Row],[Attribute]]="",FormFields[[#This Row],[Relation]]=""),0,1)</f>
        <v>1</v>
      </c>
      <c r="AC4" s="63">
        <f>FormFields[[#This Row],[NO2]]</f>
        <v>2</v>
      </c>
      <c r="AD4" s="66">
        <f>[ID]</f>
        <v>2</v>
      </c>
      <c r="AE4" s="63" t="str">
        <f>[Name]</f>
        <v>group</v>
      </c>
      <c r="AF4" s="90">
        <f>IF(FormFields[[#This Row],[Rel]]="",IF(EXACT($AF3,FormFields[[#Headers],[Relation]]),"relation",""),VLOOKUP(FormFields[[#This Row],[Rel]],RelationTable[[Display]:[RELID]],2,0))</f>
        <v>1</v>
      </c>
      <c r="AG4" s="90" t="str">
        <f>IF(FormFields[[#This Row],[Rel1]]="",IF(EXACT($AG3,FormFields[[#Headers],[R1]]),"nest_relation1",""),VLOOKUP(FormFields[[#This Row],[Rel1]],RelationTable[[Display]:[RELID]],2,0))</f>
        <v/>
      </c>
      <c r="AH4" s="90" t="str">
        <f>IF(FormFields[[#This Row],[Rel2]]="",IF(EXACT($AH3,FormFields[[#Headers],[R2]]),"nest_relation2",""),VLOOKUP(FormFields[[#This Row],[Rel2]],RelationTable[[Display]:[RELID]],2,0))</f>
        <v/>
      </c>
      <c r="AI4" s="90" t="str">
        <f>IF(FormFields[[#This Row],[Rel3]]="",IF(EXACT($AI3,FormFields[[#Headers],[R3]]),"nest_relation3",""),VLOOKUP(FormFields[[#This Row],[Rel3]],RelationTable[[Display]:[RELID]],2,0))</f>
        <v/>
      </c>
      <c r="AJ4" s="45">
        <f>IF(OR(FormFields[[#This Row],[Option Type]]="",FormFields[[#This Row],[Option Type]]="type"),0,1)</f>
        <v>1</v>
      </c>
      <c r="AK4" s="45" t="str">
        <f>'Table Seed Map'!$A$13&amp;"-"&amp;COUNTIF($AJ$2:FormFields[[#This Row],[Exists FO]],1)</f>
        <v>Field Options-1</v>
      </c>
      <c r="AL4" s="45">
        <f>IF(FormFields[[#This Row],[Exists FO]]=0,$AL3,IF($AL3=0,IF(ISNUMBER(VLOOKUP('Table Seed Map'!$A$13,SeedMap[],9,0)),VLOOKUP('Table Seed Map'!$A$13,SeedMap[],9,0)+1,1),IFERROR($AL3+1,0)))</f>
        <v>1</v>
      </c>
      <c r="AM4" s="45">
        <f>FormFields[[#This Row],[NO4]]</f>
        <v>1</v>
      </c>
      <c r="AN4" s="48">
        <f>[ID]</f>
        <v>2</v>
      </c>
      <c r="AO4" s="72" t="s">
        <v>673</v>
      </c>
      <c r="AP4" s="72"/>
      <c r="AQ4" s="72" t="s">
        <v>21</v>
      </c>
      <c r="AR4" s="72" t="s">
        <v>30</v>
      </c>
      <c r="AS4" s="72" t="s">
        <v>674</v>
      </c>
      <c r="AT4" s="46">
        <f>IF(OR(FormFields[[#This Row],[Colspan]]="",FormFields[[#This Row],[Colspan]]="colspan"),0,1)</f>
        <v>1</v>
      </c>
      <c r="AU4" s="46" t="str">
        <f>'Table Seed Map'!$A$18&amp;"-"&amp;SUM($AT$2:FormFields[[#This Row],[Exists FL]])</f>
        <v>Form Layout-2</v>
      </c>
      <c r="AV4" s="46">
        <f>IF(FormFields[[#This Row],[Exists FL]]=0,IF(FormFields[[#This Row],[Form Name]]="","id",""),SUM($AT$3:FormFields[[#This Row],[Exists FL]],IF(VLOOKUP('Table Seed Map'!$A$18,SeedMap[],9,0),VLOOKUP('Table Seed Map'!$A$18,SeedMap[],9,0),0)))</f>
        <v>2</v>
      </c>
      <c r="AW4" s="45">
        <f>FormFields[[#This Row],[NO8]]</f>
        <v>2</v>
      </c>
      <c r="AX4" s="46">
        <f>[Form]</f>
        <v>1</v>
      </c>
      <c r="AY4" s="46">
        <f>[ID]</f>
        <v>2</v>
      </c>
      <c r="AZ4" s="74">
        <v>6</v>
      </c>
      <c r="BB4" s="2" t="s">
        <v>840</v>
      </c>
      <c r="BC4" s="6" t="str">
        <f>'Table Seed Map'!$A$14&amp;"-"&amp;(COUNTA($BB$2:FieldAttrs[[#This Row],[ATTR Field]]))</f>
        <v>Field Attrs-2</v>
      </c>
      <c r="BD4" s="16">
        <f>IF($BD3="id",IF(ISNUMBER(VLOOKUP('Table Seed Map'!$A$14,SeedMap[],9,0)),VLOOKUP('Table Seed Map'!$A$14,SeedMap[],9,0)+1,1),IFERROR($BD3+1,"id"))</f>
        <v>2</v>
      </c>
      <c r="BE4" s="38">
        <f>VLOOKUP([ATTR Field],FormFields[[Field Name]:[ID]],2,0)</f>
        <v>6</v>
      </c>
      <c r="BF4" s="38" t="s">
        <v>839</v>
      </c>
      <c r="BG4" s="38">
        <v>5</v>
      </c>
      <c r="BS4" s="17" t="str">
        <f>'Table Seed Map'!$A$20&amp;"-"&amp;COUNTA($BT$1:FormCollection[[#This Row],[Main Form for Collection]])-1</f>
        <v>Form Collection-2</v>
      </c>
      <c r="BT4" s="14" t="s">
        <v>991</v>
      </c>
      <c r="BU4" s="14" t="s">
        <v>1010</v>
      </c>
      <c r="BV4" s="14" t="s">
        <v>1013</v>
      </c>
      <c r="BW4" s="14" t="s">
        <v>1014</v>
      </c>
      <c r="BX4" s="31">
        <f>IF($BX3="id",IF(ISNUMBER(VLOOKUP('Table Seed Map'!$A$20,SeedMap[],9,0)),VLOOKUP('Table Seed Map'!$A$20,SeedMap[],9,0)+1,1),IFERROR($BX3+1,"id"))</f>
        <v>2</v>
      </c>
      <c r="BY4" s="31">
        <f>IFERROR(VLOOKUP([Main Form for Collection],ResourceForms[[FormName]:[ID]],4,0),"resource_form")</f>
        <v>7</v>
      </c>
      <c r="BZ4" s="31">
        <f>IFERROR(VLOOKUP([Collection Form],ResourceForms[[FormName]:[ID]],4,0),"collection_form")</f>
        <v>9</v>
      </c>
      <c r="CA4" s="17">
        <f>IFERROR(VLOOKUP([Relation],RelationTable[[Display]:[RELID]],2,0),"")</f>
        <v>15</v>
      </c>
      <c r="CB4" s="17">
        <f>IFERROR(VLOOKUP([Foreign Field],FormFields[[Field Name]:[ID]],2,0),"")</f>
        <v>43</v>
      </c>
      <c r="CZ4" s="1" t="s">
        <v>1109</v>
      </c>
      <c r="DA4" s="9" t="str">
        <f>'Table Seed Map'!$A$17&amp;"-"&amp;COUNTA($CZ$2:FieldDepends[[#This Row],[Field for Depend]])</f>
        <v>Field Depends-2</v>
      </c>
      <c r="DB4" s="16">
        <f>IF(FieldDepends[[#This Row],[Field for Depend]]="","id",COUNTA($CZ$3:FieldDepends[[#This Row],[Field for Depend]])+IF(VLOOKUP('Table Seed Map'!$A$17,SeedMap[],9,0),VLOOKUP('Table Seed Map'!$A$17,SeedMap[],9,0),0))</f>
        <v>2</v>
      </c>
      <c r="DC4" s="16">
        <f>IFERROR(VLOOKUP(FieldDepends[[#This Row],[Field for Depend]],FormFields[[Field Name]:[ID]],2,0),"form_field")</f>
        <v>23</v>
      </c>
      <c r="DD4" s="6" t="s">
        <v>23</v>
      </c>
      <c r="DE4" s="2"/>
      <c r="DF4" s="1"/>
      <c r="DG4" s="2"/>
      <c r="DH4" s="1" t="s">
        <v>1102</v>
      </c>
      <c r="DI4" s="2"/>
      <c r="DJ4" s="2" t="s">
        <v>674</v>
      </c>
    </row>
    <row r="5" spans="1:125">
      <c r="A5" s="16" t="str">
        <f>'Table Seed Map'!$A$10&amp;"-"&amp;(COUNTA($F$1:ResourceForms[[#This Row],[Resource]])-2)</f>
        <v>Resource Forms-3</v>
      </c>
      <c r="B5" s="16" t="str">
        <f>ResourceForms[[#This Row],[Resource Name]]&amp;"/"&amp;ResourceForms[[#This Row],[Name]]</f>
        <v>User/ChangeUserPassword</v>
      </c>
      <c r="C5" s="15">
        <f>IF(ResourceForms[[#This Row],[Resource Name]]="","",COUNTA($F$3:ResourceForms[[#This Row],[Resource]])+IF(VLOOKUP('Table Seed Map'!$A$10,SeedMap[],9,0),VLOOKUP('Table Seed Map'!$A$10,SeedMap[],9,0),0))</f>
        <v>3</v>
      </c>
      <c r="D5" s="14" t="s">
        <v>174</v>
      </c>
      <c r="E5" s="16">
        <f>ResourceForms[[#This Row],[No]]</f>
        <v>3</v>
      </c>
      <c r="F5" s="16">
        <f>VLOOKUP(ResourceForms[[#This Row],[Resource Name]],ResourceTable[[RName]:[RID]],2,0)</f>
        <v>1</v>
      </c>
      <c r="G5" s="9" t="s">
        <v>829</v>
      </c>
      <c r="H5" s="16" t="s">
        <v>831</v>
      </c>
      <c r="I5" s="9" t="s">
        <v>832</v>
      </c>
      <c r="J5" s="9" t="s">
        <v>833</v>
      </c>
      <c r="K5" s="86">
        <f>[ID]</f>
        <v>3</v>
      </c>
      <c r="M5" s="47" t="str">
        <f>'Table Seed Map'!$A$11&amp;"-"&amp;(COUNTA($Q$1:FormFields[[#This Row],[ID]])-2)</f>
        <v>Form Fields-3</v>
      </c>
      <c r="N5" s="37" t="s">
        <v>858</v>
      </c>
      <c r="O5" s="45">
        <f>IF(FormFields[[#This Row],[Form Name]]="","id",COUNTA($N$3:FormFields[[#This Row],[Form Name]])+IF(VLOOKUP('Table Seed Map'!$A$11,SeedMap[],9,0),VLOOKUP('Table Seed Map'!$A$11,SeedMap[],9,0),0))</f>
        <v>3</v>
      </c>
      <c r="P5" s="47" t="str">
        <f>FormFields[[#This Row],[Form Name]]&amp;"/"&amp;FormFields[[#This Row],[Name]]</f>
        <v>User/NewUserForm/email</v>
      </c>
      <c r="Q5" s="45">
        <f>FormFields[[#This Row],[No]]</f>
        <v>3</v>
      </c>
      <c r="R5" s="52">
        <f>VLOOKUP(FormFields[[#This Row],[Form Name]],ResourceForms[[FormName]:[No]],2,0)</f>
        <v>1</v>
      </c>
      <c r="S5" s="56" t="s">
        <v>232</v>
      </c>
      <c r="T5" s="56" t="s">
        <v>231</v>
      </c>
      <c r="U5" s="56" t="s">
        <v>233</v>
      </c>
      <c r="V5" s="64"/>
      <c r="W5" s="64"/>
      <c r="X5" s="64"/>
      <c r="Y5" s="64"/>
      <c r="Z5" s="65" t="str">
        <f>'Table Seed Map'!$A$12&amp;"-"&amp;(COUNTIF($AB$2:FormFields[[#This Row],[Exists]],1)-1)</f>
        <v>Field Data-3</v>
      </c>
      <c r="AA5" s="60">
        <f>IF(FormFields[[#This Row],[Exists]]=1,IF(FormFields[[#This Row],[Exists]]="",$AA4,IF($AA4=0,IF(ISNUMBER(VLOOKUP('Table Seed Map'!$A$12,SeedMap[],9,0)),VLOOKUP('Table Seed Map'!$A$12,SeedMap[],9,0)+1,1),IFERROR($AA4+1,0))),$AA4)</f>
        <v>3</v>
      </c>
      <c r="AB5" s="63">
        <f>IF(AND(FormFields[[#This Row],[Attribute]]="",FormFields[[#This Row],[Relation]]=""),0,1)</f>
        <v>1</v>
      </c>
      <c r="AC5" s="63">
        <f>FormFields[[#This Row],[NO2]]</f>
        <v>3</v>
      </c>
      <c r="AD5" s="66">
        <f>[ID]</f>
        <v>3</v>
      </c>
      <c r="AE5" s="63" t="str">
        <f>[Name]</f>
        <v>email</v>
      </c>
      <c r="AF5" s="90" t="str">
        <f>IF(FormFields[[#This Row],[Rel]]="",IF(EXACT($AF4,FormFields[[#Headers],[Relation]]),"relation",""),VLOOKUP(FormFields[[#This Row],[Rel]],RelationTable[[Display]:[RELID]],2,0))</f>
        <v/>
      </c>
      <c r="AG5" s="90" t="str">
        <f>IF(FormFields[[#This Row],[Rel1]]="",IF(EXACT($AG4,FormFields[[#Headers],[R1]]),"nest_relation1",""),VLOOKUP(FormFields[[#This Row],[Rel1]],RelationTable[[Display]:[RELID]],2,0))</f>
        <v/>
      </c>
      <c r="AH5" s="90" t="str">
        <f>IF(FormFields[[#This Row],[Rel2]]="",IF(EXACT($AH4,FormFields[[#Headers],[R2]]),"nest_relation2",""),VLOOKUP(FormFields[[#This Row],[Rel2]],RelationTable[[Display]:[RELID]],2,0))</f>
        <v/>
      </c>
      <c r="AI5" s="90" t="str">
        <f>IF(FormFields[[#This Row],[Rel3]]="",IF(EXACT($AI4,FormFields[[#Headers],[R3]]),"nest_relation3",""),VLOOKUP(FormFields[[#This Row],[Rel3]],RelationTable[[Display]:[RELID]],2,0))</f>
        <v/>
      </c>
      <c r="AJ5" s="45">
        <f>IF(OR(FormFields[[#This Row],[Option Type]]="",FormFields[[#This Row],[Option Type]]="type"),0,1)</f>
        <v>0</v>
      </c>
      <c r="AK5" s="45" t="str">
        <f>'Table Seed Map'!$A$13&amp;"-"&amp;COUNTIF($AJ$2:FormFields[[#This Row],[Exists FO]],1)</f>
        <v>Field Options-1</v>
      </c>
      <c r="AL5" s="45">
        <f>IF(FormFields[[#This Row],[Exists FO]]=0,$AL4,IF($AL4=0,IF(ISNUMBER(VLOOKUP('Table Seed Map'!$A$13,SeedMap[],9,0)),VLOOKUP('Table Seed Map'!$A$13,SeedMap[],9,0)+1,1),IFERROR($AL4+1,0)))</f>
        <v>1</v>
      </c>
      <c r="AM5" s="45">
        <f>FormFields[[#This Row],[NO4]]</f>
        <v>1</v>
      </c>
      <c r="AN5" s="48">
        <f>[ID]</f>
        <v>3</v>
      </c>
      <c r="AO5" s="72"/>
      <c r="AP5" s="72"/>
      <c r="AQ5" s="72"/>
      <c r="AR5" s="72"/>
      <c r="AS5" s="72"/>
      <c r="AT5" s="46">
        <f>IF(OR(FormFields[[#This Row],[Colspan]]="",FormFields[[#This Row],[Colspan]]="colspan"),0,1)</f>
        <v>1</v>
      </c>
      <c r="AU5" s="46" t="str">
        <f>'Table Seed Map'!$A$18&amp;"-"&amp;SUM($AT$2:FormFields[[#This Row],[Exists FL]])</f>
        <v>Form Layout-3</v>
      </c>
      <c r="AV5" s="46">
        <f>IF(FormFields[[#This Row],[Exists FL]]=0,IF(FormFields[[#This Row],[Form Name]]="","id",""),SUM($AT$3:FormFields[[#This Row],[Exists FL]],IF(VLOOKUP('Table Seed Map'!$A$18,SeedMap[],9,0),VLOOKUP('Table Seed Map'!$A$18,SeedMap[],9,0),0)))</f>
        <v>3</v>
      </c>
      <c r="AW5" s="45">
        <f>FormFields[[#This Row],[NO8]]</f>
        <v>3</v>
      </c>
      <c r="AX5" s="46">
        <f>[Form]</f>
        <v>1</v>
      </c>
      <c r="AY5" s="46">
        <f>[ID]</f>
        <v>3</v>
      </c>
      <c r="AZ5" s="74">
        <v>6</v>
      </c>
      <c r="BB5" s="2" t="s">
        <v>841</v>
      </c>
      <c r="BC5" s="6" t="str">
        <f>'Table Seed Map'!$A$14&amp;"-"&amp;(COUNTA($BB$2:FieldAttrs[[#This Row],[ATTR Field]]))</f>
        <v>Field Attrs-3</v>
      </c>
      <c r="BD5" s="16">
        <f>IF($BD4="id",IF(ISNUMBER(VLOOKUP('Table Seed Map'!$A$14,SeedMap[],9,0)),VLOOKUP('Table Seed Map'!$A$14,SeedMap[],9,0)+1,1),IFERROR($BD4+1,"id"))</f>
        <v>3</v>
      </c>
      <c r="BE5" s="38">
        <f>VLOOKUP([ATTR Field],FormFields[[Field Name]:[ID]],2,0)</f>
        <v>7</v>
      </c>
      <c r="BF5" s="38" t="s">
        <v>839</v>
      </c>
      <c r="BG5" s="38">
        <v>5</v>
      </c>
      <c r="CZ5" s="2" t="s">
        <v>1110</v>
      </c>
      <c r="DA5" s="9" t="str">
        <f>'Table Seed Map'!$A$17&amp;"-"&amp;COUNTA($CZ$2:FieldDepends[[#This Row],[Field for Depend]])</f>
        <v>Field Depends-3</v>
      </c>
      <c r="DB5" s="16">
        <f>IF(FieldDepends[[#This Row],[Field for Depend]]="","id",COUNTA($CZ$3:FieldDepends[[#This Row],[Field for Depend]])+IF(VLOOKUP('Table Seed Map'!$A$17,SeedMap[],9,0),VLOOKUP('Table Seed Map'!$A$17,SeedMap[],9,0),0))</f>
        <v>3</v>
      </c>
      <c r="DC5" s="16">
        <f>IFERROR(VLOOKUP(FieldDepends[[#This Row],[Field for Depend]],FormFields[[Field Name]:[ID]],2,0),"form_field")</f>
        <v>24</v>
      </c>
      <c r="DD5" s="9" t="s">
        <v>48</v>
      </c>
      <c r="DE5" s="2"/>
      <c r="DF5" s="2"/>
      <c r="DG5" s="2"/>
      <c r="DH5" s="1" t="s">
        <v>1103</v>
      </c>
      <c r="DI5" s="2"/>
      <c r="DJ5" s="2" t="s">
        <v>674</v>
      </c>
    </row>
    <row r="6" spans="1:125">
      <c r="A6" s="16" t="str">
        <f>'Table Seed Map'!$A$10&amp;"-"&amp;(COUNTA($F$1:ResourceForms[[#This Row],[Resource]])-2)</f>
        <v>Resource Forms-4</v>
      </c>
      <c r="B6" s="16" t="str">
        <f>ResourceForms[[#This Row],[Resource Name]]&amp;"/"&amp;ResourceForms[[#This Row],[Name]]</f>
        <v>Resource/NewResourceForm</v>
      </c>
      <c r="C6" s="15">
        <f>IF(ResourceForms[[#This Row],[Resource Name]]="","",COUNTA($F$3:ResourceForms[[#This Row],[Resource]])+IF(VLOOKUP('Table Seed Map'!$A$10,SeedMap[],9,0),VLOOKUP('Table Seed Map'!$A$10,SeedMap[],9,0),0))</f>
        <v>4</v>
      </c>
      <c r="D6" s="14" t="s">
        <v>204</v>
      </c>
      <c r="E6" s="16">
        <f>ResourceForms[[#This Row],[No]]</f>
        <v>4</v>
      </c>
      <c r="F6" s="16">
        <f>VLOOKUP(ResourceForms[[#This Row],[Resource Name]],ResourceTable[[RName]:[RID]],2,0)</f>
        <v>4</v>
      </c>
      <c r="G6" s="9" t="s">
        <v>968</v>
      </c>
      <c r="H6" s="16" t="s">
        <v>969</v>
      </c>
      <c r="I6" s="9" t="s">
        <v>970</v>
      </c>
      <c r="J6" s="9" t="s">
        <v>971</v>
      </c>
      <c r="K6" s="86">
        <f>[ID]</f>
        <v>4</v>
      </c>
      <c r="M6" s="49" t="str">
        <f>'Table Seed Map'!$A$11&amp;"-"&amp;(COUNTA($Q$1:FormFields[[#This Row],[ID]])-2)</f>
        <v>Form Fields-4</v>
      </c>
      <c r="N6" s="37" t="s">
        <v>858</v>
      </c>
      <c r="O6" s="45">
        <f>IF(FormFields[[#This Row],[Form Name]]="","id",COUNTA($N$3:FormFields[[#This Row],[Form Name]])+IF(VLOOKUP('Table Seed Map'!$A$11,SeedMap[],9,0),VLOOKUP('Table Seed Map'!$A$11,SeedMap[],9,0),0))</f>
        <v>4</v>
      </c>
      <c r="P6" s="47" t="str">
        <f>FormFields[[#This Row],[Form Name]]&amp;"/"&amp;FormFields[[#This Row],[Name]]</f>
        <v>User/NewUserForm/password</v>
      </c>
      <c r="Q6" s="45">
        <f>FormFields[[#This Row],[No]]</f>
        <v>4</v>
      </c>
      <c r="R6" s="52">
        <f>VLOOKUP(FormFields[[#This Row],[Form Name]],ResourceForms[[FormName]:[No]],2,0)</f>
        <v>1</v>
      </c>
      <c r="S6" s="56" t="s">
        <v>405</v>
      </c>
      <c r="T6" s="56" t="s">
        <v>405</v>
      </c>
      <c r="U6" s="56" t="s">
        <v>406</v>
      </c>
      <c r="V6" s="64"/>
      <c r="W6" s="64"/>
      <c r="X6" s="64"/>
      <c r="Y6" s="64"/>
      <c r="Z6" s="65" t="str">
        <f>'Table Seed Map'!$A$12&amp;"-"&amp;(COUNTIF($AB$2:FormFields[[#This Row],[Exists]],1)-1)</f>
        <v>Field Data-4</v>
      </c>
      <c r="AA6" s="60">
        <f>IF(FormFields[[#This Row],[Exists]]=1,IF(FormFields[[#This Row],[Exists]]="",$AA5,IF($AA5=0,IF(ISNUMBER(VLOOKUP('Table Seed Map'!$A$12,SeedMap[],9,0)),VLOOKUP('Table Seed Map'!$A$12,SeedMap[],9,0)+1,1),IFERROR($AA5+1,0))),$AA5)</f>
        <v>4</v>
      </c>
      <c r="AB6" s="63">
        <f>IF(AND(FormFields[[#This Row],[Attribute]]="",FormFields[[#This Row],[Relation]]=""),0,1)</f>
        <v>1</v>
      </c>
      <c r="AC6" s="63">
        <f>FormFields[[#This Row],[NO2]]</f>
        <v>4</v>
      </c>
      <c r="AD6" s="66">
        <f>[ID]</f>
        <v>4</v>
      </c>
      <c r="AE6" s="63" t="str">
        <f>[Name]</f>
        <v>password</v>
      </c>
      <c r="AF6" s="90" t="str">
        <f>IF(FormFields[[#This Row],[Rel]]="",IF(EXACT($AF5,FormFields[[#Headers],[Relation]]),"relation",""),VLOOKUP(FormFields[[#This Row],[Rel]],RelationTable[[Display]:[RELID]],2,0))</f>
        <v/>
      </c>
      <c r="AG6" s="90" t="str">
        <f>IF(FormFields[[#This Row],[Rel1]]="",IF(EXACT($AG5,FormFields[[#Headers],[R1]]),"nest_relation1",""),VLOOKUP(FormFields[[#This Row],[Rel1]],RelationTable[[Display]:[RELID]],2,0))</f>
        <v/>
      </c>
      <c r="AH6" s="90" t="str">
        <f>IF(FormFields[[#This Row],[Rel2]]="",IF(EXACT($AH5,FormFields[[#Headers],[R2]]),"nest_relation2",""),VLOOKUP(FormFields[[#This Row],[Rel2]],RelationTable[[Display]:[RELID]],2,0))</f>
        <v/>
      </c>
      <c r="AI6" s="90" t="str">
        <f>IF(FormFields[[#This Row],[Rel3]]="",IF(EXACT($AI5,FormFields[[#Headers],[R3]]),"nest_relation3",""),VLOOKUP(FormFields[[#This Row],[Rel3]],RelationTable[[Display]:[RELID]],2,0))</f>
        <v/>
      </c>
      <c r="AJ6" s="45">
        <f>IF(OR(FormFields[[#This Row],[Option Type]]="",FormFields[[#This Row],[Option Type]]="type"),0,1)</f>
        <v>0</v>
      </c>
      <c r="AK6" s="45" t="str">
        <f>'Table Seed Map'!$A$13&amp;"-"&amp;COUNTIF($AJ$2:FormFields[[#This Row],[Exists FO]],1)</f>
        <v>Field Options-1</v>
      </c>
      <c r="AL6" s="45">
        <f>IF(FormFields[[#This Row],[Exists FO]]=0,$AL5,IF($AL5=0,IF(ISNUMBER(VLOOKUP('Table Seed Map'!$A$13,SeedMap[],9,0)),VLOOKUP('Table Seed Map'!$A$13,SeedMap[],9,0)+1,1),IFERROR($AL5+1,0)))</f>
        <v>1</v>
      </c>
      <c r="AM6" s="45">
        <f>FormFields[[#This Row],[NO4]]</f>
        <v>1</v>
      </c>
      <c r="AN6" s="48">
        <f>[ID]</f>
        <v>4</v>
      </c>
      <c r="AO6" s="72"/>
      <c r="AP6" s="72"/>
      <c r="AQ6" s="72"/>
      <c r="AR6" s="72"/>
      <c r="AS6" s="72"/>
      <c r="AT6" s="46">
        <f>IF(OR(FormFields[[#This Row],[Colspan]]="",FormFields[[#This Row],[Colspan]]="colspan"),0,1)</f>
        <v>1</v>
      </c>
      <c r="AU6" s="46" t="str">
        <f>'Table Seed Map'!$A$18&amp;"-"&amp;SUM($AT$2:FormFields[[#This Row],[Exists FL]])</f>
        <v>Form Layout-4</v>
      </c>
      <c r="AV6" s="46">
        <f>IF(FormFields[[#This Row],[Exists FL]]=0,IF(FormFields[[#This Row],[Form Name]]="","id",""),SUM($AT$3:FormFields[[#This Row],[Exists FL]],IF(VLOOKUP('Table Seed Map'!$A$18,SeedMap[],9,0),VLOOKUP('Table Seed Map'!$A$18,SeedMap[],9,0),0)))</f>
        <v>4</v>
      </c>
      <c r="AW6" s="45">
        <f>FormFields[[#This Row],[NO8]]</f>
        <v>4</v>
      </c>
      <c r="AX6" s="46">
        <f>[Form]</f>
        <v>1</v>
      </c>
      <c r="AY6" s="46">
        <f>[ID]</f>
        <v>4</v>
      </c>
      <c r="AZ6" s="74">
        <v>6</v>
      </c>
      <c r="BB6" s="2" t="s">
        <v>837</v>
      </c>
      <c r="BC6" s="6" t="str">
        <f>'Table Seed Map'!$A$14&amp;"-"&amp;(COUNTA($BB$2:FieldAttrs[[#This Row],[ATTR Field]]))</f>
        <v>Field Attrs-4</v>
      </c>
      <c r="BD6" s="16">
        <f>IF($BD5="id",IF(ISNUMBER(VLOOKUP('Table Seed Map'!$A$14,SeedMap[],9,0)),VLOOKUP('Table Seed Map'!$A$14,SeedMap[],9,0)+1,1),IFERROR($BD5+1,"id"))</f>
        <v>4</v>
      </c>
      <c r="BE6" s="38">
        <f>VLOOKUP([ATTR Field],FormFields[[Field Name]:[ID]],2,0)</f>
        <v>8</v>
      </c>
      <c r="BF6" s="38" t="s">
        <v>839</v>
      </c>
      <c r="BG6" s="39">
        <v>4</v>
      </c>
      <c r="CZ6" s="2" t="s">
        <v>1110</v>
      </c>
      <c r="DA6" s="9" t="str">
        <f>'Table Seed Map'!$A$17&amp;"-"&amp;COUNTA($CZ$2:FieldDepends[[#This Row],[Field for Depend]])</f>
        <v>Field Depends-4</v>
      </c>
      <c r="DB6" s="16">
        <f>IF(FieldDepends[[#This Row],[Field for Depend]]="","id",COUNTA($CZ$3:FieldDepends[[#This Row],[Field for Depend]])+IF(VLOOKUP('Table Seed Map'!$A$17,SeedMap[],9,0),VLOOKUP('Table Seed Map'!$A$17,SeedMap[],9,0),0))</f>
        <v>4</v>
      </c>
      <c r="DC6" s="16">
        <f>IFERROR(VLOOKUP(FieldDepends[[#This Row],[Field for Depend]],FormFields[[Field Name]:[ID]],2,0),"form_field")</f>
        <v>24</v>
      </c>
      <c r="DD6" s="9" t="s">
        <v>23</v>
      </c>
      <c r="DE6" s="2"/>
      <c r="DF6" s="2"/>
      <c r="DG6" s="2"/>
      <c r="DH6" s="1" t="s">
        <v>1103</v>
      </c>
      <c r="DI6" s="2"/>
      <c r="DJ6" s="2" t="s">
        <v>674</v>
      </c>
    </row>
    <row r="7" spans="1:125">
      <c r="A7" s="16" t="str">
        <f>'Table Seed Map'!$A$10&amp;"-"&amp;(COUNTA($F$1:ResourceForms[[#This Row],[Resource]])-2)</f>
        <v>Resource Forms-5</v>
      </c>
      <c r="B7" s="16" t="str">
        <f>ResourceForms[[#This Row],[Resource Name]]&amp;"/"&amp;ResourceForms[[#This Row],[Name]]</f>
        <v>ResourceAction/NewActionForm</v>
      </c>
      <c r="C7" s="15">
        <f>IF(ResourceForms[[#This Row],[Resource Name]]="","",COUNTA($F$3:ResourceForms[[#This Row],[Resource]])+IF(VLOOKUP('Table Seed Map'!$A$10,SeedMap[],9,0),VLOOKUP('Table Seed Map'!$A$10,SeedMap[],9,0),0))</f>
        <v>5</v>
      </c>
      <c r="D7" s="14" t="s">
        <v>256</v>
      </c>
      <c r="E7" s="16">
        <f>ResourceForms[[#This Row],[No]]</f>
        <v>5</v>
      </c>
      <c r="F7" s="16">
        <f>VLOOKUP(ResourceForms[[#This Row],[Resource Name]],ResourceTable[[RName]:[RID]],2,0)</f>
        <v>30</v>
      </c>
      <c r="G7" s="9" t="s">
        <v>1079</v>
      </c>
      <c r="H7" s="16" t="s">
        <v>1076</v>
      </c>
      <c r="I7" s="9" t="s">
        <v>1077</v>
      </c>
      <c r="J7" s="9" t="s">
        <v>1078</v>
      </c>
      <c r="K7" s="86">
        <f>[ID]</f>
        <v>5</v>
      </c>
      <c r="M7" s="49" t="str">
        <f>'Table Seed Map'!$A$11&amp;"-"&amp;(COUNTA($Q$1:FormFields[[#This Row],[ID]])-2)</f>
        <v>Form Fields-5</v>
      </c>
      <c r="N7" s="53" t="s">
        <v>859</v>
      </c>
      <c r="O7" s="46">
        <f>IF(FormFields[[#This Row],[Form Name]]="","id",COUNTA($N$3:FormFields[[#This Row],[Form Name]])+IF(VLOOKUP('Table Seed Map'!$A$11,SeedMap[],9,0),VLOOKUP('Table Seed Map'!$A$11,SeedMap[],9,0),0))</f>
        <v>5</v>
      </c>
      <c r="P7" s="49" t="str">
        <f>FormFields[[#This Row],[Form Name]]&amp;"/"&amp;FormFields[[#This Row],[Name]]</f>
        <v>User/UpdateUserForm/name</v>
      </c>
      <c r="Q7" s="45">
        <f>FormFields[[#This Row],[No]]</f>
        <v>5</v>
      </c>
      <c r="R7" s="52">
        <f>VLOOKUP(FormFields[[#This Row],[Form Name]],ResourceForms[[FormName]:[No]],2,0)</f>
        <v>2</v>
      </c>
      <c r="S7" s="56" t="s">
        <v>26</v>
      </c>
      <c r="T7" s="56" t="s">
        <v>231</v>
      </c>
      <c r="U7" s="56" t="s">
        <v>1</v>
      </c>
      <c r="V7" s="64"/>
      <c r="W7" s="64"/>
      <c r="X7" s="64"/>
      <c r="Y7" s="64"/>
      <c r="Z7" s="65" t="str">
        <f>'Table Seed Map'!$A$12&amp;"-"&amp;(COUNTIF($AB$2:FormFields[[#This Row],[Exists]],1)-1)</f>
        <v>Field Data-5</v>
      </c>
      <c r="AA7" s="60">
        <f>IF(FormFields[[#This Row],[Exists]]=1,IF(FormFields[[#This Row],[Exists]]="",$AA6,IF($AA6=0,IF(ISNUMBER(VLOOKUP('Table Seed Map'!$A$12,SeedMap[],9,0)),VLOOKUP('Table Seed Map'!$A$12,SeedMap[],9,0)+1,1),IFERROR($AA6+1,0))),$AA6)</f>
        <v>5</v>
      </c>
      <c r="AB7" s="63">
        <f>IF(AND(FormFields[[#This Row],[Attribute]]="",FormFields[[#This Row],[Relation]]=""),0,1)</f>
        <v>1</v>
      </c>
      <c r="AC7" s="63">
        <f>FormFields[[#This Row],[NO2]]</f>
        <v>5</v>
      </c>
      <c r="AD7" s="66">
        <f>[ID]</f>
        <v>5</v>
      </c>
      <c r="AE7" s="63" t="str">
        <f>[Name]</f>
        <v>name</v>
      </c>
      <c r="AF7" s="90" t="str">
        <f>IF(FormFields[[#This Row],[Rel]]="",IF(EXACT($AF6,FormFields[[#Headers],[Relation]]),"relation",""),VLOOKUP(FormFields[[#This Row],[Rel]],RelationTable[[Display]:[RELID]],2,0))</f>
        <v/>
      </c>
      <c r="AG7" s="90" t="str">
        <f>IF(FormFields[[#This Row],[Rel1]]="",IF(EXACT($AG6,FormFields[[#Headers],[R1]]),"nest_relation1",""),VLOOKUP(FormFields[[#This Row],[Rel1]],RelationTable[[Display]:[RELID]],2,0))</f>
        <v/>
      </c>
      <c r="AH7" s="90" t="str">
        <f>IF(FormFields[[#This Row],[Rel2]]="",IF(EXACT($AH6,FormFields[[#Headers],[R2]]),"nest_relation2",""),VLOOKUP(FormFields[[#This Row],[Rel2]],RelationTable[[Display]:[RELID]],2,0))</f>
        <v/>
      </c>
      <c r="AI7" s="90" t="str">
        <f>IF(FormFields[[#This Row],[Rel3]]="",IF(EXACT($AI6,FormFields[[#Headers],[R3]]),"nest_relation3",""),VLOOKUP(FormFields[[#This Row],[Rel3]],RelationTable[[Display]:[RELID]],2,0))</f>
        <v/>
      </c>
      <c r="AJ7" s="45">
        <f>IF(OR(FormFields[[#This Row],[Option Type]]="",FormFields[[#This Row],[Option Type]]="type"),0,1)</f>
        <v>0</v>
      </c>
      <c r="AK7" s="45" t="str">
        <f>'Table Seed Map'!$A$13&amp;"-"&amp;COUNTIF($AJ$2:FormFields[[#This Row],[Exists FO]],1)</f>
        <v>Field Options-1</v>
      </c>
      <c r="AL7" s="45">
        <f>IF(FormFields[[#This Row],[Exists FO]]=0,$AL6,IF($AL6=0,IF(ISNUMBER(VLOOKUP('Table Seed Map'!$A$13,SeedMap[],9,0)),VLOOKUP('Table Seed Map'!$A$13,SeedMap[],9,0)+1,1),IFERROR($AL6+1,0)))</f>
        <v>1</v>
      </c>
      <c r="AM7" s="45">
        <f>FormFields[[#This Row],[NO4]]</f>
        <v>1</v>
      </c>
      <c r="AN7" s="48">
        <f>[ID]</f>
        <v>5</v>
      </c>
      <c r="AO7" s="72"/>
      <c r="AP7" s="72"/>
      <c r="AQ7" s="72"/>
      <c r="AR7" s="72"/>
      <c r="AS7" s="72"/>
      <c r="AT7" s="46">
        <f>IF(OR(FormFields[[#This Row],[Colspan]]="",FormFields[[#This Row],[Colspan]]="colspan"),0,1)</f>
        <v>0</v>
      </c>
      <c r="AU7" s="46" t="str">
        <f>'Table Seed Map'!$A$18&amp;"-"&amp;SUM($AT$2:FormFields[[#This Row],[Exists FL]])</f>
        <v>Form Layout-4</v>
      </c>
      <c r="AV7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7" s="45" t="str">
        <f>FormFields[[#This Row],[NO8]]</f>
        <v/>
      </c>
      <c r="AX7" s="46">
        <f>[Form]</f>
        <v>2</v>
      </c>
      <c r="AY7" s="46">
        <f>[ID]</f>
        <v>5</v>
      </c>
      <c r="AZ7" s="74"/>
      <c r="CZ7" s="2" t="s">
        <v>1116</v>
      </c>
      <c r="DA7" s="9" t="str">
        <f>'Table Seed Map'!$A$17&amp;"-"&amp;COUNTA($CZ$2:FieldDepends[[#This Row],[Field for Depend]])</f>
        <v>Field Depends-5</v>
      </c>
      <c r="DB7" s="16">
        <f>IF(FieldDepends[[#This Row],[Field for Depend]]="","id",COUNTA($CZ$3:FieldDepends[[#This Row],[Field for Depend]])+IF(VLOOKUP('Table Seed Map'!$A$17,SeedMap[],9,0),VLOOKUP('Table Seed Map'!$A$17,SeedMap[],9,0),0))</f>
        <v>5</v>
      </c>
      <c r="DC7" s="16">
        <f>IFERROR(VLOOKUP(FieldDepends[[#This Row],[Field for Depend]],FormFields[[Field Name]:[ID]],2,0),"form_field")</f>
        <v>31</v>
      </c>
      <c r="DD7" s="6" t="s">
        <v>48</v>
      </c>
      <c r="DE7" s="2"/>
      <c r="DF7" s="2"/>
      <c r="DG7" s="2"/>
      <c r="DH7" s="1" t="s">
        <v>1102</v>
      </c>
      <c r="DI7" s="2"/>
      <c r="DJ7" s="2" t="s">
        <v>674</v>
      </c>
    </row>
    <row r="8" spans="1:125">
      <c r="A8" s="16" t="str">
        <f>'Table Seed Map'!$A$10&amp;"-"&amp;(COUNTA($F$1:ResourceForms[[#This Row],[Resource]])-2)</f>
        <v>Resource Forms-6</v>
      </c>
      <c r="B8" s="16" t="str">
        <f>ResourceForms[[#This Row],[Resource Name]]&amp;"/"&amp;ResourceForms[[#This Row],[Name]]</f>
        <v>ResourceAction/AddActionForm</v>
      </c>
      <c r="C8" s="15">
        <f>IF(ResourceForms[[#This Row],[Resource Name]]="","",COUNTA($F$3:ResourceForms[[#This Row],[Resource]])+IF(VLOOKUP('Table Seed Map'!$A$10,SeedMap[],9,0),VLOOKUP('Table Seed Map'!$A$10,SeedMap[],9,0),0))</f>
        <v>6</v>
      </c>
      <c r="D8" s="14" t="s">
        <v>256</v>
      </c>
      <c r="E8" s="16">
        <f>ResourceForms[[#This Row],[No]]</f>
        <v>6</v>
      </c>
      <c r="F8" s="16">
        <f>VLOOKUP(ResourceForms[[#This Row],[Resource Name]],ResourceTable[[RName]:[RID]],2,0)</f>
        <v>30</v>
      </c>
      <c r="G8" s="9" t="s">
        <v>1080</v>
      </c>
      <c r="H8" s="16" t="s">
        <v>1081</v>
      </c>
      <c r="I8" s="9" t="s">
        <v>1082</v>
      </c>
      <c r="J8" s="9" t="s">
        <v>1082</v>
      </c>
      <c r="K8" s="86">
        <f>[ID]</f>
        <v>6</v>
      </c>
      <c r="M8" s="49" t="str">
        <f>'Table Seed Map'!$A$11&amp;"-"&amp;(COUNTA($Q$1:FormFields[[#This Row],[ID]])-2)</f>
        <v>Form Fields-6</v>
      </c>
      <c r="N8" s="53" t="s">
        <v>859</v>
      </c>
      <c r="O8" s="46">
        <f>IF(FormFields[[#This Row],[Form Name]]="","id",COUNTA($N$3:FormFields[[#This Row],[Form Name]])+IF(VLOOKUP('Table Seed Map'!$A$11,SeedMap[],9,0),VLOOKUP('Table Seed Map'!$A$11,SeedMap[],9,0),0))</f>
        <v>6</v>
      </c>
      <c r="P8" s="49" t="str">
        <f>FormFields[[#This Row],[Form Name]]&amp;"/"&amp;FormFields[[#This Row],[Name]]</f>
        <v>User/UpdateUserForm/email</v>
      </c>
      <c r="Q8" s="45">
        <f>FormFields[[#This Row],[No]]</f>
        <v>6</v>
      </c>
      <c r="R8" s="52">
        <f>VLOOKUP(FormFields[[#This Row],[Form Name]],ResourceForms[[FormName]:[No]],2,0)</f>
        <v>2</v>
      </c>
      <c r="S8" s="55" t="s">
        <v>232</v>
      </c>
      <c r="T8" s="55" t="s">
        <v>231</v>
      </c>
      <c r="U8" s="55" t="s">
        <v>233</v>
      </c>
      <c r="V8" s="58"/>
      <c r="W8" s="58"/>
      <c r="X8" s="58"/>
      <c r="Y8" s="58"/>
      <c r="Z8" s="59" t="str">
        <f>'Table Seed Map'!$A$12&amp;"-"&amp;(COUNTIF($AB$2:FormFields[[#This Row],[Exists]],1)-1)</f>
        <v>Field Data-6</v>
      </c>
      <c r="AA8" s="60">
        <f>IF(FormFields[[#This Row],[Exists]]=1,IF(FormFields[[#This Row],[Exists]]="",$AA7,IF($AA7=0,IF(ISNUMBER(VLOOKUP('Table Seed Map'!$A$12,SeedMap[],9,0)),VLOOKUP('Table Seed Map'!$A$12,SeedMap[],9,0)+1,1),IFERROR($AA7+1,0))),$AA7)</f>
        <v>6</v>
      </c>
      <c r="AB8" s="60">
        <f>IF(AND(FormFields[[#This Row],[Attribute]]="",FormFields[[#This Row],[Relation]]=""),0,1)</f>
        <v>1</v>
      </c>
      <c r="AC8" s="60">
        <f>FormFields[[#This Row],[NO2]]</f>
        <v>6</v>
      </c>
      <c r="AD8" s="62">
        <f>[ID]</f>
        <v>6</v>
      </c>
      <c r="AE8" s="60" t="str">
        <f>[Name]</f>
        <v>email</v>
      </c>
      <c r="AF8" s="90" t="str">
        <f>IF(FormFields[[#This Row],[Rel]]="",IF(EXACT($AF7,FormFields[[#Headers],[Relation]]),"relation",""),VLOOKUP(FormFields[[#This Row],[Rel]],RelationTable[[Display]:[RELID]],2,0))</f>
        <v/>
      </c>
      <c r="AG8" s="90" t="str">
        <f>IF(FormFields[[#This Row],[Rel1]]="",IF(EXACT($AG7,FormFields[[#Headers],[R1]]),"nest_relation1",""),VLOOKUP(FormFields[[#This Row],[Rel1]],RelationTable[[Display]:[RELID]],2,0))</f>
        <v/>
      </c>
      <c r="AH8" s="90" t="str">
        <f>IF(FormFields[[#This Row],[Rel2]]="",IF(EXACT($AH7,FormFields[[#Headers],[R2]]),"nest_relation2",""),VLOOKUP(FormFields[[#This Row],[Rel2]],RelationTable[[Display]:[RELID]],2,0))</f>
        <v/>
      </c>
      <c r="AI8" s="90" t="str">
        <f>IF(FormFields[[#This Row],[Rel3]]="",IF(EXACT($AI7,FormFields[[#Headers],[R3]]),"nest_relation3",""),VLOOKUP(FormFields[[#This Row],[Rel3]],RelationTable[[Display]:[RELID]],2,0))</f>
        <v/>
      </c>
      <c r="AJ8" s="45">
        <f>IF(OR(FormFields[[#This Row],[Option Type]]="",FormFields[[#This Row],[Option Type]]="type"),0,1)</f>
        <v>0</v>
      </c>
      <c r="AK8" s="45" t="str">
        <f>'Table Seed Map'!$A$13&amp;"-"&amp;COUNTIF($AJ$2:FormFields[[#This Row],[Exists FO]],1)</f>
        <v>Field Options-1</v>
      </c>
      <c r="AL8" s="45">
        <f>IF(FormFields[[#This Row],[Exists FO]]=0,$AL7,IF($AL7=0,IF(ISNUMBER(VLOOKUP('Table Seed Map'!$A$13,SeedMap[],9,0)),VLOOKUP('Table Seed Map'!$A$13,SeedMap[],9,0)+1,1),IFERROR($AL7+1,0)))</f>
        <v>1</v>
      </c>
      <c r="AM8" s="45">
        <f>FormFields[[#This Row],[NO4]]</f>
        <v>1</v>
      </c>
      <c r="AN8" s="38">
        <f>[ID]</f>
        <v>6</v>
      </c>
      <c r="AO8" s="71"/>
      <c r="AP8" s="71"/>
      <c r="AQ8" s="71"/>
      <c r="AR8" s="71"/>
      <c r="AS8" s="71"/>
      <c r="AT8" s="45">
        <f>IF(OR(FormFields[[#This Row],[Colspan]]="",FormFields[[#This Row],[Colspan]]="colspan"),0,1)</f>
        <v>0</v>
      </c>
      <c r="AU8" s="45" t="str">
        <f>'Table Seed Map'!$A$18&amp;"-"&amp;SUM($AT$2:FormFields[[#This Row],[Exists FL]])</f>
        <v>Form Layout-4</v>
      </c>
      <c r="AV8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8" s="45" t="str">
        <f>FormFields[[#This Row],[NO8]]</f>
        <v/>
      </c>
      <c r="AX8" s="45">
        <f>[Form]</f>
        <v>2</v>
      </c>
      <c r="AY8" s="45">
        <f>[ID]</f>
        <v>6</v>
      </c>
      <c r="AZ8" s="61"/>
      <c r="CZ8" s="2" t="s">
        <v>1116</v>
      </c>
      <c r="DA8" s="9" t="str">
        <f>'Table Seed Map'!$A$17&amp;"-"&amp;COUNTA($CZ$2:FieldDepends[[#This Row],[Field for Depend]])</f>
        <v>Field Depends-6</v>
      </c>
      <c r="DB8" s="16">
        <f>IF(FieldDepends[[#This Row],[Field for Depend]]="","id",COUNTA($CZ$3:FieldDepends[[#This Row],[Field for Depend]])+IF(VLOOKUP('Table Seed Map'!$A$17,SeedMap[],9,0),VLOOKUP('Table Seed Map'!$A$17,SeedMap[],9,0),0))</f>
        <v>6</v>
      </c>
      <c r="DC8" s="16">
        <f>IFERROR(VLOOKUP(FieldDepends[[#This Row],[Field for Depend]],FormFields[[Field Name]:[ID]],2,0),"form_field")</f>
        <v>31</v>
      </c>
      <c r="DD8" s="6" t="s">
        <v>23</v>
      </c>
      <c r="DE8" s="2"/>
      <c r="DF8" s="2"/>
      <c r="DG8" s="2"/>
      <c r="DH8" s="1" t="s">
        <v>1102</v>
      </c>
      <c r="DI8" s="2"/>
      <c r="DJ8" s="2" t="s">
        <v>674</v>
      </c>
    </row>
    <row r="9" spans="1:125">
      <c r="A9" s="16" t="str">
        <f>'Table Seed Map'!$A$10&amp;"-"&amp;(COUNTA($F$1:ResourceForms[[#This Row],[Resource]])-2)</f>
        <v>Resource Forms-7</v>
      </c>
      <c r="B9" s="16" t="str">
        <f>ResourceForms[[#This Row],[Resource Name]]&amp;"/"&amp;ResourceForms[[#This Row],[Name]]</f>
        <v>ResourceForm/NewFormForm</v>
      </c>
      <c r="C9" s="15">
        <f>IF(ResourceForms[[#This Row],[Resource Name]]="","",COUNTA($F$3:ResourceForms[[#This Row],[Resource]])+IF(VLOOKUP('Table Seed Map'!$A$10,SeedMap[],9,0),VLOOKUP('Table Seed Map'!$A$10,SeedMap[],9,0),0))</f>
        <v>7</v>
      </c>
      <c r="D9" s="14" t="s">
        <v>311</v>
      </c>
      <c r="E9" s="16">
        <f>ResourceForms[[#This Row],[No]]</f>
        <v>7</v>
      </c>
      <c r="F9" s="16">
        <f>VLOOKUP(ResourceForms[[#This Row],[Resource Name]],ResourceTable[[RName]:[RID]],2,0)</f>
        <v>8</v>
      </c>
      <c r="G9" s="9" t="s">
        <v>987</v>
      </c>
      <c r="H9" s="16" t="s">
        <v>988</v>
      </c>
      <c r="I9" s="9" t="s">
        <v>989</v>
      </c>
      <c r="J9" s="9" t="s">
        <v>990</v>
      </c>
      <c r="K9" s="86">
        <f>[ID]</f>
        <v>7</v>
      </c>
      <c r="M9" s="49" t="str">
        <f>'Table Seed Map'!$A$11&amp;"-"&amp;(COUNTA($Q$1:FormFields[[#This Row],[ID]])-2)</f>
        <v>Form Fields-7</v>
      </c>
      <c r="N9" s="53" t="s">
        <v>859</v>
      </c>
      <c r="O9" s="46">
        <f>IF(FormFields[[#This Row],[Form Name]]="","id",COUNTA($N$3:FormFields[[#This Row],[Form Name]])+IF(VLOOKUP('Table Seed Map'!$A$11,SeedMap[],9,0),VLOOKUP('Table Seed Map'!$A$11,SeedMap[],9,0),0))</f>
        <v>7</v>
      </c>
      <c r="P9" s="49" t="str">
        <f>FormFields[[#This Row],[Form Name]]&amp;"/"&amp;FormFields[[#This Row],[Name]]</f>
        <v>User/UpdateUserForm/group</v>
      </c>
      <c r="Q9" s="45">
        <f>FormFields[[#This Row],[No]]</f>
        <v>7</v>
      </c>
      <c r="R9" s="52">
        <f>VLOOKUP(FormFields[[#This Row],[Form Name]],ResourceForms[[FormName]:[No]],2,0)</f>
        <v>2</v>
      </c>
      <c r="S9" s="55" t="s">
        <v>138</v>
      </c>
      <c r="T9" s="55" t="s">
        <v>828</v>
      </c>
      <c r="U9" s="55" t="s">
        <v>235</v>
      </c>
      <c r="V9" s="58" t="s">
        <v>862</v>
      </c>
      <c r="W9" s="58"/>
      <c r="X9" s="58"/>
      <c r="Y9" s="58"/>
      <c r="Z9" s="59" t="str">
        <f>'Table Seed Map'!$A$12&amp;"-"&amp;(COUNTIF($AB$2:FormFields[[#This Row],[Exists]],1)-1)</f>
        <v>Field Data-7</v>
      </c>
      <c r="AA9" s="60">
        <f>IF(FormFields[[#This Row],[Exists]]=1,IF(FormFields[[#This Row],[Exists]]="",$AA8,IF($AA8=0,IF(ISNUMBER(VLOOKUP('Table Seed Map'!$A$12,SeedMap[],9,0)),VLOOKUP('Table Seed Map'!$A$12,SeedMap[],9,0)+1,1),IFERROR($AA8+1,0))),$AA8)</f>
        <v>7</v>
      </c>
      <c r="AB9" s="60">
        <f>IF(AND(FormFields[[#This Row],[Attribute]]="",FormFields[[#This Row],[Relation]]=""),0,1)</f>
        <v>1</v>
      </c>
      <c r="AC9" s="60">
        <f>FormFields[[#This Row],[NO2]]</f>
        <v>7</v>
      </c>
      <c r="AD9" s="62">
        <f>[ID]</f>
        <v>7</v>
      </c>
      <c r="AE9" s="60" t="str">
        <f>[Name]</f>
        <v>group</v>
      </c>
      <c r="AF9" s="90">
        <f>IF(FormFields[[#This Row],[Rel]]="",IF(EXACT($AF8,FormFields[[#Headers],[Relation]]),"relation",""),VLOOKUP(FormFields[[#This Row],[Rel]],RelationTable[[Display]:[RELID]],2,0))</f>
        <v>1</v>
      </c>
      <c r="AG9" s="90" t="str">
        <f>IF(FormFields[[#This Row],[Rel1]]="",IF(EXACT($AG8,FormFields[[#Headers],[R1]]),"nest_relation1",""),VLOOKUP(FormFields[[#This Row],[Rel1]],RelationTable[[Display]:[RELID]],2,0))</f>
        <v/>
      </c>
      <c r="AH9" s="90" t="str">
        <f>IF(FormFields[[#This Row],[Rel2]]="",IF(EXACT($AH8,FormFields[[#Headers],[R2]]),"nest_relation2",""),VLOOKUP(FormFields[[#This Row],[Rel2]],RelationTable[[Display]:[RELID]],2,0))</f>
        <v/>
      </c>
      <c r="AI9" s="90" t="str">
        <f>IF(FormFields[[#This Row],[Rel3]]="",IF(EXACT($AI8,FormFields[[#Headers],[R3]]),"nest_relation3",""),VLOOKUP(FormFields[[#This Row],[Rel3]],RelationTable[[Display]:[RELID]],2,0))</f>
        <v/>
      </c>
      <c r="AJ9" s="45">
        <f>IF(OR(FormFields[[#This Row],[Option Type]]="",FormFields[[#This Row],[Option Type]]="type"),0,1)</f>
        <v>1</v>
      </c>
      <c r="AK9" s="45" t="str">
        <f>'Table Seed Map'!$A$13&amp;"-"&amp;COUNTIF($AJ$2:FormFields[[#This Row],[Exists FO]],1)</f>
        <v>Field Options-2</v>
      </c>
      <c r="AL9" s="45">
        <f>IF(FormFields[[#This Row],[Exists FO]]=0,$AL8,IF($AL8=0,IF(ISNUMBER(VLOOKUP('Table Seed Map'!$A$13,SeedMap[],9,0)),VLOOKUP('Table Seed Map'!$A$13,SeedMap[],9,0)+1,1),IFERROR($AL8+1,0)))</f>
        <v>2</v>
      </c>
      <c r="AM9" s="45">
        <f>FormFields[[#This Row],[NO4]]</f>
        <v>2</v>
      </c>
      <c r="AN9" s="38">
        <f>[ID]</f>
        <v>7</v>
      </c>
      <c r="AO9" s="71" t="s">
        <v>673</v>
      </c>
      <c r="AP9" s="71"/>
      <c r="AQ9" s="71" t="s">
        <v>21</v>
      </c>
      <c r="AR9" s="71" t="s">
        <v>30</v>
      </c>
      <c r="AS9" s="71" t="s">
        <v>674</v>
      </c>
      <c r="AT9" s="45">
        <f>IF(OR(FormFields[[#This Row],[Colspan]]="",FormFields[[#This Row],[Colspan]]="colspan"),0,1)</f>
        <v>0</v>
      </c>
      <c r="AU9" s="45" t="str">
        <f>'Table Seed Map'!$A$18&amp;"-"&amp;SUM($AT$2:FormFields[[#This Row],[Exists FL]])</f>
        <v>Form Layout-4</v>
      </c>
      <c r="AV9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9" s="45" t="str">
        <f>FormFields[[#This Row],[NO8]]</f>
        <v/>
      </c>
      <c r="AX9" s="45">
        <f>[Form]</f>
        <v>2</v>
      </c>
      <c r="AY9" s="45">
        <f>[ID]</f>
        <v>7</v>
      </c>
      <c r="AZ9" s="61"/>
      <c r="CZ9" s="2" t="s">
        <v>1117</v>
      </c>
      <c r="DA9" s="9" t="str">
        <f>'Table Seed Map'!$A$17&amp;"-"&amp;COUNTA($CZ$2:FieldDepends[[#This Row],[Field for Depend]])</f>
        <v>Field Depends-7</v>
      </c>
      <c r="DB9" s="16">
        <f>IF(FieldDepends[[#This Row],[Field for Depend]]="","id",COUNTA($CZ$3:FieldDepends[[#This Row],[Field for Depend]])+IF(VLOOKUP('Table Seed Map'!$A$17,SeedMap[],9,0),VLOOKUP('Table Seed Map'!$A$17,SeedMap[],9,0),0))</f>
        <v>7</v>
      </c>
      <c r="DC9" s="16">
        <f>IFERROR(VLOOKUP(FieldDepends[[#This Row],[Field for Depend]],FormFields[[Field Name]:[ID]],2,0),"form_field")</f>
        <v>32</v>
      </c>
      <c r="DD9" s="9" t="s">
        <v>48</v>
      </c>
      <c r="DE9" s="2"/>
      <c r="DF9" s="2"/>
      <c r="DG9" s="2"/>
      <c r="DH9" s="1" t="s">
        <v>1103</v>
      </c>
      <c r="DI9" s="2"/>
      <c r="DJ9" s="2" t="s">
        <v>674</v>
      </c>
    </row>
    <row r="10" spans="1:125">
      <c r="A10" s="16" t="str">
        <f>'Table Seed Map'!$A$10&amp;"-"&amp;(COUNTA($F$1:ResourceForms[[#This Row],[Resource]])-2)</f>
        <v>Resource Forms-8</v>
      </c>
      <c r="B10" s="16" t="str">
        <f>ResourceForms[[#This Row],[Resource Name]]&amp;"/"&amp;ResourceForms[[#This Row],[Name]]</f>
        <v>ResourceForm/AddResourceForm</v>
      </c>
      <c r="C10" s="15">
        <f>IF(ResourceForms[[#This Row],[Resource Name]]="","",COUNTA($F$3:ResourceForms[[#This Row],[Resource]])+IF(VLOOKUP('Table Seed Map'!$A$10,SeedMap[],9,0),VLOOKUP('Table Seed Map'!$A$10,SeedMap[],9,0),0))</f>
        <v>8</v>
      </c>
      <c r="D10" s="14" t="s">
        <v>311</v>
      </c>
      <c r="E10" s="16">
        <f>ResourceForms[[#This Row],[No]]</f>
        <v>8</v>
      </c>
      <c r="F10" s="16">
        <f>VLOOKUP(ResourceForms[[#This Row],[Resource Name]],ResourceTable[[RName]:[RID]],2,0)</f>
        <v>8</v>
      </c>
      <c r="G10" s="9" t="s">
        <v>1004</v>
      </c>
      <c r="H10" s="16" t="s">
        <v>1005</v>
      </c>
      <c r="I10" s="9" t="s">
        <v>989</v>
      </c>
      <c r="J10" s="9" t="s">
        <v>990</v>
      </c>
      <c r="K10" s="86">
        <f>[ID]</f>
        <v>8</v>
      </c>
      <c r="M10" s="49" t="str">
        <f>'Table Seed Map'!$A$11&amp;"-"&amp;(COUNTA($Q$1:FormFields[[#This Row],[ID]])-2)</f>
        <v>Form Fields-8</v>
      </c>
      <c r="N10" s="53" t="s">
        <v>860</v>
      </c>
      <c r="O10" s="46">
        <f>IF(FormFields[[#This Row],[Form Name]]="","id",COUNTA($N$3:FormFields[[#This Row],[Form Name]])+IF(VLOOKUP('Table Seed Map'!$A$11,SeedMap[],9,0),VLOOKUP('Table Seed Map'!$A$11,SeedMap[],9,0),0))</f>
        <v>8</v>
      </c>
      <c r="P10" s="49" t="str">
        <f>FormFields[[#This Row],[Form Name]]&amp;"/"&amp;FormFields[[#This Row],[Name]]</f>
        <v>User/ChangeUserPassword/password</v>
      </c>
      <c r="Q10" s="45">
        <f>FormFields[[#This Row],[No]]</f>
        <v>8</v>
      </c>
      <c r="R10" s="52">
        <f>VLOOKUP(FormFields[[#This Row],[Form Name]],ResourceForms[[FormName]:[No]],2,0)</f>
        <v>3</v>
      </c>
      <c r="S10" s="57" t="s">
        <v>405</v>
      </c>
      <c r="T10" s="57" t="s">
        <v>405</v>
      </c>
      <c r="U10" s="57" t="s">
        <v>834</v>
      </c>
      <c r="V10" s="67"/>
      <c r="W10" s="67"/>
      <c r="X10" s="67"/>
      <c r="Y10" s="67"/>
      <c r="Z10" s="68" t="str">
        <f>'Table Seed Map'!$A$12&amp;"-"&amp;(COUNTIF($AB$2:FormFields[[#This Row],[Exists]],1)-1)</f>
        <v>Field Data-8</v>
      </c>
      <c r="AA10" s="60">
        <f>IF(FormFields[[#This Row],[Exists]]=1,IF(FormFields[[#This Row],[Exists]]="",$AA9,IF($AA9=0,IF(ISNUMBER(VLOOKUP('Table Seed Map'!$A$12,SeedMap[],9,0)),VLOOKUP('Table Seed Map'!$A$12,SeedMap[],9,0)+1,1),IFERROR($AA9+1,0))),$AA9)</f>
        <v>8</v>
      </c>
      <c r="AB10" s="69">
        <f>IF(AND(FormFields[[#This Row],[Attribute]]="",FormFields[[#This Row],[Relation]]=""),0,1)</f>
        <v>1</v>
      </c>
      <c r="AC10" s="69">
        <f>FormFields[[#This Row],[NO2]]</f>
        <v>8</v>
      </c>
      <c r="AD10" s="70">
        <f>[ID]</f>
        <v>8</v>
      </c>
      <c r="AE10" s="69" t="str">
        <f>[Name]</f>
        <v>password</v>
      </c>
      <c r="AF10" s="90" t="str">
        <f>IF(FormFields[[#This Row],[Rel]]="",IF(EXACT($AF9,FormFields[[#Headers],[Relation]]),"relation",""),VLOOKUP(FormFields[[#This Row],[Rel]],RelationTable[[Display]:[RELID]],2,0))</f>
        <v/>
      </c>
      <c r="AG10" s="90" t="str">
        <f>IF(FormFields[[#This Row],[Rel1]]="",IF(EXACT($AG9,FormFields[[#Headers],[R1]]),"nest_relation1",""),VLOOKUP(FormFields[[#This Row],[Rel1]],RelationTable[[Display]:[RELID]],2,0))</f>
        <v/>
      </c>
      <c r="AH10" s="90" t="str">
        <f>IF(FormFields[[#This Row],[Rel2]]="",IF(EXACT($AH9,FormFields[[#Headers],[R2]]),"nest_relation2",""),VLOOKUP(FormFields[[#This Row],[Rel2]],RelationTable[[Display]:[RELID]],2,0))</f>
        <v/>
      </c>
      <c r="AI10" s="90" t="str">
        <f>IF(FormFields[[#This Row],[Rel3]]="",IF(EXACT($AI9,FormFields[[#Headers],[R3]]),"nest_relation3",""),VLOOKUP(FormFields[[#This Row],[Rel3]],RelationTable[[Display]:[RELID]],2,0))</f>
        <v/>
      </c>
      <c r="AJ10" s="45">
        <f>IF(OR(FormFields[[#This Row],[Option Type]]="",FormFields[[#This Row],[Option Type]]="type"),0,1)</f>
        <v>0</v>
      </c>
      <c r="AK10" s="45" t="str">
        <f>'Table Seed Map'!$A$13&amp;"-"&amp;COUNTIF($AJ$2:FormFields[[#This Row],[Exists FO]],1)</f>
        <v>Field Options-2</v>
      </c>
      <c r="AL10" s="45">
        <f>IF(FormFields[[#This Row],[Exists FO]]=0,$AL9,IF($AL9=0,IF(ISNUMBER(VLOOKUP('Table Seed Map'!$A$13,SeedMap[],9,0)),VLOOKUP('Table Seed Map'!$A$13,SeedMap[],9,0)+1,1),IFERROR($AL9+1,0)))</f>
        <v>2</v>
      </c>
      <c r="AM10" s="45">
        <f>FormFields[[#This Row],[NO4]]</f>
        <v>2</v>
      </c>
      <c r="AN10" s="39">
        <f>[ID]</f>
        <v>8</v>
      </c>
      <c r="AO10" s="73"/>
      <c r="AP10" s="73"/>
      <c r="AQ10" s="73"/>
      <c r="AR10" s="73"/>
      <c r="AS10" s="73"/>
      <c r="AT10" s="50">
        <f>IF(OR(FormFields[[#This Row],[Colspan]]="",FormFields[[#This Row],[Colspan]]="colspan"),0,1)</f>
        <v>0</v>
      </c>
      <c r="AU10" s="50" t="str">
        <f>'Table Seed Map'!$A$18&amp;"-"&amp;SUM($AT$2:FormFields[[#This Row],[Exists FL]])</f>
        <v>Form Layout-4</v>
      </c>
      <c r="AV10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0" s="45" t="str">
        <f>FormFields[[#This Row],[NO8]]</f>
        <v/>
      </c>
      <c r="AX10" s="50">
        <f>[Form]</f>
        <v>3</v>
      </c>
      <c r="AY10" s="50">
        <f>[ID]</f>
        <v>8</v>
      </c>
      <c r="AZ10" s="75"/>
      <c r="CZ10" s="2" t="s">
        <v>1117</v>
      </c>
      <c r="DA10" s="9" t="str">
        <f>'Table Seed Map'!$A$17&amp;"-"&amp;COUNTA($CZ$2:FieldDepends[[#This Row],[Field for Depend]])</f>
        <v>Field Depends-8</v>
      </c>
      <c r="DB10" s="16">
        <f>IF(FieldDepends[[#This Row],[Field for Depend]]="","id",COUNTA($CZ$3:FieldDepends[[#This Row],[Field for Depend]])+IF(VLOOKUP('Table Seed Map'!$A$17,SeedMap[],9,0),VLOOKUP('Table Seed Map'!$A$17,SeedMap[],9,0),0))</f>
        <v>8</v>
      </c>
      <c r="DC10" s="16">
        <f>IFERROR(VLOOKUP(FieldDepends[[#This Row],[Field for Depend]],FormFields[[Field Name]:[ID]],2,0),"form_field")</f>
        <v>32</v>
      </c>
      <c r="DD10" s="9" t="s">
        <v>23</v>
      </c>
      <c r="DE10" s="2"/>
      <c r="DF10" s="2"/>
      <c r="DG10" s="2"/>
      <c r="DH10" s="1" t="s">
        <v>1103</v>
      </c>
      <c r="DI10" s="2"/>
      <c r="DJ10" s="2" t="s">
        <v>674</v>
      </c>
    </row>
    <row r="11" spans="1:125">
      <c r="A11" s="16" t="str">
        <f>'Table Seed Map'!$A$10&amp;"-"&amp;(COUNTA($F$1:ResourceForms[[#This Row],[Resource]])-2)</f>
        <v>Resource Forms-9</v>
      </c>
      <c r="B11" s="16" t="str">
        <f>ResourceForms[[#This Row],[Resource Name]]&amp;"/"&amp;ResourceForms[[#This Row],[Name]]</f>
        <v>ResourceFormField/CreateFormField</v>
      </c>
      <c r="C11" s="15">
        <f>IF(ResourceForms[[#This Row],[Resource Name]]="","",COUNTA($F$3:ResourceForms[[#This Row],[Resource]])+IF(VLOOKUP('Table Seed Map'!$A$10,SeedMap[],9,0),VLOOKUP('Table Seed Map'!$A$10,SeedMap[],9,0),0))</f>
        <v>9</v>
      </c>
      <c r="D11" s="14" t="s">
        <v>315</v>
      </c>
      <c r="E11" s="16">
        <f>ResourceForms[[#This Row],[No]]</f>
        <v>9</v>
      </c>
      <c r="F11" s="16">
        <f>VLOOKUP(ResourceForms[[#This Row],[Resource Name]],ResourceTable[[RName]:[RID]],2,0)</f>
        <v>9</v>
      </c>
      <c r="G11" s="9" t="s">
        <v>1007</v>
      </c>
      <c r="H11" s="16" t="s">
        <v>1008</v>
      </c>
      <c r="I11" s="9" t="s">
        <v>1009</v>
      </c>
      <c r="J11" s="9" t="s">
        <v>1009</v>
      </c>
      <c r="K11" s="86">
        <f>[ID]</f>
        <v>9</v>
      </c>
      <c r="M11" s="49" t="str">
        <f>'Table Seed Map'!$A$11&amp;"-"&amp;(COUNTA($Q$1:FormFields[[#This Row],[ID]])-2)</f>
        <v>Form Fields-9</v>
      </c>
      <c r="N11" s="53" t="s">
        <v>972</v>
      </c>
      <c r="O11" s="46">
        <f>IF(FormFields[[#This Row],[Form Name]]="","id",COUNTA($N$3:FormFields[[#This Row],[Form Name]])+IF(VLOOKUP('Table Seed Map'!$A$11,SeedMap[],9,0),VLOOKUP('Table Seed Map'!$A$11,SeedMap[],9,0),0))</f>
        <v>9</v>
      </c>
      <c r="P11" s="49" t="str">
        <f>FormFields[[#This Row],[Form Name]]&amp;"/"&amp;FormFields[[#This Row],[Name]]</f>
        <v>Resource/NewResourceForm/name</v>
      </c>
      <c r="Q11" s="45">
        <f>FormFields[[#This Row],[No]]</f>
        <v>9</v>
      </c>
      <c r="R11" s="85">
        <f>VLOOKUP(FormFields[[#This Row],[Form Name]],ResourceForms[[FormName]:[No]],2,0)</f>
        <v>4</v>
      </c>
      <c r="S11" s="56" t="s">
        <v>26</v>
      </c>
      <c r="T11" s="56" t="s">
        <v>231</v>
      </c>
      <c r="U11" s="56" t="s">
        <v>1</v>
      </c>
      <c r="V11" s="64"/>
      <c r="W11" s="64"/>
      <c r="X11" s="64"/>
      <c r="Y11" s="64"/>
      <c r="Z11" s="65" t="str">
        <f>'Table Seed Map'!$A$12&amp;"-"&amp;(COUNTIF($AB$2:FormFields[[#This Row],[Exists]],1)-1)</f>
        <v>Field Data-9</v>
      </c>
      <c r="AA11" s="60">
        <f>IF(FormFields[[#This Row],[Exists]]=1,IF(FormFields[[#This Row],[Exists]]="",$AA10,IF($AA10=0,IF(ISNUMBER(VLOOKUP('Table Seed Map'!$A$12,SeedMap[],9,0)),VLOOKUP('Table Seed Map'!$A$12,SeedMap[],9,0)+1,1),IFERROR($AA10+1,0))),$AA10)</f>
        <v>9</v>
      </c>
      <c r="AB11" s="63">
        <f>IF(AND(FormFields[[#This Row],[Attribute]]="",FormFields[[#This Row],[Relation]]=""),0,1)</f>
        <v>1</v>
      </c>
      <c r="AC11" s="63">
        <f>FormFields[[#This Row],[NO2]]</f>
        <v>9</v>
      </c>
      <c r="AD11" s="66">
        <f>[ID]</f>
        <v>9</v>
      </c>
      <c r="AE11" s="63" t="str">
        <f>[Name]</f>
        <v>name</v>
      </c>
      <c r="AF11" s="91" t="str">
        <f>IF(FormFields[[#This Row],[Rel]]="",IF(EXACT($AF10,FormFields[[#Headers],[Relation]]),"relation",""),VLOOKUP(FormFields[[#This Row],[Rel]],RelationTable[[Display]:[RELID]],2,0))</f>
        <v/>
      </c>
      <c r="AG11" s="90" t="str">
        <f>IF(FormFields[[#This Row],[Rel1]]="",IF(EXACT($AG10,FormFields[[#Headers],[R1]]),"nest_relation1",""),VLOOKUP(FormFields[[#This Row],[Rel1]],RelationTable[[Display]:[RELID]],2,0))</f>
        <v/>
      </c>
      <c r="AH11" s="91" t="str">
        <f>IF(FormFields[[#This Row],[Rel2]]="",IF(EXACT($AH10,FormFields[[#Headers],[R2]]),"nest_relation2",""),VLOOKUP(FormFields[[#This Row],[Rel2]],RelationTable[[Display]:[RELID]],2,0))</f>
        <v/>
      </c>
      <c r="AI11" s="91" t="str">
        <f>IF(FormFields[[#This Row],[Rel3]]="",IF(EXACT($AI10,FormFields[[#Headers],[R3]]),"nest_relation3",""),VLOOKUP(FormFields[[#This Row],[Rel3]],RelationTable[[Display]:[RELID]],2,0))</f>
        <v/>
      </c>
      <c r="AJ11" s="46">
        <f>IF(OR(FormFields[[#This Row],[Option Type]]="",FormFields[[#This Row],[Option Type]]="type"),0,1)</f>
        <v>0</v>
      </c>
      <c r="AK11" s="46" t="str">
        <f>'Table Seed Map'!$A$13&amp;"-"&amp;COUNTIF($AJ$2:FormFields[[#This Row],[Exists FO]],1)</f>
        <v>Field Options-2</v>
      </c>
      <c r="AL11" s="46">
        <f>IF(FormFields[[#This Row],[Exists FO]]=0,$AL10,IF($AL10=0,IF(ISNUMBER(VLOOKUP('Table Seed Map'!$A$13,SeedMap[],9,0)),VLOOKUP('Table Seed Map'!$A$13,SeedMap[],9,0)+1,1),IFERROR($AL10+1,0)))</f>
        <v>2</v>
      </c>
      <c r="AM11" s="46">
        <f>FormFields[[#This Row],[NO4]]</f>
        <v>2</v>
      </c>
      <c r="AN11" s="48">
        <f>[ID]</f>
        <v>9</v>
      </c>
      <c r="AO11" s="72"/>
      <c r="AP11" s="72"/>
      <c r="AQ11" s="72"/>
      <c r="AR11" s="72"/>
      <c r="AS11" s="72"/>
      <c r="AT11" s="46">
        <f>IF(OR(FormFields[[#This Row],[Colspan]]="",FormFields[[#This Row],[Colspan]]="colspan"),0,1)</f>
        <v>1</v>
      </c>
      <c r="AU11" s="46" t="str">
        <f>'Table Seed Map'!$A$18&amp;"-"&amp;SUM($AT$2:FormFields[[#This Row],[Exists FL]])</f>
        <v>Form Layout-5</v>
      </c>
      <c r="AV11" s="46">
        <f>IF(FormFields[[#This Row],[Exists FL]]=0,IF(FormFields[[#This Row],[Form Name]]="","id",""),SUM($AT$3:FormFields[[#This Row],[Exists FL]],IF(VLOOKUP('Table Seed Map'!$A$18,SeedMap[],9,0),VLOOKUP('Table Seed Map'!$A$18,SeedMap[],9,0),0)))</f>
        <v>5</v>
      </c>
      <c r="AW11" s="45">
        <f>FormFields[[#This Row],[NO8]]</f>
        <v>5</v>
      </c>
      <c r="AX11" s="46">
        <f>[Form]</f>
        <v>4</v>
      </c>
      <c r="AY11" s="46">
        <f>[ID]</f>
        <v>9</v>
      </c>
      <c r="AZ11" s="74">
        <v>6</v>
      </c>
      <c r="CZ11" s="2" t="s">
        <v>1400</v>
      </c>
      <c r="DA11" s="7" t="str">
        <f>'Table Seed Map'!$A$17&amp;"-"&amp;COUNTA($CZ$2:FieldDepends[[#This Row],[Field for Depend]])</f>
        <v>Field Depends-9</v>
      </c>
      <c r="DB11" s="17">
        <f>IF(FieldDepends[[#This Row],[Field for Depend]]="","id",COUNTA($CZ$3:FieldDepends[[#This Row],[Field for Depend]])+IF(VLOOKUP('Table Seed Map'!$A$17,SeedMap[],9,0),VLOOKUP('Table Seed Map'!$A$17,SeedMap[],9,0),0))</f>
        <v>9</v>
      </c>
      <c r="DC11" s="17">
        <f>IFERROR(VLOOKUP(FieldDepends[[#This Row],[Field for Depend]],FormFields[[Field Name]:[ID]],2,0),"form_field")</f>
        <v>47</v>
      </c>
      <c r="DD11" s="9" t="s">
        <v>23</v>
      </c>
      <c r="DE11" s="4" t="s">
        <v>23</v>
      </c>
      <c r="DF11" s="4" t="s">
        <v>1399</v>
      </c>
      <c r="DG11" s="4"/>
      <c r="DH11" s="4"/>
      <c r="DI11" s="4"/>
      <c r="DJ11" s="2" t="s">
        <v>674</v>
      </c>
    </row>
    <row r="12" spans="1:125">
      <c r="A12" s="16" t="str">
        <f>'Table Seed Map'!$A$10&amp;"-"&amp;(COUNTA($F$1:ResourceForms[[#This Row],[Resource]])-2)</f>
        <v>Resource Forms-10</v>
      </c>
      <c r="B12" s="16" t="str">
        <f>ResourceForms[[#This Row],[Resource Name]]&amp;"/"&amp;ResourceForms[[#This Row],[Name]]</f>
        <v>ResourceList/CreateListForm</v>
      </c>
      <c r="C12" s="15">
        <f>IF(ResourceForms[[#This Row],[Resource Name]]="","",COUNTA($F$3:ResourceForms[[#This Row],[Resource]])+IF(VLOOKUP('Table Seed Map'!$A$10,SeedMap[],9,0),VLOOKUP('Table Seed Map'!$A$10,SeedMap[],9,0),0))</f>
        <v>10</v>
      </c>
      <c r="D12" s="14" t="s">
        <v>407</v>
      </c>
      <c r="E12" s="16">
        <f>ResourceForms[[#This Row],[No]]</f>
        <v>10</v>
      </c>
      <c r="F12" s="16">
        <f>VLOOKUP(ResourceForms[[#This Row],[Resource Name]],ResourceTable[[RName]:[RID]],2,0)</f>
        <v>20</v>
      </c>
      <c r="G12" s="9" t="s">
        <v>1015</v>
      </c>
      <c r="H12" s="16" t="s">
        <v>1016</v>
      </c>
      <c r="I12" s="9" t="s">
        <v>1017</v>
      </c>
      <c r="J12" s="9" t="s">
        <v>1018</v>
      </c>
      <c r="K12" s="86">
        <f>[ID]</f>
        <v>10</v>
      </c>
      <c r="M12" s="49" t="str">
        <f>'Table Seed Map'!$A$11&amp;"-"&amp;(COUNTA($Q$1:FormFields[[#This Row],[ID]])-2)</f>
        <v>Form Fields-10</v>
      </c>
      <c r="N12" s="53" t="s">
        <v>972</v>
      </c>
      <c r="O12" s="46">
        <f>IF(FormFields[[#This Row],[Form Name]]="","id",COUNTA($N$3:FormFields[[#This Row],[Form Name]])+IF(VLOOKUP('Table Seed Map'!$A$11,SeedMap[],9,0),VLOOKUP('Table Seed Map'!$A$11,SeedMap[],9,0),0))</f>
        <v>10</v>
      </c>
      <c r="P12" s="49" t="str">
        <f>FormFields[[#This Row],[Form Name]]&amp;"/"&amp;FormFields[[#This Row],[Name]]</f>
        <v>Resource/NewResourceForm/title</v>
      </c>
      <c r="Q12" s="45">
        <f>FormFields[[#This Row],[No]]</f>
        <v>10</v>
      </c>
      <c r="R12" s="85">
        <f>VLOOKUP(FormFields[[#This Row],[Form Name]],ResourceForms[[FormName]:[No]],2,0)</f>
        <v>4</v>
      </c>
      <c r="S12" s="56" t="s">
        <v>30</v>
      </c>
      <c r="T12" s="56" t="s">
        <v>231</v>
      </c>
      <c r="U12" s="56" t="s">
        <v>236</v>
      </c>
      <c r="V12" s="64"/>
      <c r="W12" s="64"/>
      <c r="X12" s="64"/>
      <c r="Y12" s="64"/>
      <c r="Z12" s="65" t="str">
        <f>'Table Seed Map'!$A$12&amp;"-"&amp;(COUNTIF($AB$2:FormFields[[#This Row],[Exists]],1)-1)</f>
        <v>Field Data-10</v>
      </c>
      <c r="AA12" s="60">
        <f>IF(FormFields[[#This Row],[Exists]]=1,IF(FormFields[[#This Row],[Exists]]="",$AA11,IF($AA11=0,IF(ISNUMBER(VLOOKUP('Table Seed Map'!$A$12,SeedMap[],9,0)),VLOOKUP('Table Seed Map'!$A$12,SeedMap[],9,0)+1,1),IFERROR($AA11+1,0))),$AA11)</f>
        <v>10</v>
      </c>
      <c r="AB12" s="63">
        <f>IF(AND(FormFields[[#This Row],[Attribute]]="",FormFields[[#This Row],[Relation]]=""),0,1)</f>
        <v>1</v>
      </c>
      <c r="AC12" s="63">
        <f>FormFields[[#This Row],[NO2]]</f>
        <v>10</v>
      </c>
      <c r="AD12" s="66">
        <f>[ID]</f>
        <v>10</v>
      </c>
      <c r="AE12" s="63" t="str">
        <f>[Name]</f>
        <v>title</v>
      </c>
      <c r="AF12" s="91" t="str">
        <f>IF(FormFields[[#This Row],[Rel]]="",IF(EXACT($AF11,FormFields[[#Headers],[Relation]]),"relation",""),VLOOKUP(FormFields[[#This Row],[Rel]],RelationTable[[Display]:[RELID]],2,0))</f>
        <v/>
      </c>
      <c r="AG12" s="90" t="str">
        <f>IF(FormFields[[#This Row],[Rel1]]="",IF(EXACT($AG11,FormFields[[#Headers],[R1]]),"nest_relation1",""),VLOOKUP(FormFields[[#This Row],[Rel1]],RelationTable[[Display]:[RELID]],2,0))</f>
        <v/>
      </c>
      <c r="AH12" s="91" t="str">
        <f>IF(FormFields[[#This Row],[Rel2]]="",IF(EXACT($AH11,FormFields[[#Headers],[R2]]),"nest_relation2",""),VLOOKUP(FormFields[[#This Row],[Rel2]],RelationTable[[Display]:[RELID]],2,0))</f>
        <v/>
      </c>
      <c r="AI12" s="91" t="str">
        <f>IF(FormFields[[#This Row],[Rel3]]="",IF(EXACT($AI11,FormFields[[#Headers],[R3]]),"nest_relation3",""),VLOOKUP(FormFields[[#This Row],[Rel3]],RelationTable[[Display]:[RELID]],2,0))</f>
        <v/>
      </c>
      <c r="AJ12" s="46">
        <f>IF(OR(FormFields[[#This Row],[Option Type]]="",FormFields[[#This Row],[Option Type]]="type"),0,1)</f>
        <v>0</v>
      </c>
      <c r="AK12" s="46" t="str">
        <f>'Table Seed Map'!$A$13&amp;"-"&amp;COUNTIF($AJ$2:FormFields[[#This Row],[Exists FO]],1)</f>
        <v>Field Options-2</v>
      </c>
      <c r="AL12" s="46">
        <f>IF(FormFields[[#This Row],[Exists FO]]=0,$AL11,IF($AL11=0,IF(ISNUMBER(VLOOKUP('Table Seed Map'!$A$13,SeedMap[],9,0)),VLOOKUP('Table Seed Map'!$A$13,SeedMap[],9,0)+1,1),IFERROR($AL11+1,0)))</f>
        <v>2</v>
      </c>
      <c r="AM12" s="46">
        <f>FormFields[[#This Row],[NO4]]</f>
        <v>2</v>
      </c>
      <c r="AN12" s="48">
        <f>[ID]</f>
        <v>10</v>
      </c>
      <c r="AO12" s="72"/>
      <c r="AP12" s="72"/>
      <c r="AQ12" s="72"/>
      <c r="AR12" s="72"/>
      <c r="AS12" s="72"/>
      <c r="AT12" s="46">
        <f>IF(OR(FormFields[[#This Row],[Colspan]]="",FormFields[[#This Row],[Colspan]]="colspan"),0,1)</f>
        <v>1</v>
      </c>
      <c r="AU12" s="46" t="str">
        <f>'Table Seed Map'!$A$18&amp;"-"&amp;SUM($AT$2:FormFields[[#This Row],[Exists FL]])</f>
        <v>Form Layout-6</v>
      </c>
      <c r="AV12" s="46">
        <f>IF(FormFields[[#This Row],[Exists FL]]=0,IF(FormFields[[#This Row],[Form Name]]="","id",""),SUM($AT$3:FormFields[[#This Row],[Exists FL]],IF(VLOOKUP('Table Seed Map'!$A$18,SeedMap[],9,0),VLOOKUP('Table Seed Map'!$A$18,SeedMap[],9,0),0)))</f>
        <v>6</v>
      </c>
      <c r="AW12" s="45">
        <f>FormFields[[#This Row],[NO8]]</f>
        <v>6</v>
      </c>
      <c r="AX12" s="46">
        <f>[Form]</f>
        <v>4</v>
      </c>
      <c r="AY12" s="46">
        <f>[ID]</f>
        <v>10</v>
      </c>
      <c r="AZ12" s="74">
        <v>6</v>
      </c>
    </row>
    <row r="13" spans="1:125">
      <c r="A13" s="16" t="str">
        <f>'Table Seed Map'!$A$10&amp;"-"&amp;(COUNTA($F$1:ResourceForms[[#This Row],[Resource]])-2)</f>
        <v>Resource Forms-11</v>
      </c>
      <c r="B13" s="16" t="str">
        <f>ResourceForms[[#This Row],[Resource Name]]&amp;"/"&amp;ResourceForms[[#This Row],[Name]]</f>
        <v>ResourceList/AddResourceList</v>
      </c>
      <c r="C13" s="15">
        <f>IF(ResourceForms[[#This Row],[Resource Name]]="","",COUNTA($F$3:ResourceForms[[#This Row],[Resource]])+IF(VLOOKUP('Table Seed Map'!$A$10,SeedMap[],9,0),VLOOKUP('Table Seed Map'!$A$10,SeedMap[],9,0),0))</f>
        <v>11</v>
      </c>
      <c r="D13" s="14" t="s">
        <v>407</v>
      </c>
      <c r="E13" s="16">
        <f>ResourceForms[[#This Row],[No]]</f>
        <v>11</v>
      </c>
      <c r="F13" s="16">
        <f>VLOOKUP(ResourceForms[[#This Row],[Resource Name]],ResourceTable[[RName]:[RID]],2,0)</f>
        <v>20</v>
      </c>
      <c r="G13" s="9" t="s">
        <v>1021</v>
      </c>
      <c r="H13" s="16" t="s">
        <v>1022</v>
      </c>
      <c r="I13" s="9" t="s">
        <v>1023</v>
      </c>
      <c r="J13" s="9" t="s">
        <v>1024</v>
      </c>
      <c r="K13" s="86">
        <f>[ID]</f>
        <v>11</v>
      </c>
      <c r="M13" s="49" t="str">
        <f>'Table Seed Map'!$A$11&amp;"-"&amp;(COUNTA($Q$1:FormFields[[#This Row],[ID]])-2)</f>
        <v>Form Fields-11</v>
      </c>
      <c r="N13" s="53" t="s">
        <v>972</v>
      </c>
      <c r="O13" s="46">
        <f>IF(FormFields[[#This Row],[Form Name]]="","id",COUNTA($N$3:FormFields[[#This Row],[Form Name]])+IF(VLOOKUP('Table Seed Map'!$A$11,SeedMap[],9,0),VLOOKUP('Table Seed Map'!$A$11,SeedMap[],9,0),0))</f>
        <v>11</v>
      </c>
      <c r="P13" s="49" t="str">
        <f>FormFields[[#This Row],[Form Name]]&amp;"/"&amp;FormFields[[#This Row],[Name]]</f>
        <v>Resource/NewResourceForm/description</v>
      </c>
      <c r="Q13" s="45">
        <f>FormFields[[#This Row],[No]]</f>
        <v>11</v>
      </c>
      <c r="R13" s="85">
        <f>VLOOKUP(FormFields[[#This Row],[Form Name]],ResourceForms[[FormName]:[No]],2,0)</f>
        <v>4</v>
      </c>
      <c r="S13" s="56" t="s">
        <v>28</v>
      </c>
      <c r="T13" s="56" t="s">
        <v>973</v>
      </c>
      <c r="U13" s="56" t="s">
        <v>242</v>
      </c>
      <c r="V13" s="64"/>
      <c r="W13" s="64"/>
      <c r="X13" s="64"/>
      <c r="Y13" s="64"/>
      <c r="Z13" s="65" t="str">
        <f>'Table Seed Map'!$A$12&amp;"-"&amp;(COUNTIF($AB$2:FormFields[[#This Row],[Exists]],1)-1)</f>
        <v>Field Data-11</v>
      </c>
      <c r="AA13" s="60">
        <f>IF(FormFields[[#This Row],[Exists]]=1,IF(FormFields[[#This Row],[Exists]]="",$AA12,IF($AA12=0,IF(ISNUMBER(VLOOKUP('Table Seed Map'!$A$12,SeedMap[],9,0)),VLOOKUP('Table Seed Map'!$A$12,SeedMap[],9,0)+1,1),IFERROR($AA12+1,0))),$AA12)</f>
        <v>11</v>
      </c>
      <c r="AB13" s="63">
        <f>IF(AND(FormFields[[#This Row],[Attribute]]="",FormFields[[#This Row],[Relation]]=""),0,1)</f>
        <v>1</v>
      </c>
      <c r="AC13" s="63">
        <f>FormFields[[#This Row],[NO2]]</f>
        <v>11</v>
      </c>
      <c r="AD13" s="66">
        <f>[ID]</f>
        <v>11</v>
      </c>
      <c r="AE13" s="63" t="str">
        <f>[Name]</f>
        <v>description</v>
      </c>
      <c r="AF13" s="91" t="str">
        <f>IF(FormFields[[#This Row],[Rel]]="",IF(EXACT($AF12,FormFields[[#Headers],[Relation]]),"relation",""),VLOOKUP(FormFields[[#This Row],[Rel]],RelationTable[[Display]:[RELID]],2,0))</f>
        <v/>
      </c>
      <c r="AG13" s="90" t="str">
        <f>IF(FormFields[[#This Row],[Rel1]]="",IF(EXACT($AG12,FormFields[[#Headers],[R1]]),"nest_relation1",""),VLOOKUP(FormFields[[#This Row],[Rel1]],RelationTable[[Display]:[RELID]],2,0))</f>
        <v/>
      </c>
      <c r="AH13" s="91" t="str">
        <f>IF(FormFields[[#This Row],[Rel2]]="",IF(EXACT($AH12,FormFields[[#Headers],[R2]]),"nest_relation2",""),VLOOKUP(FormFields[[#This Row],[Rel2]],RelationTable[[Display]:[RELID]],2,0))</f>
        <v/>
      </c>
      <c r="AI13" s="91" t="str">
        <f>IF(FormFields[[#This Row],[Rel3]]="",IF(EXACT($AI12,FormFields[[#Headers],[R3]]),"nest_relation3",""),VLOOKUP(FormFields[[#This Row],[Rel3]],RelationTable[[Display]:[RELID]],2,0))</f>
        <v/>
      </c>
      <c r="AJ13" s="46">
        <f>IF(OR(FormFields[[#This Row],[Option Type]]="",FormFields[[#This Row],[Option Type]]="type"),0,1)</f>
        <v>0</v>
      </c>
      <c r="AK13" s="46" t="str">
        <f>'Table Seed Map'!$A$13&amp;"-"&amp;COUNTIF($AJ$2:FormFields[[#This Row],[Exists FO]],1)</f>
        <v>Field Options-2</v>
      </c>
      <c r="AL13" s="46">
        <f>IF(FormFields[[#This Row],[Exists FO]]=0,$AL12,IF($AL12=0,IF(ISNUMBER(VLOOKUP('Table Seed Map'!$A$13,SeedMap[],9,0)),VLOOKUP('Table Seed Map'!$A$13,SeedMap[],9,0)+1,1),IFERROR($AL12+1,0)))</f>
        <v>2</v>
      </c>
      <c r="AM13" s="46">
        <f>FormFields[[#This Row],[NO4]]</f>
        <v>2</v>
      </c>
      <c r="AN13" s="48">
        <f>[ID]</f>
        <v>11</v>
      </c>
      <c r="AO13" s="72"/>
      <c r="AP13" s="72"/>
      <c r="AQ13" s="72"/>
      <c r="AR13" s="72"/>
      <c r="AS13" s="72"/>
      <c r="AT13" s="46">
        <f>IF(OR(FormFields[[#This Row],[Colspan]]="",FormFields[[#This Row],[Colspan]]="colspan"),0,1)</f>
        <v>1</v>
      </c>
      <c r="AU13" s="46" t="str">
        <f>'Table Seed Map'!$A$18&amp;"-"&amp;SUM($AT$2:FormFields[[#This Row],[Exists FL]])</f>
        <v>Form Layout-7</v>
      </c>
      <c r="AV13" s="46">
        <f>IF(FormFields[[#This Row],[Exists FL]]=0,IF(FormFields[[#This Row],[Form Name]]="","id",""),SUM($AT$3:FormFields[[#This Row],[Exists FL]],IF(VLOOKUP('Table Seed Map'!$A$18,SeedMap[],9,0),VLOOKUP('Table Seed Map'!$A$18,SeedMap[],9,0),0)))</f>
        <v>7</v>
      </c>
      <c r="AW13" s="45">
        <f>FormFields[[#This Row],[NO8]]</f>
        <v>7</v>
      </c>
      <c r="AX13" s="46">
        <f>[Form]</f>
        <v>4</v>
      </c>
      <c r="AY13" s="46">
        <f>[ID]</f>
        <v>11</v>
      </c>
      <c r="AZ13" s="74">
        <v>12</v>
      </c>
    </row>
    <row r="14" spans="1:125">
      <c r="A14" s="16" t="str">
        <f>'Table Seed Map'!$A$10&amp;"-"&amp;(COUNTA($F$1:ResourceForms[[#This Row],[Resource]])-2)</f>
        <v>Resource Forms-12</v>
      </c>
      <c r="B14" s="16" t="str">
        <f>ResourceForms[[#This Row],[Resource Name]]&amp;"/"&amp;ResourceForms[[#This Row],[Name]]</f>
        <v>ResourceData/CreateDataForm</v>
      </c>
      <c r="C14" s="15">
        <f>IF(ResourceForms[[#This Row],[Resource Name]]="","",COUNTA($F$3:ResourceForms[[#This Row],[Resource]])+IF(VLOOKUP('Table Seed Map'!$A$10,SeedMap[],9,0),VLOOKUP('Table Seed Map'!$A$10,SeedMap[],9,0),0))</f>
        <v>12</v>
      </c>
      <c r="D14" s="14" t="s">
        <v>430</v>
      </c>
      <c r="E14" s="16">
        <f>ResourceForms[[#This Row],[No]]</f>
        <v>12</v>
      </c>
      <c r="F14" s="16">
        <f>VLOOKUP(ResourceForms[[#This Row],[Resource Name]],ResourceTable[[RName]:[RID]],2,0)</f>
        <v>25</v>
      </c>
      <c r="G14" s="9" t="s">
        <v>1059</v>
      </c>
      <c r="H14" s="16" t="s">
        <v>1060</v>
      </c>
      <c r="I14" s="9" t="s">
        <v>1061</v>
      </c>
      <c r="J14" s="9" t="s">
        <v>1061</v>
      </c>
      <c r="K14" s="86">
        <f>[ID]</f>
        <v>12</v>
      </c>
      <c r="M14" s="49" t="str">
        <f>'Table Seed Map'!$A$11&amp;"-"&amp;(COUNTA($Q$1:FormFields[[#This Row],[ID]])-2)</f>
        <v>Form Fields-12</v>
      </c>
      <c r="N14" s="53" t="s">
        <v>972</v>
      </c>
      <c r="O14" s="46">
        <f>IF(FormFields[[#This Row],[Form Name]]="","id",COUNTA($N$3:FormFields[[#This Row],[Form Name]])+IF(VLOOKUP('Table Seed Map'!$A$11,SeedMap[],9,0),VLOOKUP('Table Seed Map'!$A$11,SeedMap[],9,0),0))</f>
        <v>12</v>
      </c>
      <c r="P14" s="49" t="str">
        <f>FormFields[[#This Row],[Form Name]]&amp;"/"&amp;FormFields[[#This Row],[Name]]</f>
        <v>Resource/NewResourceForm/namespace</v>
      </c>
      <c r="Q14" s="45">
        <f>FormFields[[#This Row],[No]]</f>
        <v>12</v>
      </c>
      <c r="R14" s="85">
        <f>VLOOKUP(FormFields[[#This Row],[Form Name]],ResourceForms[[FormName]:[No]],2,0)</f>
        <v>4</v>
      </c>
      <c r="S14" s="56" t="s">
        <v>31</v>
      </c>
      <c r="T14" s="56" t="s">
        <v>231</v>
      </c>
      <c r="U14" s="56" t="s">
        <v>974</v>
      </c>
      <c r="V14" s="64"/>
      <c r="W14" s="64"/>
      <c r="X14" s="64"/>
      <c r="Y14" s="64"/>
      <c r="Z14" s="65" t="str">
        <f>'Table Seed Map'!$A$12&amp;"-"&amp;(COUNTIF($AB$2:FormFields[[#This Row],[Exists]],1)-1)</f>
        <v>Field Data-12</v>
      </c>
      <c r="AA14" s="60">
        <f>IF(FormFields[[#This Row],[Exists]]=1,IF(FormFields[[#This Row],[Exists]]="",$AA13,IF($AA13=0,IF(ISNUMBER(VLOOKUP('Table Seed Map'!$A$12,SeedMap[],9,0)),VLOOKUP('Table Seed Map'!$A$12,SeedMap[],9,0)+1,1),IFERROR($AA13+1,0))),$AA13)</f>
        <v>12</v>
      </c>
      <c r="AB14" s="63">
        <f>IF(AND(FormFields[[#This Row],[Attribute]]="",FormFields[[#This Row],[Relation]]=""),0,1)</f>
        <v>1</v>
      </c>
      <c r="AC14" s="63">
        <f>FormFields[[#This Row],[NO2]]</f>
        <v>12</v>
      </c>
      <c r="AD14" s="66">
        <f>[ID]</f>
        <v>12</v>
      </c>
      <c r="AE14" s="63" t="str">
        <f>[Name]</f>
        <v>namespace</v>
      </c>
      <c r="AF14" s="91" t="str">
        <f>IF(FormFields[[#This Row],[Rel]]="",IF(EXACT($AF13,FormFields[[#Headers],[Relation]]),"relation",""),VLOOKUP(FormFields[[#This Row],[Rel]],RelationTable[[Display]:[RELID]],2,0))</f>
        <v/>
      </c>
      <c r="AG14" s="90" t="str">
        <f>IF(FormFields[[#This Row],[Rel1]]="",IF(EXACT($AG13,FormFields[[#Headers],[R1]]),"nest_relation1",""),VLOOKUP(FormFields[[#This Row],[Rel1]],RelationTable[[Display]:[RELID]],2,0))</f>
        <v/>
      </c>
      <c r="AH14" s="91" t="str">
        <f>IF(FormFields[[#This Row],[Rel2]]="",IF(EXACT($AH13,FormFields[[#Headers],[R2]]),"nest_relation2",""),VLOOKUP(FormFields[[#This Row],[Rel2]],RelationTable[[Display]:[RELID]],2,0))</f>
        <v/>
      </c>
      <c r="AI14" s="91" t="str">
        <f>IF(FormFields[[#This Row],[Rel3]]="",IF(EXACT($AI13,FormFields[[#Headers],[R3]]),"nest_relation3",""),VLOOKUP(FormFields[[#This Row],[Rel3]],RelationTable[[Display]:[RELID]],2,0))</f>
        <v/>
      </c>
      <c r="AJ14" s="46">
        <f>IF(OR(FormFields[[#This Row],[Option Type]]="",FormFields[[#This Row],[Option Type]]="type"),0,1)</f>
        <v>0</v>
      </c>
      <c r="AK14" s="46" t="str">
        <f>'Table Seed Map'!$A$13&amp;"-"&amp;COUNTIF($AJ$2:FormFields[[#This Row],[Exists FO]],1)</f>
        <v>Field Options-2</v>
      </c>
      <c r="AL14" s="46">
        <f>IF(FormFields[[#This Row],[Exists FO]]=0,$AL13,IF($AL13=0,IF(ISNUMBER(VLOOKUP('Table Seed Map'!$A$13,SeedMap[],9,0)),VLOOKUP('Table Seed Map'!$A$13,SeedMap[],9,0)+1,1),IFERROR($AL13+1,0)))</f>
        <v>2</v>
      </c>
      <c r="AM14" s="46">
        <f>FormFields[[#This Row],[NO4]]</f>
        <v>2</v>
      </c>
      <c r="AN14" s="48">
        <f>[ID]</f>
        <v>12</v>
      </c>
      <c r="AO14" s="72"/>
      <c r="AP14" s="72"/>
      <c r="AQ14" s="72"/>
      <c r="AR14" s="72"/>
      <c r="AS14" s="72"/>
      <c r="AT14" s="46">
        <f>IF(OR(FormFields[[#This Row],[Colspan]]="",FormFields[[#This Row],[Colspan]]="colspan"),0,1)</f>
        <v>1</v>
      </c>
      <c r="AU14" s="46" t="str">
        <f>'Table Seed Map'!$A$18&amp;"-"&amp;SUM($AT$2:FormFields[[#This Row],[Exists FL]])</f>
        <v>Form Layout-8</v>
      </c>
      <c r="AV14" s="46">
        <f>IF(FormFields[[#This Row],[Exists FL]]=0,IF(FormFields[[#This Row],[Form Name]]="","id",""),SUM($AT$3:FormFields[[#This Row],[Exists FL]],IF(VLOOKUP('Table Seed Map'!$A$18,SeedMap[],9,0),VLOOKUP('Table Seed Map'!$A$18,SeedMap[],9,0),0)))</f>
        <v>8</v>
      </c>
      <c r="AW14" s="45">
        <f>FormFields[[#This Row],[NO8]]</f>
        <v>8</v>
      </c>
      <c r="AX14" s="46">
        <f>[Form]</f>
        <v>4</v>
      </c>
      <c r="AY14" s="46">
        <f>[ID]</f>
        <v>12</v>
      </c>
      <c r="AZ14" s="74">
        <v>6</v>
      </c>
    </row>
    <row r="15" spans="1:125">
      <c r="A15" s="16" t="str">
        <f>'Table Seed Map'!$A$10&amp;"-"&amp;(COUNTA($F$1:ResourceForms[[#This Row],[Resource]])-2)</f>
        <v>Resource Forms-13</v>
      </c>
      <c r="B15" s="16" t="str">
        <f>ResourceForms[[#This Row],[Resource Name]]&amp;"/"&amp;ResourceForms[[#This Row],[Name]]</f>
        <v>ResourceData/AddDataForm</v>
      </c>
      <c r="C15" s="15">
        <f>IF(ResourceForms[[#This Row],[Resource Name]]="","",COUNTA($F$3:ResourceForms[[#This Row],[Resource]])+IF(VLOOKUP('Table Seed Map'!$A$10,SeedMap[],9,0),VLOOKUP('Table Seed Map'!$A$10,SeedMap[],9,0),0))</f>
        <v>13</v>
      </c>
      <c r="D15" s="14" t="s">
        <v>430</v>
      </c>
      <c r="E15" s="16">
        <f>ResourceForms[[#This Row],[No]]</f>
        <v>13</v>
      </c>
      <c r="F15" s="16">
        <f>VLOOKUP(ResourceForms[[#This Row],[Resource Name]],ResourceTable[[RName]:[RID]],2,0)</f>
        <v>25</v>
      </c>
      <c r="G15" s="9" t="s">
        <v>1062</v>
      </c>
      <c r="H15" s="16" t="s">
        <v>1063</v>
      </c>
      <c r="I15" s="9" t="s">
        <v>1064</v>
      </c>
      <c r="J15" s="9" t="s">
        <v>1064</v>
      </c>
      <c r="K15" s="86">
        <f>[ID]</f>
        <v>13</v>
      </c>
      <c r="M15" s="49" t="str">
        <f>'Table Seed Map'!$A$11&amp;"-"&amp;(COUNTA($Q$1:FormFields[[#This Row],[ID]])-2)</f>
        <v>Form Fields-13</v>
      </c>
      <c r="N15" s="53" t="s">
        <v>972</v>
      </c>
      <c r="O15" s="46">
        <f>IF(FormFields[[#This Row],[Form Name]]="","id",COUNTA($N$3:FormFields[[#This Row],[Form Name]])+IF(VLOOKUP('Table Seed Map'!$A$11,SeedMap[],9,0),VLOOKUP('Table Seed Map'!$A$11,SeedMap[],9,0),0))</f>
        <v>13</v>
      </c>
      <c r="P15" s="49" t="str">
        <f>FormFields[[#This Row],[Form Name]]&amp;"/"&amp;FormFields[[#This Row],[Name]]</f>
        <v>Resource/NewResourceForm/table</v>
      </c>
      <c r="Q15" s="45">
        <f>FormFields[[#This Row],[No]]</f>
        <v>13</v>
      </c>
      <c r="R15" s="85">
        <f>VLOOKUP(FormFields[[#This Row],[Form Name]],ResourceForms[[FormName]:[No]],2,0)</f>
        <v>4</v>
      </c>
      <c r="S15" s="56" t="s">
        <v>32</v>
      </c>
      <c r="T15" s="56" t="s">
        <v>231</v>
      </c>
      <c r="U15" s="56" t="s">
        <v>12</v>
      </c>
      <c r="V15" s="64"/>
      <c r="W15" s="64"/>
      <c r="X15" s="64"/>
      <c r="Y15" s="64"/>
      <c r="Z15" s="65" t="str">
        <f>'Table Seed Map'!$A$12&amp;"-"&amp;(COUNTIF($AB$2:FormFields[[#This Row],[Exists]],1)-1)</f>
        <v>Field Data-13</v>
      </c>
      <c r="AA15" s="60">
        <f>IF(FormFields[[#This Row],[Exists]]=1,IF(FormFields[[#This Row],[Exists]]="",$AA14,IF($AA14=0,IF(ISNUMBER(VLOOKUP('Table Seed Map'!$A$12,SeedMap[],9,0)),VLOOKUP('Table Seed Map'!$A$12,SeedMap[],9,0)+1,1),IFERROR($AA14+1,0))),$AA14)</f>
        <v>13</v>
      </c>
      <c r="AB15" s="63">
        <f>IF(AND(FormFields[[#This Row],[Attribute]]="",FormFields[[#This Row],[Relation]]=""),0,1)</f>
        <v>1</v>
      </c>
      <c r="AC15" s="63">
        <f>FormFields[[#This Row],[NO2]]</f>
        <v>13</v>
      </c>
      <c r="AD15" s="66">
        <f>[ID]</f>
        <v>13</v>
      </c>
      <c r="AE15" s="63" t="str">
        <f>[Name]</f>
        <v>table</v>
      </c>
      <c r="AF15" s="91" t="str">
        <f>IF(FormFields[[#This Row],[Rel]]="",IF(EXACT($AF14,FormFields[[#Headers],[Relation]]),"relation",""),VLOOKUP(FormFields[[#This Row],[Rel]],RelationTable[[Display]:[RELID]],2,0))</f>
        <v/>
      </c>
      <c r="AG15" s="90" t="str">
        <f>IF(FormFields[[#This Row],[Rel1]]="",IF(EXACT($AG14,FormFields[[#Headers],[R1]]),"nest_relation1",""),VLOOKUP(FormFields[[#This Row],[Rel1]],RelationTable[[Display]:[RELID]],2,0))</f>
        <v/>
      </c>
      <c r="AH15" s="91" t="str">
        <f>IF(FormFields[[#This Row],[Rel2]]="",IF(EXACT($AH14,FormFields[[#Headers],[R2]]),"nest_relation2",""),VLOOKUP(FormFields[[#This Row],[Rel2]],RelationTable[[Display]:[RELID]],2,0))</f>
        <v/>
      </c>
      <c r="AI15" s="91" t="str">
        <f>IF(FormFields[[#This Row],[Rel3]]="",IF(EXACT($AI14,FormFields[[#Headers],[R3]]),"nest_relation3",""),VLOOKUP(FormFields[[#This Row],[Rel3]],RelationTable[[Display]:[RELID]],2,0))</f>
        <v/>
      </c>
      <c r="AJ15" s="46">
        <f>IF(OR(FormFields[[#This Row],[Option Type]]="",FormFields[[#This Row],[Option Type]]="type"),0,1)</f>
        <v>0</v>
      </c>
      <c r="AK15" s="46" t="str">
        <f>'Table Seed Map'!$A$13&amp;"-"&amp;COUNTIF($AJ$2:FormFields[[#This Row],[Exists FO]],1)</f>
        <v>Field Options-2</v>
      </c>
      <c r="AL15" s="46">
        <f>IF(FormFields[[#This Row],[Exists FO]]=0,$AL14,IF($AL14=0,IF(ISNUMBER(VLOOKUP('Table Seed Map'!$A$13,SeedMap[],9,0)),VLOOKUP('Table Seed Map'!$A$13,SeedMap[],9,0)+1,1),IFERROR($AL14+1,0)))</f>
        <v>2</v>
      </c>
      <c r="AM15" s="46">
        <f>FormFields[[#This Row],[NO4]]</f>
        <v>2</v>
      </c>
      <c r="AN15" s="48">
        <f>[ID]</f>
        <v>13</v>
      </c>
      <c r="AO15" s="72"/>
      <c r="AP15" s="72"/>
      <c r="AQ15" s="72"/>
      <c r="AR15" s="72"/>
      <c r="AS15" s="72"/>
      <c r="AT15" s="46">
        <f>IF(OR(FormFields[[#This Row],[Colspan]]="",FormFields[[#This Row],[Colspan]]="colspan"),0,1)</f>
        <v>1</v>
      </c>
      <c r="AU15" s="46" t="str">
        <f>'Table Seed Map'!$A$18&amp;"-"&amp;SUM($AT$2:FormFields[[#This Row],[Exists FL]])</f>
        <v>Form Layout-9</v>
      </c>
      <c r="AV15" s="46">
        <f>IF(FormFields[[#This Row],[Exists FL]]=0,IF(FormFields[[#This Row],[Form Name]]="","id",""),SUM($AT$3:FormFields[[#This Row],[Exists FL]],IF(VLOOKUP('Table Seed Map'!$A$18,SeedMap[],9,0),VLOOKUP('Table Seed Map'!$A$18,SeedMap[],9,0),0)))</f>
        <v>9</v>
      </c>
      <c r="AW15" s="45">
        <f>FormFields[[#This Row],[NO8]]</f>
        <v>9</v>
      </c>
      <c r="AX15" s="46">
        <f>[Form]</f>
        <v>4</v>
      </c>
      <c r="AY15" s="46">
        <f>[ID]</f>
        <v>13</v>
      </c>
      <c r="AZ15" s="74">
        <v>6</v>
      </c>
    </row>
    <row r="16" spans="1:125">
      <c r="M16" s="49" t="str">
        <f>'Table Seed Map'!$A$11&amp;"-"&amp;(COUNTA($Q$1:FormFields[[#This Row],[ID]])-2)</f>
        <v>Form Fields-14</v>
      </c>
      <c r="N16" s="53" t="s">
        <v>972</v>
      </c>
      <c r="O16" s="46">
        <f>IF(FormFields[[#This Row],[Form Name]]="","id",COUNTA($N$3:FormFields[[#This Row],[Form Name]])+IF(VLOOKUP('Table Seed Map'!$A$11,SeedMap[],9,0),VLOOKUP('Table Seed Map'!$A$11,SeedMap[],9,0),0))</f>
        <v>14</v>
      </c>
      <c r="P16" s="49" t="str">
        <f>FormFields[[#This Row],[Form Name]]&amp;"/"&amp;FormFields[[#This Row],[Name]]</f>
        <v>Resource/NewResourceForm/controller</v>
      </c>
      <c r="Q16" s="45">
        <f>FormFields[[#This Row],[No]]</f>
        <v>14</v>
      </c>
      <c r="R16" s="85">
        <f>VLOOKUP(FormFields[[#This Row],[Form Name]],ResourceForms[[FormName]:[No]],2,0)</f>
        <v>4</v>
      </c>
      <c r="S16" s="56" t="s">
        <v>33</v>
      </c>
      <c r="T16" s="56" t="s">
        <v>231</v>
      </c>
      <c r="U16" s="56" t="s">
        <v>270</v>
      </c>
      <c r="V16" s="64"/>
      <c r="W16" s="64"/>
      <c r="X16" s="64"/>
      <c r="Y16" s="64"/>
      <c r="Z16" s="65" t="str">
        <f>'Table Seed Map'!$A$12&amp;"-"&amp;(COUNTIF($AB$2:FormFields[[#This Row],[Exists]],1)-1)</f>
        <v>Field Data-14</v>
      </c>
      <c r="AA16" s="60">
        <f>IF(FormFields[[#This Row],[Exists]]=1,IF(FormFields[[#This Row],[Exists]]="",$AA15,IF($AA15=0,IF(ISNUMBER(VLOOKUP('Table Seed Map'!$A$12,SeedMap[],9,0)),VLOOKUP('Table Seed Map'!$A$12,SeedMap[],9,0)+1,1),IFERROR($AA15+1,0))),$AA15)</f>
        <v>14</v>
      </c>
      <c r="AB16" s="63">
        <f>IF(AND(FormFields[[#This Row],[Attribute]]="",FormFields[[#This Row],[Relation]]=""),0,1)</f>
        <v>1</v>
      </c>
      <c r="AC16" s="63">
        <f>FormFields[[#This Row],[NO2]]</f>
        <v>14</v>
      </c>
      <c r="AD16" s="66">
        <f>[ID]</f>
        <v>14</v>
      </c>
      <c r="AE16" s="63" t="str">
        <f>[Name]</f>
        <v>controller</v>
      </c>
      <c r="AF16" s="91" t="str">
        <f>IF(FormFields[[#This Row],[Rel]]="",IF(EXACT($AF15,FormFields[[#Headers],[Relation]]),"relation",""),VLOOKUP(FormFields[[#This Row],[Rel]],RelationTable[[Display]:[RELID]],2,0))</f>
        <v/>
      </c>
      <c r="AG16" s="90" t="str">
        <f>IF(FormFields[[#This Row],[Rel1]]="",IF(EXACT($AG15,FormFields[[#Headers],[R1]]),"nest_relation1",""),VLOOKUP(FormFields[[#This Row],[Rel1]],RelationTable[[Display]:[RELID]],2,0))</f>
        <v/>
      </c>
      <c r="AH16" s="91" t="str">
        <f>IF(FormFields[[#This Row],[Rel2]]="",IF(EXACT($AH15,FormFields[[#Headers],[R2]]),"nest_relation2",""),VLOOKUP(FormFields[[#This Row],[Rel2]],RelationTable[[Display]:[RELID]],2,0))</f>
        <v/>
      </c>
      <c r="AI16" s="91" t="str">
        <f>IF(FormFields[[#This Row],[Rel3]]="",IF(EXACT($AI15,FormFields[[#Headers],[R3]]),"nest_relation3",""),VLOOKUP(FormFields[[#This Row],[Rel3]],RelationTable[[Display]:[RELID]],2,0))</f>
        <v/>
      </c>
      <c r="AJ16" s="46">
        <f>IF(OR(FormFields[[#This Row],[Option Type]]="",FormFields[[#This Row],[Option Type]]="type"),0,1)</f>
        <v>0</v>
      </c>
      <c r="AK16" s="46" t="str">
        <f>'Table Seed Map'!$A$13&amp;"-"&amp;COUNTIF($AJ$2:FormFields[[#This Row],[Exists FO]],1)</f>
        <v>Field Options-2</v>
      </c>
      <c r="AL16" s="46">
        <f>IF(FormFields[[#This Row],[Exists FO]]=0,$AL15,IF($AL15=0,IF(ISNUMBER(VLOOKUP('Table Seed Map'!$A$13,SeedMap[],9,0)),VLOOKUP('Table Seed Map'!$A$13,SeedMap[],9,0)+1,1),IFERROR($AL15+1,0)))</f>
        <v>2</v>
      </c>
      <c r="AM16" s="46">
        <f>FormFields[[#This Row],[NO4]]</f>
        <v>2</v>
      </c>
      <c r="AN16" s="48">
        <f>[ID]</f>
        <v>14</v>
      </c>
      <c r="AO16" s="72"/>
      <c r="AP16" s="72"/>
      <c r="AQ16" s="72"/>
      <c r="AR16" s="72"/>
      <c r="AS16" s="72"/>
      <c r="AT16" s="46">
        <f>IF(OR(FormFields[[#This Row],[Colspan]]="",FormFields[[#This Row],[Colspan]]="colspan"),0,1)</f>
        <v>1</v>
      </c>
      <c r="AU16" s="46" t="str">
        <f>'Table Seed Map'!$A$18&amp;"-"&amp;SUM($AT$2:FormFields[[#This Row],[Exists FL]])</f>
        <v>Form Layout-10</v>
      </c>
      <c r="AV16" s="46">
        <f>IF(FormFields[[#This Row],[Exists FL]]=0,IF(FormFields[[#This Row],[Form Name]]="","id",""),SUM($AT$3:FormFields[[#This Row],[Exists FL]],IF(VLOOKUP('Table Seed Map'!$A$18,SeedMap[],9,0),VLOOKUP('Table Seed Map'!$A$18,SeedMap[],9,0),0)))</f>
        <v>10</v>
      </c>
      <c r="AW16" s="45">
        <f>FormFields[[#This Row],[NO8]]</f>
        <v>10</v>
      </c>
      <c r="AX16" s="46">
        <f>[Form]</f>
        <v>4</v>
      </c>
      <c r="AY16" s="46">
        <f>[ID]</f>
        <v>14</v>
      </c>
      <c r="AZ16" s="74">
        <v>4</v>
      </c>
    </row>
    <row r="17" spans="13:52">
      <c r="M17" s="49" t="str">
        <f>'Table Seed Map'!$A$11&amp;"-"&amp;(COUNTA($Q$1:FormFields[[#This Row],[ID]])-2)</f>
        <v>Form Fields-15</v>
      </c>
      <c r="N17" s="53" t="s">
        <v>972</v>
      </c>
      <c r="O17" s="46">
        <f>IF(FormFields[[#This Row],[Form Name]]="","id",COUNTA($N$3:FormFields[[#This Row],[Form Name]])+IF(VLOOKUP('Table Seed Map'!$A$11,SeedMap[],9,0),VLOOKUP('Table Seed Map'!$A$11,SeedMap[],9,0),0))</f>
        <v>15</v>
      </c>
      <c r="P17" s="49" t="str">
        <f>FormFields[[#This Row],[Form Name]]&amp;"/"&amp;FormFields[[#This Row],[Name]]</f>
        <v>Resource/NewResourceForm/controller_namespace</v>
      </c>
      <c r="Q17" s="45">
        <f>FormFields[[#This Row],[No]]</f>
        <v>15</v>
      </c>
      <c r="R17" s="85">
        <f>VLOOKUP(FormFields[[#This Row],[Form Name]],ResourceForms[[FormName]:[No]],2,0)</f>
        <v>4</v>
      </c>
      <c r="S17" s="56" t="s">
        <v>34</v>
      </c>
      <c r="T17" s="56" t="s">
        <v>231</v>
      </c>
      <c r="U17" s="56" t="s">
        <v>975</v>
      </c>
      <c r="V17" s="64"/>
      <c r="W17" s="64"/>
      <c r="X17" s="64"/>
      <c r="Y17" s="64"/>
      <c r="Z17" s="65" t="str">
        <f>'Table Seed Map'!$A$12&amp;"-"&amp;(COUNTIF($AB$2:FormFields[[#This Row],[Exists]],1)-1)</f>
        <v>Field Data-15</v>
      </c>
      <c r="AA17" s="60">
        <f>IF(FormFields[[#This Row],[Exists]]=1,IF(FormFields[[#This Row],[Exists]]="",$AA16,IF($AA16=0,IF(ISNUMBER(VLOOKUP('Table Seed Map'!$A$12,SeedMap[],9,0)),VLOOKUP('Table Seed Map'!$A$12,SeedMap[],9,0)+1,1),IFERROR($AA16+1,0))),$AA16)</f>
        <v>15</v>
      </c>
      <c r="AB17" s="63">
        <f>IF(AND(FormFields[[#This Row],[Attribute]]="",FormFields[[#This Row],[Relation]]=""),0,1)</f>
        <v>1</v>
      </c>
      <c r="AC17" s="63">
        <f>FormFields[[#This Row],[NO2]]</f>
        <v>15</v>
      </c>
      <c r="AD17" s="66">
        <f>[ID]</f>
        <v>15</v>
      </c>
      <c r="AE17" s="63" t="str">
        <f>[Name]</f>
        <v>controller_namespace</v>
      </c>
      <c r="AF17" s="91" t="str">
        <f>IF(FormFields[[#This Row],[Rel]]="",IF(EXACT($AF16,FormFields[[#Headers],[Relation]]),"relation",""),VLOOKUP(FormFields[[#This Row],[Rel]],RelationTable[[Display]:[RELID]],2,0))</f>
        <v/>
      </c>
      <c r="AG17" s="90" t="str">
        <f>IF(FormFields[[#This Row],[Rel1]]="",IF(EXACT($AG16,FormFields[[#Headers],[R1]]),"nest_relation1",""),VLOOKUP(FormFields[[#This Row],[Rel1]],RelationTable[[Display]:[RELID]],2,0))</f>
        <v/>
      </c>
      <c r="AH17" s="91" t="str">
        <f>IF(FormFields[[#This Row],[Rel2]]="",IF(EXACT($AH16,FormFields[[#Headers],[R2]]),"nest_relation2",""),VLOOKUP(FormFields[[#This Row],[Rel2]],RelationTable[[Display]:[RELID]],2,0))</f>
        <v/>
      </c>
      <c r="AI17" s="91" t="str">
        <f>IF(FormFields[[#This Row],[Rel3]]="",IF(EXACT($AI16,FormFields[[#Headers],[R3]]),"nest_relation3",""),VLOOKUP(FormFields[[#This Row],[Rel3]],RelationTable[[Display]:[RELID]],2,0))</f>
        <v/>
      </c>
      <c r="AJ17" s="46">
        <f>IF(OR(FormFields[[#This Row],[Option Type]]="",FormFields[[#This Row],[Option Type]]="type"),0,1)</f>
        <v>0</v>
      </c>
      <c r="AK17" s="46" t="str">
        <f>'Table Seed Map'!$A$13&amp;"-"&amp;COUNTIF($AJ$2:FormFields[[#This Row],[Exists FO]],1)</f>
        <v>Field Options-2</v>
      </c>
      <c r="AL17" s="46">
        <f>IF(FormFields[[#This Row],[Exists FO]]=0,$AL16,IF($AL16=0,IF(ISNUMBER(VLOOKUP('Table Seed Map'!$A$13,SeedMap[],9,0)),VLOOKUP('Table Seed Map'!$A$13,SeedMap[],9,0)+1,1),IFERROR($AL16+1,0)))</f>
        <v>2</v>
      </c>
      <c r="AM17" s="46">
        <f>FormFields[[#This Row],[NO4]]</f>
        <v>2</v>
      </c>
      <c r="AN17" s="48">
        <f>[ID]</f>
        <v>15</v>
      </c>
      <c r="AO17" s="72"/>
      <c r="AP17" s="72"/>
      <c r="AQ17" s="72"/>
      <c r="AR17" s="72"/>
      <c r="AS17" s="72"/>
      <c r="AT17" s="46">
        <f>IF(OR(FormFields[[#This Row],[Colspan]]="",FormFields[[#This Row],[Colspan]]="colspan"),0,1)</f>
        <v>1</v>
      </c>
      <c r="AU17" s="46" t="str">
        <f>'Table Seed Map'!$A$18&amp;"-"&amp;SUM($AT$2:FormFields[[#This Row],[Exists FL]])</f>
        <v>Form Layout-11</v>
      </c>
      <c r="AV17" s="46">
        <f>IF(FormFields[[#This Row],[Exists FL]]=0,IF(FormFields[[#This Row],[Form Name]]="","id",""),SUM($AT$3:FormFields[[#This Row],[Exists FL]],IF(VLOOKUP('Table Seed Map'!$A$18,SeedMap[],9,0),VLOOKUP('Table Seed Map'!$A$18,SeedMap[],9,0),0)))</f>
        <v>11</v>
      </c>
      <c r="AW17" s="45">
        <f>FormFields[[#This Row],[NO8]]</f>
        <v>11</v>
      </c>
      <c r="AX17" s="46">
        <f>[Form]</f>
        <v>4</v>
      </c>
      <c r="AY17" s="46">
        <f>[ID]</f>
        <v>15</v>
      </c>
      <c r="AZ17" s="74">
        <v>4</v>
      </c>
    </row>
    <row r="18" spans="13:52">
      <c r="M18" s="49" t="str">
        <f>'Table Seed Map'!$A$11&amp;"-"&amp;(COUNTA($Q$1:FormFields[[#This Row],[ID]])-2)</f>
        <v>Form Fields-16</v>
      </c>
      <c r="N18" s="53" t="s">
        <v>972</v>
      </c>
      <c r="O18" s="46">
        <f>IF(FormFields[[#This Row],[Form Name]]="","id",COUNTA($N$3:FormFields[[#This Row],[Form Name]])+IF(VLOOKUP('Table Seed Map'!$A$11,SeedMap[],9,0),VLOOKUP('Table Seed Map'!$A$11,SeedMap[],9,0),0))</f>
        <v>16</v>
      </c>
      <c r="P18" s="49" t="str">
        <f>FormFields[[#This Row],[Form Name]]&amp;"/"&amp;FormFields[[#This Row],[Name]]</f>
        <v>Resource/NewResourceForm/development</v>
      </c>
      <c r="Q18" s="45">
        <f>FormFields[[#This Row],[No]]</f>
        <v>16</v>
      </c>
      <c r="R18" s="85">
        <f>VLOOKUP(FormFields[[#This Row],[Form Name]],ResourceForms[[FormName]:[No]],2,0)</f>
        <v>4</v>
      </c>
      <c r="S18" s="56" t="s">
        <v>748</v>
      </c>
      <c r="T18" s="56" t="s">
        <v>234</v>
      </c>
      <c r="U18" s="56" t="s">
        <v>976</v>
      </c>
      <c r="V18" s="64"/>
      <c r="W18" s="64"/>
      <c r="X18" s="64"/>
      <c r="Y18" s="64"/>
      <c r="Z18" s="65" t="str">
        <f>'Table Seed Map'!$A$12&amp;"-"&amp;(COUNTIF($AB$2:FormFields[[#This Row],[Exists]],1)-1)</f>
        <v>Field Data-16</v>
      </c>
      <c r="AA18" s="60">
        <f>IF(FormFields[[#This Row],[Exists]]=1,IF(FormFields[[#This Row],[Exists]]="",$AA17,IF($AA17=0,IF(ISNUMBER(VLOOKUP('Table Seed Map'!$A$12,SeedMap[],9,0)),VLOOKUP('Table Seed Map'!$A$12,SeedMap[],9,0)+1,1),IFERROR($AA17+1,0))),$AA17)</f>
        <v>16</v>
      </c>
      <c r="AB18" s="63">
        <f>IF(AND(FormFields[[#This Row],[Attribute]]="",FormFields[[#This Row],[Relation]]=""),0,1)</f>
        <v>1</v>
      </c>
      <c r="AC18" s="63">
        <f>FormFields[[#This Row],[NO2]]</f>
        <v>16</v>
      </c>
      <c r="AD18" s="66">
        <f>[ID]</f>
        <v>16</v>
      </c>
      <c r="AE18" s="63" t="str">
        <f>[Name]</f>
        <v>development</v>
      </c>
      <c r="AF18" s="91" t="str">
        <f>IF(FormFields[[#This Row],[Rel]]="",IF(EXACT($AF17,FormFields[[#Headers],[Relation]]),"relation",""),VLOOKUP(FormFields[[#This Row],[Rel]],RelationTable[[Display]:[RELID]],2,0))</f>
        <v/>
      </c>
      <c r="AG18" s="90" t="str">
        <f>IF(FormFields[[#This Row],[Rel1]]="",IF(EXACT($AG17,FormFields[[#Headers],[R1]]),"nest_relation1",""),VLOOKUP(FormFields[[#This Row],[Rel1]],RelationTable[[Display]:[RELID]],2,0))</f>
        <v/>
      </c>
      <c r="AH18" s="91" t="str">
        <f>IF(FormFields[[#This Row],[Rel2]]="",IF(EXACT($AH17,FormFields[[#Headers],[R2]]),"nest_relation2",""),VLOOKUP(FormFields[[#This Row],[Rel2]],RelationTable[[Display]:[RELID]],2,0))</f>
        <v/>
      </c>
      <c r="AI18" s="91" t="str">
        <f>IF(FormFields[[#This Row],[Rel3]]="",IF(EXACT($AI17,FormFields[[#Headers],[R3]]),"nest_relation3",""),VLOOKUP(FormFields[[#This Row],[Rel3]],RelationTable[[Display]:[RELID]],2,0))</f>
        <v/>
      </c>
      <c r="AJ18" s="46">
        <f>IF(OR(FormFields[[#This Row],[Option Type]]="",FormFields[[#This Row],[Option Type]]="type"),0,1)</f>
        <v>1</v>
      </c>
      <c r="AK18" s="46" t="str">
        <f>'Table Seed Map'!$A$13&amp;"-"&amp;COUNTIF($AJ$2:FormFields[[#This Row],[Exists FO]],1)</f>
        <v>Field Options-3</v>
      </c>
      <c r="AL18" s="46">
        <f>IF(FormFields[[#This Row],[Exists FO]]=0,$AL17,IF($AL17=0,IF(ISNUMBER(VLOOKUP('Table Seed Map'!$A$13,SeedMap[],9,0)),VLOOKUP('Table Seed Map'!$A$13,SeedMap[],9,0)+1,1),IFERROR($AL17+1,0)))</f>
        <v>3</v>
      </c>
      <c r="AM18" s="46">
        <f>FormFields[[#This Row],[NO4]]</f>
        <v>3</v>
      </c>
      <c r="AN18" s="48">
        <f>[ID]</f>
        <v>16</v>
      </c>
      <c r="AO18" s="72" t="s">
        <v>1115</v>
      </c>
      <c r="AP18" s="72"/>
      <c r="AQ18" s="72"/>
      <c r="AR18" s="72"/>
      <c r="AS18" s="72"/>
      <c r="AT18" s="46">
        <f>IF(OR(FormFields[[#This Row],[Colspan]]="",FormFields[[#This Row],[Colspan]]="colspan"),0,1)</f>
        <v>1</v>
      </c>
      <c r="AU18" s="46" t="str">
        <f>'Table Seed Map'!$A$18&amp;"-"&amp;SUM($AT$2:FormFields[[#This Row],[Exists FL]])</f>
        <v>Form Layout-12</v>
      </c>
      <c r="AV18" s="46">
        <f>IF(FormFields[[#This Row],[Exists FL]]=0,IF(FormFields[[#This Row],[Form Name]]="","id",""),SUM($AT$3:FormFields[[#This Row],[Exists FL]],IF(VLOOKUP('Table Seed Map'!$A$18,SeedMap[],9,0),VLOOKUP('Table Seed Map'!$A$18,SeedMap[],9,0),0)))</f>
        <v>12</v>
      </c>
      <c r="AW18" s="45">
        <f>FormFields[[#This Row],[NO8]]</f>
        <v>12</v>
      </c>
      <c r="AX18" s="46">
        <f>[Form]</f>
        <v>4</v>
      </c>
      <c r="AY18" s="46">
        <f>[ID]</f>
        <v>16</v>
      </c>
      <c r="AZ18" s="74">
        <v>4</v>
      </c>
    </row>
    <row r="19" spans="13:52">
      <c r="M19" s="49" t="str">
        <f>'Table Seed Map'!$A$11&amp;"-"&amp;(COUNTA($Q$1:FormFields[[#This Row],[ID]])-2)</f>
        <v>Form Fields-17</v>
      </c>
      <c r="N19" s="53" t="s">
        <v>1083</v>
      </c>
      <c r="O19" s="46">
        <f>IF(FormFields[[#This Row],[Form Name]]="","id",COUNTA($N$3:FormFields[[#This Row],[Form Name]])+IF(VLOOKUP('Table Seed Map'!$A$11,SeedMap[],9,0),VLOOKUP('Table Seed Map'!$A$11,SeedMap[],9,0),0))</f>
        <v>17</v>
      </c>
      <c r="P19" s="49" t="str">
        <f>FormFields[[#This Row],[Form Name]]&amp;"/"&amp;FormFields[[#This Row],[Name]]</f>
        <v>ResourceAction/NewActionForm/resource</v>
      </c>
      <c r="Q19" s="45">
        <f>FormFields[[#This Row],[No]]</f>
        <v>17</v>
      </c>
      <c r="R19" s="85">
        <f>VLOOKUP(FormFields[[#This Row],[Form Name]],ResourceForms[[FormName]:[No]],2,0)</f>
        <v>5</v>
      </c>
      <c r="S19" s="56" t="s">
        <v>23</v>
      </c>
      <c r="T19" s="56" t="s">
        <v>234</v>
      </c>
      <c r="U19" s="56" t="s">
        <v>992</v>
      </c>
      <c r="V19" s="64"/>
      <c r="W19" s="64"/>
      <c r="X19" s="64"/>
      <c r="Y19" s="64"/>
      <c r="Z19" s="65" t="str">
        <f>'Table Seed Map'!$A$12&amp;"-"&amp;(COUNTIF($AB$2:FormFields[[#This Row],[Exists]],1)-1)</f>
        <v>Field Data-17</v>
      </c>
      <c r="AA19" s="60">
        <f>IF(FormFields[[#This Row],[Exists]]=1,IF(FormFields[[#This Row],[Exists]]="",$AA18,IF($AA18=0,IF(ISNUMBER(VLOOKUP('Table Seed Map'!$A$12,SeedMap[],9,0)),VLOOKUP('Table Seed Map'!$A$12,SeedMap[],9,0)+1,1),IFERROR($AA18+1,0))),$AA18)</f>
        <v>17</v>
      </c>
      <c r="AB19" s="63">
        <f>IF(AND(FormFields[[#This Row],[Attribute]]="",FormFields[[#This Row],[Relation]]=""),0,1)</f>
        <v>1</v>
      </c>
      <c r="AC19" s="63">
        <f>FormFields[[#This Row],[NO2]]</f>
        <v>17</v>
      </c>
      <c r="AD19" s="66">
        <f>[ID]</f>
        <v>17</v>
      </c>
      <c r="AE19" s="63" t="str">
        <f>[Name]</f>
        <v>resource</v>
      </c>
      <c r="AF19" s="91" t="str">
        <f>IF(FormFields[[#This Row],[Rel]]="",IF(EXACT($AF18,FormFields[[#Headers],[Relation]]),"relation",""),VLOOKUP(FormFields[[#This Row],[Rel]],RelationTable[[Display]:[RELID]],2,0))</f>
        <v/>
      </c>
      <c r="AG19" s="90" t="str">
        <f>IF(FormFields[[#This Row],[Rel1]]="",IF(EXACT($AG18,FormFields[[#Headers],[R1]]),"nest_relation1",""),VLOOKUP(FormFields[[#This Row],[Rel1]],RelationTable[[Display]:[RELID]],2,0))</f>
        <v/>
      </c>
      <c r="AH19" s="91" t="str">
        <f>IF(FormFields[[#This Row],[Rel2]]="",IF(EXACT($AH18,FormFields[[#Headers],[R2]]),"nest_relation2",""),VLOOKUP(FormFields[[#This Row],[Rel2]],RelationTable[[Display]:[RELID]],2,0))</f>
        <v/>
      </c>
      <c r="AI19" s="91" t="str">
        <f>IF(FormFields[[#This Row],[Rel3]]="",IF(EXACT($AI18,FormFields[[#Headers],[R3]]),"nest_relation3",""),VLOOKUP(FormFields[[#This Row],[Rel3]],RelationTable[[Display]:[RELID]],2,0))</f>
        <v/>
      </c>
      <c r="AJ19" s="46">
        <f>IF(OR(FormFields[[#This Row],[Option Type]]="",FormFields[[#This Row],[Option Type]]="type"),0,1)</f>
        <v>1</v>
      </c>
      <c r="AK19" s="46" t="str">
        <f>'Table Seed Map'!$A$13&amp;"-"&amp;COUNTIF($AJ$2:FormFields[[#This Row],[Exists FO]],1)</f>
        <v>Field Options-4</v>
      </c>
      <c r="AL19" s="46">
        <f>IF(FormFields[[#This Row],[Exists FO]]=0,$AL18,IF($AL18=0,IF(ISNUMBER(VLOOKUP('Table Seed Map'!$A$13,SeedMap[],9,0)),VLOOKUP('Table Seed Map'!$A$13,SeedMap[],9,0)+1,1),IFERROR($AL18+1,0)))</f>
        <v>4</v>
      </c>
      <c r="AM19" s="46">
        <f>FormFields[[#This Row],[NO4]]</f>
        <v>4</v>
      </c>
      <c r="AN19" s="48">
        <f>[ID]</f>
        <v>17</v>
      </c>
      <c r="AO19" s="72" t="s">
        <v>673</v>
      </c>
      <c r="AP19" s="72"/>
      <c r="AQ19" s="72" t="s">
        <v>21</v>
      </c>
      <c r="AR19" s="72" t="s">
        <v>26</v>
      </c>
      <c r="AS19" s="72" t="s">
        <v>674</v>
      </c>
      <c r="AT19" s="46">
        <f>IF(OR(FormFields[[#This Row],[Colspan]]="",FormFields[[#This Row],[Colspan]]="colspan"),0,1)</f>
        <v>1</v>
      </c>
      <c r="AU19" s="46" t="str">
        <f>'Table Seed Map'!$A$18&amp;"-"&amp;SUM($AT$2:FormFields[[#This Row],[Exists FL]])</f>
        <v>Form Layout-13</v>
      </c>
      <c r="AV19" s="46">
        <f>IF(FormFields[[#This Row],[Exists FL]]=0,IF(FormFields[[#This Row],[Form Name]]="","id",""),SUM($AT$3:FormFields[[#This Row],[Exists FL]],IF(VLOOKUP('Table Seed Map'!$A$18,SeedMap[],9,0),VLOOKUP('Table Seed Map'!$A$18,SeedMap[],9,0),0)))</f>
        <v>13</v>
      </c>
      <c r="AW19" s="45">
        <f>FormFields[[#This Row],[NO8]]</f>
        <v>13</v>
      </c>
      <c r="AX19" s="46">
        <f>[Form]</f>
        <v>5</v>
      </c>
      <c r="AY19" s="46">
        <f>[ID]</f>
        <v>17</v>
      </c>
      <c r="AZ19" s="74">
        <v>12</v>
      </c>
    </row>
    <row r="20" spans="13:52">
      <c r="M20" s="49" t="str">
        <f>'Table Seed Map'!$A$11&amp;"-"&amp;(COUNTA($Q$1:FormFields[[#This Row],[ID]])-2)</f>
        <v>Form Fields-18</v>
      </c>
      <c r="N20" s="53" t="s">
        <v>1083</v>
      </c>
      <c r="O20" s="46">
        <f>IF(FormFields[[#This Row],[Form Name]]="","id",COUNTA($N$3:FormFields[[#This Row],[Form Name]])+IF(VLOOKUP('Table Seed Map'!$A$11,SeedMap[],9,0),VLOOKUP('Table Seed Map'!$A$11,SeedMap[],9,0),0))</f>
        <v>18</v>
      </c>
      <c r="P20" s="49" t="str">
        <f>FormFields[[#This Row],[Form Name]]&amp;"/"&amp;FormFields[[#This Row],[Name]]</f>
        <v>ResourceAction/NewActionForm/name</v>
      </c>
      <c r="Q20" s="45">
        <f>FormFields[[#This Row],[No]]</f>
        <v>18</v>
      </c>
      <c r="R20" s="85">
        <f>VLOOKUP(FormFields[[#This Row],[Form Name]],ResourceForms[[FormName]:[No]],2,0)</f>
        <v>5</v>
      </c>
      <c r="S20" s="56" t="s">
        <v>26</v>
      </c>
      <c r="T20" s="56" t="s">
        <v>231</v>
      </c>
      <c r="U20" s="56" t="s">
        <v>890</v>
      </c>
      <c r="V20" s="64"/>
      <c r="W20" s="64"/>
      <c r="X20" s="64"/>
      <c r="Y20" s="64"/>
      <c r="Z20" s="65" t="str">
        <f>'Table Seed Map'!$A$12&amp;"-"&amp;(COUNTIF($AB$2:FormFields[[#This Row],[Exists]],1)-1)</f>
        <v>Field Data-18</v>
      </c>
      <c r="AA20" s="60">
        <f>IF(FormFields[[#This Row],[Exists]]=1,IF(FormFields[[#This Row],[Exists]]="",$AA19,IF($AA19=0,IF(ISNUMBER(VLOOKUP('Table Seed Map'!$A$12,SeedMap[],9,0)),VLOOKUP('Table Seed Map'!$A$12,SeedMap[],9,0)+1,1),IFERROR($AA19+1,0))),$AA19)</f>
        <v>18</v>
      </c>
      <c r="AB20" s="63">
        <f>IF(AND(FormFields[[#This Row],[Attribute]]="",FormFields[[#This Row],[Relation]]=""),0,1)</f>
        <v>1</v>
      </c>
      <c r="AC20" s="63">
        <f>FormFields[[#This Row],[NO2]]</f>
        <v>18</v>
      </c>
      <c r="AD20" s="66">
        <f>[ID]</f>
        <v>18</v>
      </c>
      <c r="AE20" s="63" t="str">
        <f>[Name]</f>
        <v>name</v>
      </c>
      <c r="AF20" s="91" t="str">
        <f>IF(FormFields[[#This Row],[Rel]]="",IF(EXACT($AF19,FormFields[[#Headers],[Relation]]),"relation",""),VLOOKUP(FormFields[[#This Row],[Rel]],RelationTable[[Display]:[RELID]],2,0))</f>
        <v/>
      </c>
      <c r="AG20" s="90" t="str">
        <f>IF(FormFields[[#This Row],[Rel1]]="",IF(EXACT($AG19,FormFields[[#Headers],[R1]]),"nest_relation1",""),VLOOKUP(FormFields[[#This Row],[Rel1]],RelationTable[[Display]:[RELID]],2,0))</f>
        <v/>
      </c>
      <c r="AH20" s="91" t="str">
        <f>IF(FormFields[[#This Row],[Rel2]]="",IF(EXACT($AH19,FormFields[[#Headers],[R2]]),"nest_relation2",""),VLOOKUP(FormFields[[#This Row],[Rel2]],RelationTable[[Display]:[RELID]],2,0))</f>
        <v/>
      </c>
      <c r="AI20" s="91" t="str">
        <f>IF(FormFields[[#This Row],[Rel3]]="",IF(EXACT($AI19,FormFields[[#Headers],[R3]]),"nest_relation3",""),VLOOKUP(FormFields[[#This Row],[Rel3]],RelationTable[[Display]:[RELID]],2,0))</f>
        <v/>
      </c>
      <c r="AJ20" s="46">
        <f>IF(OR(FormFields[[#This Row],[Option Type]]="",FormFields[[#This Row],[Option Type]]="type"),0,1)</f>
        <v>0</v>
      </c>
      <c r="AK20" s="46" t="str">
        <f>'Table Seed Map'!$A$13&amp;"-"&amp;COUNTIF($AJ$2:FormFields[[#This Row],[Exists FO]],1)</f>
        <v>Field Options-4</v>
      </c>
      <c r="AL20" s="46">
        <f>IF(FormFields[[#This Row],[Exists FO]]=0,$AL19,IF($AL19=0,IF(ISNUMBER(VLOOKUP('Table Seed Map'!$A$13,SeedMap[],9,0)),VLOOKUP('Table Seed Map'!$A$13,SeedMap[],9,0)+1,1),IFERROR($AL19+1,0)))</f>
        <v>4</v>
      </c>
      <c r="AM20" s="46">
        <f>FormFields[[#This Row],[NO4]]</f>
        <v>4</v>
      </c>
      <c r="AN20" s="48">
        <f>[ID]</f>
        <v>18</v>
      </c>
      <c r="AO20" s="72"/>
      <c r="AP20" s="72"/>
      <c r="AQ20" s="72"/>
      <c r="AR20" s="72"/>
      <c r="AS20" s="72"/>
      <c r="AT20" s="46">
        <f>IF(OR(FormFields[[#This Row],[Colspan]]="",FormFields[[#This Row],[Colspan]]="colspan"),0,1)</f>
        <v>1</v>
      </c>
      <c r="AU20" s="46" t="str">
        <f>'Table Seed Map'!$A$18&amp;"-"&amp;SUM($AT$2:FormFields[[#This Row],[Exists FL]])</f>
        <v>Form Layout-14</v>
      </c>
      <c r="AV20" s="46">
        <f>IF(FormFields[[#This Row],[Exists FL]]=0,IF(FormFields[[#This Row],[Form Name]]="","id",""),SUM($AT$3:FormFields[[#This Row],[Exists FL]],IF(VLOOKUP('Table Seed Map'!$A$18,SeedMap[],9,0),VLOOKUP('Table Seed Map'!$A$18,SeedMap[],9,0),0)))</f>
        <v>14</v>
      </c>
      <c r="AW20" s="45">
        <f>FormFields[[#This Row],[NO8]]</f>
        <v>14</v>
      </c>
      <c r="AX20" s="46">
        <f>[Form]</f>
        <v>5</v>
      </c>
      <c r="AY20" s="46">
        <f>[ID]</f>
        <v>18</v>
      </c>
      <c r="AZ20" s="74">
        <v>4</v>
      </c>
    </row>
    <row r="21" spans="13:52">
      <c r="M21" s="49" t="str">
        <f>'Table Seed Map'!$A$11&amp;"-"&amp;(COUNTA($Q$1:FormFields[[#This Row],[ID]])-2)</f>
        <v>Form Fields-19</v>
      </c>
      <c r="N21" s="53" t="s">
        <v>1083</v>
      </c>
      <c r="O21" s="46">
        <f>IF(FormFields[[#This Row],[Form Name]]="","id",COUNTA($N$3:FormFields[[#This Row],[Form Name]])+IF(VLOOKUP('Table Seed Map'!$A$11,SeedMap[],9,0),VLOOKUP('Table Seed Map'!$A$11,SeedMap[],9,0),0))</f>
        <v>19</v>
      </c>
      <c r="P21" s="49" t="str">
        <f>FormFields[[#This Row],[Form Name]]&amp;"/"&amp;FormFields[[#This Row],[Name]]</f>
        <v>ResourceAction/NewActionForm/menu</v>
      </c>
      <c r="Q21" s="45">
        <f>FormFields[[#This Row],[No]]</f>
        <v>19</v>
      </c>
      <c r="R21" s="85">
        <f>VLOOKUP(FormFields[[#This Row],[Form Name]],ResourceForms[[FormName]:[No]],2,0)</f>
        <v>5</v>
      </c>
      <c r="S21" s="56" t="s">
        <v>266</v>
      </c>
      <c r="T21" s="56" t="s">
        <v>231</v>
      </c>
      <c r="U21" s="56" t="s">
        <v>1086</v>
      </c>
      <c r="V21" s="64"/>
      <c r="W21" s="64"/>
      <c r="X21" s="64"/>
      <c r="Y21" s="64"/>
      <c r="Z21" s="65" t="str">
        <f>'Table Seed Map'!$A$12&amp;"-"&amp;(COUNTIF($AB$2:FormFields[[#This Row],[Exists]],1)-1)</f>
        <v>Field Data-19</v>
      </c>
      <c r="AA21" s="60">
        <f>IF(FormFields[[#This Row],[Exists]]=1,IF(FormFields[[#This Row],[Exists]]="",$AA20,IF($AA20=0,IF(ISNUMBER(VLOOKUP('Table Seed Map'!$A$12,SeedMap[],9,0)),VLOOKUP('Table Seed Map'!$A$12,SeedMap[],9,0)+1,1),IFERROR($AA20+1,0))),$AA20)</f>
        <v>19</v>
      </c>
      <c r="AB21" s="63">
        <f>IF(AND(FormFields[[#This Row],[Attribute]]="",FormFields[[#This Row],[Relation]]=""),0,1)</f>
        <v>1</v>
      </c>
      <c r="AC21" s="63">
        <f>FormFields[[#This Row],[NO2]]</f>
        <v>19</v>
      </c>
      <c r="AD21" s="66">
        <f>[ID]</f>
        <v>19</v>
      </c>
      <c r="AE21" s="63" t="str">
        <f>[Name]</f>
        <v>menu</v>
      </c>
      <c r="AF21" s="91" t="str">
        <f>IF(FormFields[[#This Row],[Rel]]="",IF(EXACT($AF20,FormFields[[#Headers],[Relation]]),"relation",""),VLOOKUP(FormFields[[#This Row],[Rel]],RelationTable[[Display]:[RELID]],2,0))</f>
        <v/>
      </c>
      <c r="AG21" s="90" t="str">
        <f>IF(FormFields[[#This Row],[Rel1]]="",IF(EXACT($AG20,FormFields[[#Headers],[R1]]),"nest_relation1",""),VLOOKUP(FormFields[[#This Row],[Rel1]],RelationTable[[Display]:[RELID]],2,0))</f>
        <v/>
      </c>
      <c r="AH21" s="91" t="str">
        <f>IF(FormFields[[#This Row],[Rel2]]="",IF(EXACT($AH20,FormFields[[#Headers],[R2]]),"nest_relation2",""),VLOOKUP(FormFields[[#This Row],[Rel2]],RelationTable[[Display]:[RELID]],2,0))</f>
        <v/>
      </c>
      <c r="AI21" s="91" t="str">
        <f>IF(FormFields[[#This Row],[Rel3]]="",IF(EXACT($AI20,FormFields[[#Headers],[R3]]),"nest_relation3",""),VLOOKUP(FormFields[[#This Row],[Rel3]],RelationTable[[Display]:[RELID]],2,0))</f>
        <v/>
      </c>
      <c r="AJ21" s="46">
        <f>IF(OR(FormFields[[#This Row],[Option Type]]="",FormFields[[#This Row],[Option Type]]="type"),0,1)</f>
        <v>0</v>
      </c>
      <c r="AK21" s="46" t="str">
        <f>'Table Seed Map'!$A$13&amp;"-"&amp;COUNTIF($AJ$2:FormFields[[#This Row],[Exists FO]],1)</f>
        <v>Field Options-4</v>
      </c>
      <c r="AL21" s="46">
        <f>IF(FormFields[[#This Row],[Exists FO]]=0,$AL20,IF($AL20=0,IF(ISNUMBER(VLOOKUP('Table Seed Map'!$A$13,SeedMap[],9,0)),VLOOKUP('Table Seed Map'!$A$13,SeedMap[],9,0)+1,1),IFERROR($AL20+1,0)))</f>
        <v>4</v>
      </c>
      <c r="AM21" s="46">
        <f>FormFields[[#This Row],[NO4]]</f>
        <v>4</v>
      </c>
      <c r="AN21" s="48">
        <f>[ID]</f>
        <v>19</v>
      </c>
      <c r="AO21" s="72"/>
      <c r="AP21" s="72"/>
      <c r="AQ21" s="72"/>
      <c r="AR21" s="72"/>
      <c r="AS21" s="72"/>
      <c r="AT21" s="46">
        <f>IF(OR(FormFields[[#This Row],[Colspan]]="",FormFields[[#This Row],[Colspan]]="colspan"),0,1)</f>
        <v>1</v>
      </c>
      <c r="AU21" s="46" t="str">
        <f>'Table Seed Map'!$A$18&amp;"-"&amp;SUM($AT$2:FormFields[[#This Row],[Exists FL]])</f>
        <v>Form Layout-15</v>
      </c>
      <c r="AV21" s="46">
        <f>IF(FormFields[[#This Row],[Exists FL]]=0,IF(FormFields[[#This Row],[Form Name]]="","id",""),SUM($AT$3:FormFields[[#This Row],[Exists FL]],IF(VLOOKUP('Table Seed Map'!$A$18,SeedMap[],9,0),VLOOKUP('Table Seed Map'!$A$18,SeedMap[],9,0),0)))</f>
        <v>15</v>
      </c>
      <c r="AW21" s="45">
        <f>FormFields[[#This Row],[NO8]]</f>
        <v>15</v>
      </c>
      <c r="AX21" s="46">
        <f>[Form]</f>
        <v>5</v>
      </c>
      <c r="AY21" s="46">
        <f>[ID]</f>
        <v>19</v>
      </c>
      <c r="AZ21" s="74">
        <v>4</v>
      </c>
    </row>
    <row r="22" spans="13:52">
      <c r="M22" s="49" t="str">
        <f>'Table Seed Map'!$A$11&amp;"-"&amp;(COUNTA($Q$1:FormFields[[#This Row],[ID]])-2)</f>
        <v>Form Fields-20</v>
      </c>
      <c r="N22" s="53" t="s">
        <v>1083</v>
      </c>
      <c r="O22" s="46">
        <f>IF(FormFields[[#This Row],[Form Name]]="","id",COUNTA($N$3:FormFields[[#This Row],[Form Name]])+IF(VLOOKUP('Table Seed Map'!$A$11,SeedMap[],9,0),VLOOKUP('Table Seed Map'!$A$11,SeedMap[],9,0),0))</f>
        <v>20</v>
      </c>
      <c r="P22" s="49" t="str">
        <f>FormFields[[#This Row],[Form Name]]&amp;"/"&amp;FormFields[[#This Row],[Name]]</f>
        <v>ResourceAction/NewActionForm/title</v>
      </c>
      <c r="Q22" s="45">
        <f>FormFields[[#This Row],[No]]</f>
        <v>20</v>
      </c>
      <c r="R22" s="85">
        <f>VLOOKUP(FormFields[[#This Row],[Form Name]],ResourceForms[[FormName]:[No]],2,0)</f>
        <v>5</v>
      </c>
      <c r="S22" s="56" t="s">
        <v>30</v>
      </c>
      <c r="T22" s="56" t="s">
        <v>231</v>
      </c>
      <c r="U22" s="56" t="s">
        <v>1085</v>
      </c>
      <c r="V22" s="64"/>
      <c r="W22" s="64"/>
      <c r="X22" s="64"/>
      <c r="Y22" s="64"/>
      <c r="Z22" s="65" t="str">
        <f>'Table Seed Map'!$A$12&amp;"-"&amp;(COUNTIF($AB$2:FormFields[[#This Row],[Exists]],1)-1)</f>
        <v>Field Data-20</v>
      </c>
      <c r="AA22" s="60">
        <f>IF(FormFields[[#This Row],[Exists]]=1,IF(FormFields[[#This Row],[Exists]]="",$AA21,IF($AA21=0,IF(ISNUMBER(VLOOKUP('Table Seed Map'!$A$12,SeedMap[],9,0)),VLOOKUP('Table Seed Map'!$A$12,SeedMap[],9,0)+1,1),IFERROR($AA21+1,0))),$AA21)</f>
        <v>20</v>
      </c>
      <c r="AB22" s="63">
        <f>IF(AND(FormFields[[#This Row],[Attribute]]="",FormFields[[#This Row],[Relation]]=""),0,1)</f>
        <v>1</v>
      </c>
      <c r="AC22" s="63">
        <f>FormFields[[#This Row],[NO2]]</f>
        <v>20</v>
      </c>
      <c r="AD22" s="66">
        <f>[ID]</f>
        <v>20</v>
      </c>
      <c r="AE22" s="63" t="str">
        <f>[Name]</f>
        <v>title</v>
      </c>
      <c r="AF22" s="91" t="str">
        <f>IF(FormFields[[#This Row],[Rel]]="",IF(EXACT($AF21,FormFields[[#Headers],[Relation]]),"relation",""),VLOOKUP(FormFields[[#This Row],[Rel]],RelationTable[[Display]:[RELID]],2,0))</f>
        <v/>
      </c>
      <c r="AG22" s="90" t="str">
        <f>IF(FormFields[[#This Row],[Rel1]]="",IF(EXACT($AG21,FormFields[[#Headers],[R1]]),"nest_relation1",""),VLOOKUP(FormFields[[#This Row],[Rel1]],RelationTable[[Display]:[RELID]],2,0))</f>
        <v/>
      </c>
      <c r="AH22" s="91" t="str">
        <f>IF(FormFields[[#This Row],[Rel2]]="",IF(EXACT($AH21,FormFields[[#Headers],[R2]]),"nest_relation2",""),VLOOKUP(FormFields[[#This Row],[Rel2]],RelationTable[[Display]:[RELID]],2,0))</f>
        <v/>
      </c>
      <c r="AI22" s="91" t="str">
        <f>IF(FormFields[[#This Row],[Rel3]]="",IF(EXACT($AI21,FormFields[[#Headers],[R3]]),"nest_relation3",""),VLOOKUP(FormFields[[#This Row],[Rel3]],RelationTable[[Display]:[RELID]],2,0))</f>
        <v/>
      </c>
      <c r="AJ22" s="46">
        <f>IF(OR(FormFields[[#This Row],[Option Type]]="",FormFields[[#This Row],[Option Type]]="type"),0,1)</f>
        <v>0</v>
      </c>
      <c r="AK22" s="46" t="str">
        <f>'Table Seed Map'!$A$13&amp;"-"&amp;COUNTIF($AJ$2:FormFields[[#This Row],[Exists FO]],1)</f>
        <v>Field Options-4</v>
      </c>
      <c r="AL22" s="46">
        <f>IF(FormFields[[#This Row],[Exists FO]]=0,$AL21,IF($AL21=0,IF(ISNUMBER(VLOOKUP('Table Seed Map'!$A$13,SeedMap[],9,0)),VLOOKUP('Table Seed Map'!$A$13,SeedMap[],9,0)+1,1),IFERROR($AL21+1,0)))</f>
        <v>4</v>
      </c>
      <c r="AM22" s="46">
        <f>FormFields[[#This Row],[NO4]]</f>
        <v>4</v>
      </c>
      <c r="AN22" s="48">
        <f>[ID]</f>
        <v>20</v>
      </c>
      <c r="AO22" s="72"/>
      <c r="AP22" s="72"/>
      <c r="AQ22" s="72"/>
      <c r="AR22" s="72"/>
      <c r="AS22" s="72"/>
      <c r="AT22" s="46">
        <f>IF(OR(FormFields[[#This Row],[Colspan]]="",FormFields[[#This Row],[Colspan]]="colspan"),0,1)</f>
        <v>1</v>
      </c>
      <c r="AU22" s="46" t="str">
        <f>'Table Seed Map'!$A$18&amp;"-"&amp;SUM($AT$2:FormFields[[#This Row],[Exists FL]])</f>
        <v>Form Layout-16</v>
      </c>
      <c r="AV22" s="46">
        <f>IF(FormFields[[#This Row],[Exists FL]]=0,IF(FormFields[[#This Row],[Form Name]]="","id",""),SUM($AT$3:FormFields[[#This Row],[Exists FL]],IF(VLOOKUP('Table Seed Map'!$A$18,SeedMap[],9,0),VLOOKUP('Table Seed Map'!$A$18,SeedMap[],9,0),0)))</f>
        <v>16</v>
      </c>
      <c r="AW22" s="45">
        <f>FormFields[[#This Row],[NO8]]</f>
        <v>16</v>
      </c>
      <c r="AX22" s="46">
        <f>[Form]</f>
        <v>5</v>
      </c>
      <c r="AY22" s="46">
        <f>[ID]</f>
        <v>20</v>
      </c>
      <c r="AZ22" s="74">
        <v>4</v>
      </c>
    </row>
    <row r="23" spans="13:52">
      <c r="M23" s="49" t="str">
        <f>'Table Seed Map'!$A$11&amp;"-"&amp;(COUNTA($Q$1:FormFields[[#This Row],[ID]])-2)</f>
        <v>Form Fields-21</v>
      </c>
      <c r="N23" s="53" t="s">
        <v>1083</v>
      </c>
      <c r="O23" s="46">
        <f>IF(FormFields[[#This Row],[Form Name]]="","id",COUNTA($N$3:FormFields[[#This Row],[Form Name]])+IF(VLOOKUP('Table Seed Map'!$A$11,SeedMap[],9,0),VLOOKUP('Table Seed Map'!$A$11,SeedMap[],9,0),0))</f>
        <v>21</v>
      </c>
      <c r="P23" s="49" t="str">
        <f>FormFields[[#This Row],[Form Name]]&amp;"/"&amp;FormFields[[#This Row],[Name]]</f>
        <v>ResourceAction/NewActionForm/description</v>
      </c>
      <c r="Q23" s="45">
        <f>FormFields[[#This Row],[No]]</f>
        <v>21</v>
      </c>
      <c r="R23" s="85">
        <f>VLOOKUP(FormFields[[#This Row],[Form Name]],ResourceForms[[FormName]:[No]],2,0)</f>
        <v>5</v>
      </c>
      <c r="S23" s="56" t="s">
        <v>28</v>
      </c>
      <c r="T23" s="56" t="s">
        <v>973</v>
      </c>
      <c r="U23" s="56" t="s">
        <v>242</v>
      </c>
      <c r="V23" s="64"/>
      <c r="W23" s="64"/>
      <c r="X23" s="64"/>
      <c r="Y23" s="64"/>
      <c r="Z23" s="65" t="str">
        <f>'Table Seed Map'!$A$12&amp;"-"&amp;(COUNTIF($AB$2:FormFields[[#This Row],[Exists]],1)-1)</f>
        <v>Field Data-21</v>
      </c>
      <c r="AA23" s="60">
        <f>IF(FormFields[[#This Row],[Exists]]=1,IF(FormFields[[#This Row],[Exists]]="",$AA22,IF($AA22=0,IF(ISNUMBER(VLOOKUP('Table Seed Map'!$A$12,SeedMap[],9,0)),VLOOKUP('Table Seed Map'!$A$12,SeedMap[],9,0)+1,1),IFERROR($AA22+1,0))),$AA22)</f>
        <v>21</v>
      </c>
      <c r="AB23" s="63">
        <f>IF(AND(FormFields[[#This Row],[Attribute]]="",FormFields[[#This Row],[Relation]]=""),0,1)</f>
        <v>1</v>
      </c>
      <c r="AC23" s="63">
        <f>FormFields[[#This Row],[NO2]]</f>
        <v>21</v>
      </c>
      <c r="AD23" s="66">
        <f>[ID]</f>
        <v>21</v>
      </c>
      <c r="AE23" s="63" t="str">
        <f>[Name]</f>
        <v>description</v>
      </c>
      <c r="AF23" s="91" t="str">
        <f>IF(FormFields[[#This Row],[Rel]]="",IF(EXACT($AF22,FormFields[[#Headers],[Relation]]),"relation",""),VLOOKUP(FormFields[[#This Row],[Rel]],RelationTable[[Display]:[RELID]],2,0))</f>
        <v/>
      </c>
      <c r="AG23" s="90" t="str">
        <f>IF(FormFields[[#This Row],[Rel1]]="",IF(EXACT($AG22,FormFields[[#Headers],[R1]]),"nest_relation1",""),VLOOKUP(FormFields[[#This Row],[Rel1]],RelationTable[[Display]:[RELID]],2,0))</f>
        <v/>
      </c>
      <c r="AH23" s="91" t="str">
        <f>IF(FormFields[[#This Row],[Rel2]]="",IF(EXACT($AH22,FormFields[[#Headers],[R2]]),"nest_relation2",""),VLOOKUP(FormFields[[#This Row],[Rel2]],RelationTable[[Display]:[RELID]],2,0))</f>
        <v/>
      </c>
      <c r="AI23" s="91" t="str">
        <f>IF(FormFields[[#This Row],[Rel3]]="",IF(EXACT($AI22,FormFields[[#Headers],[R3]]),"nest_relation3",""),VLOOKUP(FormFields[[#This Row],[Rel3]],RelationTable[[Display]:[RELID]],2,0))</f>
        <v/>
      </c>
      <c r="AJ23" s="46">
        <f>IF(OR(FormFields[[#This Row],[Option Type]]="",FormFields[[#This Row],[Option Type]]="type"),0,1)</f>
        <v>0</v>
      </c>
      <c r="AK23" s="46" t="str">
        <f>'Table Seed Map'!$A$13&amp;"-"&amp;COUNTIF($AJ$2:FormFields[[#This Row],[Exists FO]],1)</f>
        <v>Field Options-4</v>
      </c>
      <c r="AL23" s="46">
        <f>IF(FormFields[[#This Row],[Exists FO]]=0,$AL22,IF($AL22=0,IF(ISNUMBER(VLOOKUP('Table Seed Map'!$A$13,SeedMap[],9,0)),VLOOKUP('Table Seed Map'!$A$13,SeedMap[],9,0)+1,1),IFERROR($AL22+1,0)))</f>
        <v>4</v>
      </c>
      <c r="AM23" s="46">
        <f>FormFields[[#This Row],[NO4]]</f>
        <v>4</v>
      </c>
      <c r="AN23" s="48">
        <f>[ID]</f>
        <v>21</v>
      </c>
      <c r="AO23" s="72"/>
      <c r="AP23" s="72"/>
      <c r="AQ23" s="72"/>
      <c r="AR23" s="72"/>
      <c r="AS23" s="72"/>
      <c r="AT23" s="46">
        <f>IF(OR(FormFields[[#This Row],[Colspan]]="",FormFields[[#This Row],[Colspan]]="colspan"),0,1)</f>
        <v>1</v>
      </c>
      <c r="AU23" s="46" t="str">
        <f>'Table Seed Map'!$A$18&amp;"-"&amp;SUM($AT$2:FormFields[[#This Row],[Exists FL]])</f>
        <v>Form Layout-17</v>
      </c>
      <c r="AV23" s="46">
        <f>IF(FormFields[[#This Row],[Exists FL]]=0,IF(FormFields[[#This Row],[Form Name]]="","id",""),SUM($AT$3:FormFields[[#This Row],[Exists FL]],IF(VLOOKUP('Table Seed Map'!$A$18,SeedMap[],9,0),VLOOKUP('Table Seed Map'!$A$18,SeedMap[],9,0),0)))</f>
        <v>17</v>
      </c>
      <c r="AW23" s="45">
        <f>FormFields[[#This Row],[NO8]]</f>
        <v>17</v>
      </c>
      <c r="AX23" s="46">
        <f>[Form]</f>
        <v>5</v>
      </c>
      <c r="AY23" s="46">
        <f>[ID]</f>
        <v>21</v>
      </c>
      <c r="AZ23" s="74">
        <v>12</v>
      </c>
    </row>
    <row r="24" spans="13:52">
      <c r="M24" s="49" t="str">
        <f>'Table Seed Map'!$A$11&amp;"-"&amp;(COUNTA($Q$1:FormFields[[#This Row],[ID]])-2)</f>
        <v>Form Fields-22</v>
      </c>
      <c r="N24" s="53" t="s">
        <v>1083</v>
      </c>
      <c r="O24" s="46">
        <f>IF(FormFields[[#This Row],[Form Name]]="","id",COUNTA($N$3:FormFields[[#This Row],[Form Name]])+IF(VLOOKUP('Table Seed Map'!$A$11,SeedMap[],9,0),VLOOKUP('Table Seed Map'!$A$11,SeedMap[],9,0),0))</f>
        <v>22</v>
      </c>
      <c r="P24" s="49" t="str">
        <f>FormFields[[#This Row],[Form Name]]&amp;"/"&amp;FormFields[[#This Row],[Name]]</f>
        <v>ResourceAction/NewActionForm/type</v>
      </c>
      <c r="Q24" s="45">
        <f>FormFields[[#This Row],[No]]</f>
        <v>22</v>
      </c>
      <c r="R24" s="85">
        <f>VLOOKUP(FormFields[[#This Row],[Form Name]],ResourceForms[[FormName]:[No]],2,0)</f>
        <v>5</v>
      </c>
      <c r="S24" s="56" t="s">
        <v>48</v>
      </c>
      <c r="T24" s="56" t="s">
        <v>234</v>
      </c>
      <c r="U24" s="56" t="s">
        <v>1087</v>
      </c>
      <c r="V24" s="64" t="s">
        <v>1084</v>
      </c>
      <c r="W24" s="64"/>
      <c r="X24" s="64"/>
      <c r="Y24" s="64"/>
      <c r="Z24" s="65" t="str">
        <f>'Table Seed Map'!$A$12&amp;"-"&amp;(COUNTIF($AB$2:FormFields[[#This Row],[Exists]],1)-1)</f>
        <v>Field Data-22</v>
      </c>
      <c r="AA24" s="60">
        <f>IF(FormFields[[#This Row],[Exists]]=1,IF(FormFields[[#This Row],[Exists]]="",$AA23,IF($AA23=0,IF(ISNUMBER(VLOOKUP('Table Seed Map'!$A$12,SeedMap[],9,0)),VLOOKUP('Table Seed Map'!$A$12,SeedMap[],9,0)+1,1),IFERROR($AA23+1,0))),$AA23)</f>
        <v>22</v>
      </c>
      <c r="AB24" s="63">
        <f>IF(AND(FormFields[[#This Row],[Attribute]]="",FormFields[[#This Row],[Relation]]=""),0,1)</f>
        <v>1</v>
      </c>
      <c r="AC24" s="63">
        <f>FormFields[[#This Row],[NO2]]</f>
        <v>22</v>
      </c>
      <c r="AD24" s="66">
        <f>[ID]</f>
        <v>22</v>
      </c>
      <c r="AE24" s="63" t="str">
        <f>[Name]</f>
        <v>type</v>
      </c>
      <c r="AF24" s="91">
        <f>IF(FormFields[[#This Row],[Rel]]="",IF(EXACT($AF23,FormFields[[#Headers],[Relation]]),"relation",""),VLOOKUP(FormFields[[#This Row],[Rel]],RelationTable[[Display]:[RELID]],2,0))</f>
        <v>8</v>
      </c>
      <c r="AG24" s="90" t="str">
        <f>IF(FormFields[[#This Row],[Rel1]]="",IF(EXACT($AG23,FormFields[[#Headers],[R1]]),"nest_relation1",""),VLOOKUP(FormFields[[#This Row],[Rel1]],RelationTable[[Display]:[RELID]],2,0))</f>
        <v/>
      </c>
      <c r="AH24" s="91" t="str">
        <f>IF(FormFields[[#This Row],[Rel2]]="",IF(EXACT($AH23,FormFields[[#Headers],[R2]]),"nest_relation2",""),VLOOKUP(FormFields[[#This Row],[Rel2]],RelationTable[[Display]:[RELID]],2,0))</f>
        <v/>
      </c>
      <c r="AI24" s="91" t="str">
        <f>IF(FormFields[[#This Row],[Rel3]]="",IF(EXACT($AI23,FormFields[[#Headers],[R3]]),"nest_relation3",""),VLOOKUP(FormFields[[#This Row],[Rel3]],RelationTable[[Display]:[RELID]],2,0))</f>
        <v/>
      </c>
      <c r="AJ24" s="46">
        <f>IF(OR(FormFields[[#This Row],[Option Type]]="",FormFields[[#This Row],[Option Type]]="type"),0,1)</f>
        <v>1</v>
      </c>
      <c r="AK24" s="46" t="str">
        <f>'Table Seed Map'!$A$13&amp;"-"&amp;COUNTIF($AJ$2:FormFields[[#This Row],[Exists FO]],1)</f>
        <v>Field Options-5</v>
      </c>
      <c r="AL24" s="46">
        <f>IF(FormFields[[#This Row],[Exists FO]]=0,$AL23,IF($AL23=0,IF(ISNUMBER(VLOOKUP('Table Seed Map'!$A$13,SeedMap[],9,0)),VLOOKUP('Table Seed Map'!$A$13,SeedMap[],9,0)+1,1),IFERROR($AL23+1,0)))</f>
        <v>5</v>
      </c>
      <c r="AM24" s="46">
        <f>FormFields[[#This Row],[NO4]]</f>
        <v>5</v>
      </c>
      <c r="AN24" s="48">
        <f>[ID]</f>
        <v>22</v>
      </c>
      <c r="AO24" s="72" t="s">
        <v>1115</v>
      </c>
      <c r="AP24" s="72"/>
      <c r="AQ24" s="72"/>
      <c r="AR24" s="72"/>
      <c r="AS24" s="72"/>
      <c r="AT24" s="46">
        <f>IF(OR(FormFields[[#This Row],[Colspan]]="",FormFields[[#This Row],[Colspan]]="colspan"),0,1)</f>
        <v>1</v>
      </c>
      <c r="AU24" s="46" t="str">
        <f>'Table Seed Map'!$A$18&amp;"-"&amp;SUM($AT$2:FormFields[[#This Row],[Exists FL]])</f>
        <v>Form Layout-18</v>
      </c>
      <c r="AV24" s="46">
        <f>IF(FormFields[[#This Row],[Exists FL]]=0,IF(FormFields[[#This Row],[Form Name]]="","id",""),SUM($AT$3:FormFields[[#This Row],[Exists FL]],IF(VLOOKUP('Table Seed Map'!$A$18,SeedMap[],9,0),VLOOKUP('Table Seed Map'!$A$18,SeedMap[],9,0),0)))</f>
        <v>18</v>
      </c>
      <c r="AW24" s="45">
        <f>FormFields[[#This Row],[NO8]]</f>
        <v>18</v>
      </c>
      <c r="AX24" s="46">
        <f>[Form]</f>
        <v>5</v>
      </c>
      <c r="AY24" s="46">
        <f>[ID]</f>
        <v>22</v>
      </c>
      <c r="AZ24" s="74">
        <v>4</v>
      </c>
    </row>
    <row r="25" spans="13:52">
      <c r="M25" s="49" t="str">
        <f>'Table Seed Map'!$A$11&amp;"-"&amp;(COUNTA($Q$1:FormFields[[#This Row],[ID]])-2)</f>
        <v>Form Fields-23</v>
      </c>
      <c r="N25" s="53" t="s">
        <v>1083</v>
      </c>
      <c r="O25" s="46">
        <f>IF(FormFields[[#This Row],[Form Name]]="","id",COUNTA($N$3:FormFields[[#This Row],[Form Name]])+IF(VLOOKUP('Table Seed Map'!$A$11,SeedMap[],9,0),VLOOKUP('Table Seed Map'!$A$11,SeedMap[],9,0),0))</f>
        <v>23</v>
      </c>
      <c r="P25" s="49" t="str">
        <f>FormFields[[#This Row],[Form Name]]&amp;"/"&amp;FormFields[[#This Row],[Name]]</f>
        <v>ResourceAction/NewActionForm/idn1</v>
      </c>
      <c r="Q25" s="45">
        <f>FormFields[[#This Row],[No]]</f>
        <v>23</v>
      </c>
      <c r="R25" s="85">
        <f>VLOOKUP(FormFields[[#This Row],[Form Name]],ResourceForms[[FormName]:[No]],2,0)</f>
        <v>5</v>
      </c>
      <c r="S25" s="56" t="s">
        <v>111</v>
      </c>
      <c r="T25" s="56" t="s">
        <v>234</v>
      </c>
      <c r="U25" s="56" t="s">
        <v>1088</v>
      </c>
      <c r="V25" s="64" t="s">
        <v>1084</v>
      </c>
      <c r="W25" s="64"/>
      <c r="X25" s="64"/>
      <c r="Y25" s="64"/>
      <c r="Z25" s="65" t="str">
        <f>'Table Seed Map'!$A$12&amp;"-"&amp;(COUNTIF($AB$2:FormFields[[#This Row],[Exists]],1)-1)</f>
        <v>Field Data-23</v>
      </c>
      <c r="AA25" s="60">
        <f>IF(FormFields[[#This Row],[Exists]]=1,IF(FormFields[[#This Row],[Exists]]="",$AA24,IF($AA24=0,IF(ISNUMBER(VLOOKUP('Table Seed Map'!$A$12,SeedMap[],9,0)),VLOOKUP('Table Seed Map'!$A$12,SeedMap[],9,0)+1,1),IFERROR($AA24+1,0))),$AA24)</f>
        <v>23</v>
      </c>
      <c r="AB25" s="63">
        <f>IF(AND(FormFields[[#This Row],[Attribute]]="",FormFields[[#This Row],[Relation]]=""),0,1)</f>
        <v>1</v>
      </c>
      <c r="AC25" s="63">
        <f>FormFields[[#This Row],[NO2]]</f>
        <v>23</v>
      </c>
      <c r="AD25" s="66">
        <f>[ID]</f>
        <v>23</v>
      </c>
      <c r="AE25" s="63" t="str">
        <f>[Name]</f>
        <v>idn1</v>
      </c>
      <c r="AF25" s="91">
        <f>IF(FormFields[[#This Row],[Rel]]="",IF(EXACT($AF24,FormFields[[#Headers],[Relation]]),"relation",""),VLOOKUP(FormFields[[#This Row],[Rel]],RelationTable[[Display]:[RELID]],2,0))</f>
        <v>8</v>
      </c>
      <c r="AG25" s="90" t="str">
        <f>IF(FormFields[[#This Row],[Rel1]]="",IF(EXACT($AG24,FormFields[[#Headers],[R1]]),"nest_relation1",""),VLOOKUP(FormFields[[#This Row],[Rel1]],RelationTable[[Display]:[RELID]],2,0))</f>
        <v/>
      </c>
      <c r="AH25" s="91" t="str">
        <f>IF(FormFields[[#This Row],[Rel2]]="",IF(EXACT($AH24,FormFields[[#Headers],[R2]]),"nest_relation2",""),VLOOKUP(FormFields[[#This Row],[Rel2]],RelationTable[[Display]:[RELID]],2,0))</f>
        <v/>
      </c>
      <c r="AI25" s="91" t="str">
        <f>IF(FormFields[[#This Row],[Rel3]]="",IF(EXACT($AI24,FormFields[[#Headers],[R3]]),"nest_relation3",""),VLOOKUP(FormFields[[#This Row],[Rel3]],RelationTable[[Display]:[RELID]],2,0))</f>
        <v/>
      </c>
      <c r="AJ25" s="46">
        <f>IF(OR(FormFields[[#This Row],[Option Type]]="",FormFields[[#This Row],[Option Type]]="type"),0,1)</f>
        <v>1</v>
      </c>
      <c r="AK25" s="46" t="str">
        <f>'Table Seed Map'!$A$13&amp;"-"&amp;COUNTIF($AJ$2:FormFields[[#This Row],[Exists FO]],1)</f>
        <v>Field Options-6</v>
      </c>
      <c r="AL25" s="46">
        <f>IF(FormFields[[#This Row],[Exists FO]]=0,$AL24,IF($AL24=0,IF(ISNUMBER(VLOOKUP('Table Seed Map'!$A$13,SeedMap[],9,0)),VLOOKUP('Table Seed Map'!$A$13,SeedMap[],9,0)+1,1),IFERROR($AL24+1,0)))</f>
        <v>6</v>
      </c>
      <c r="AM25" s="46">
        <f>FormFields[[#This Row],[NO4]]</f>
        <v>6</v>
      </c>
      <c r="AN25" s="48">
        <f>[ID]</f>
        <v>23</v>
      </c>
      <c r="AO25" s="72" t="s">
        <v>275</v>
      </c>
      <c r="AP25" s="72" t="s">
        <v>1102</v>
      </c>
      <c r="AQ25" s="72"/>
      <c r="AR25" s="72"/>
      <c r="AS25" s="72" t="s">
        <v>239</v>
      </c>
      <c r="AT25" s="46">
        <f>IF(OR(FormFields[[#This Row],[Colspan]]="",FormFields[[#This Row],[Colspan]]="colspan"),0,1)</f>
        <v>1</v>
      </c>
      <c r="AU25" s="46" t="str">
        <f>'Table Seed Map'!$A$18&amp;"-"&amp;SUM($AT$2:FormFields[[#This Row],[Exists FL]])</f>
        <v>Form Layout-19</v>
      </c>
      <c r="AV25" s="46">
        <f>IF(FormFields[[#This Row],[Exists FL]]=0,IF(FormFields[[#This Row],[Form Name]]="","id",""),SUM($AT$3:FormFields[[#This Row],[Exists FL]],IF(VLOOKUP('Table Seed Map'!$A$18,SeedMap[],9,0),VLOOKUP('Table Seed Map'!$A$18,SeedMap[],9,0),0)))</f>
        <v>19</v>
      </c>
      <c r="AW25" s="45">
        <f>FormFields[[#This Row],[NO8]]</f>
        <v>19</v>
      </c>
      <c r="AX25" s="46">
        <f>[Form]</f>
        <v>5</v>
      </c>
      <c r="AY25" s="46">
        <f>[ID]</f>
        <v>23</v>
      </c>
      <c r="AZ25" s="74">
        <v>4</v>
      </c>
    </row>
    <row r="26" spans="13:52">
      <c r="M26" s="49" t="str">
        <f>'Table Seed Map'!$A$11&amp;"-"&amp;(COUNTA($Q$1:FormFields[[#This Row],[ID]])-2)</f>
        <v>Form Fields-24</v>
      </c>
      <c r="N26" s="53" t="s">
        <v>1083</v>
      </c>
      <c r="O26" s="46">
        <f>IF(FormFields[[#This Row],[Form Name]]="","id",COUNTA($N$3:FormFields[[#This Row],[Form Name]])+IF(VLOOKUP('Table Seed Map'!$A$11,SeedMap[],9,0),VLOOKUP('Table Seed Map'!$A$11,SeedMap[],9,0),0))</f>
        <v>24</v>
      </c>
      <c r="P26" s="49" t="str">
        <f>FormFields[[#This Row],[Form Name]]&amp;"/"&amp;FormFields[[#This Row],[Name]]</f>
        <v>ResourceAction/NewActionForm/idn2</v>
      </c>
      <c r="Q26" s="45">
        <f>FormFields[[#This Row],[No]]</f>
        <v>24</v>
      </c>
      <c r="R26" s="85">
        <f>VLOOKUP(FormFields[[#This Row],[Form Name]],ResourceForms[[FormName]:[No]],2,0)</f>
        <v>5</v>
      </c>
      <c r="S26" s="56" t="s">
        <v>112</v>
      </c>
      <c r="T26" s="56" t="s">
        <v>234</v>
      </c>
      <c r="U26" s="56" t="s">
        <v>1089</v>
      </c>
      <c r="V26" s="64" t="s">
        <v>1084</v>
      </c>
      <c r="W26" s="64"/>
      <c r="X26" s="64"/>
      <c r="Y26" s="64"/>
      <c r="Z26" s="65" t="str">
        <f>'Table Seed Map'!$A$12&amp;"-"&amp;(COUNTIF($AB$2:FormFields[[#This Row],[Exists]],1)-1)</f>
        <v>Field Data-24</v>
      </c>
      <c r="AA26" s="60">
        <f>IF(FormFields[[#This Row],[Exists]]=1,IF(FormFields[[#This Row],[Exists]]="",$AA25,IF($AA25=0,IF(ISNUMBER(VLOOKUP('Table Seed Map'!$A$12,SeedMap[],9,0)),VLOOKUP('Table Seed Map'!$A$12,SeedMap[],9,0)+1,1),IFERROR($AA25+1,0))),$AA25)</f>
        <v>24</v>
      </c>
      <c r="AB26" s="63">
        <f>IF(AND(FormFields[[#This Row],[Attribute]]="",FormFields[[#This Row],[Relation]]=""),0,1)</f>
        <v>1</v>
      </c>
      <c r="AC26" s="63">
        <f>FormFields[[#This Row],[NO2]]</f>
        <v>24</v>
      </c>
      <c r="AD26" s="66">
        <f>[ID]</f>
        <v>24</v>
      </c>
      <c r="AE26" s="63" t="str">
        <f>[Name]</f>
        <v>idn2</v>
      </c>
      <c r="AF26" s="91">
        <f>IF(FormFields[[#This Row],[Rel]]="",IF(EXACT($AF25,FormFields[[#Headers],[Relation]]),"relation",""),VLOOKUP(FormFields[[#This Row],[Rel]],RelationTable[[Display]:[RELID]],2,0))</f>
        <v>8</v>
      </c>
      <c r="AG26" s="90" t="str">
        <f>IF(FormFields[[#This Row],[Rel1]]="",IF(EXACT($AG25,FormFields[[#Headers],[R1]]),"nest_relation1",""),VLOOKUP(FormFields[[#This Row],[Rel1]],RelationTable[[Display]:[RELID]],2,0))</f>
        <v/>
      </c>
      <c r="AH26" s="91" t="str">
        <f>IF(FormFields[[#This Row],[Rel2]]="",IF(EXACT($AH25,FormFields[[#Headers],[R2]]),"nest_relation2",""),VLOOKUP(FormFields[[#This Row],[Rel2]],RelationTable[[Display]:[RELID]],2,0))</f>
        <v/>
      </c>
      <c r="AI26" s="91" t="str">
        <f>IF(FormFields[[#This Row],[Rel3]]="",IF(EXACT($AI25,FormFields[[#Headers],[R3]]),"nest_relation3",""),VLOOKUP(FormFields[[#This Row],[Rel3]],RelationTable[[Display]:[RELID]],2,0))</f>
        <v/>
      </c>
      <c r="AJ26" s="46">
        <f>IF(OR(FormFields[[#This Row],[Option Type]]="",FormFields[[#This Row],[Option Type]]="type"),0,1)</f>
        <v>1</v>
      </c>
      <c r="AK26" s="46" t="str">
        <f>'Table Seed Map'!$A$13&amp;"-"&amp;COUNTIF($AJ$2:FormFields[[#This Row],[Exists FO]],1)</f>
        <v>Field Options-7</v>
      </c>
      <c r="AL26" s="46">
        <f>IF(FormFields[[#This Row],[Exists FO]]=0,$AL25,IF($AL25=0,IF(ISNUMBER(VLOOKUP('Table Seed Map'!$A$13,SeedMap[],9,0)),VLOOKUP('Table Seed Map'!$A$13,SeedMap[],9,0)+1,1),IFERROR($AL25+1,0)))</f>
        <v>7</v>
      </c>
      <c r="AM26" s="46">
        <f>FormFields[[#This Row],[NO4]]</f>
        <v>7</v>
      </c>
      <c r="AN26" s="48">
        <f>[ID]</f>
        <v>24</v>
      </c>
      <c r="AO26" s="72" t="s">
        <v>275</v>
      </c>
      <c r="AP26" s="72" t="s">
        <v>1103</v>
      </c>
      <c r="AQ26" s="72"/>
      <c r="AR26" s="72"/>
      <c r="AS26" s="72" t="s">
        <v>239</v>
      </c>
      <c r="AT26" s="46">
        <f>IF(OR(FormFields[[#This Row],[Colspan]]="",FormFields[[#This Row],[Colspan]]="colspan"),0,1)</f>
        <v>1</v>
      </c>
      <c r="AU26" s="46" t="str">
        <f>'Table Seed Map'!$A$18&amp;"-"&amp;SUM($AT$2:FormFields[[#This Row],[Exists FL]])</f>
        <v>Form Layout-20</v>
      </c>
      <c r="AV26" s="46">
        <f>IF(FormFields[[#This Row],[Exists FL]]=0,IF(FormFields[[#This Row],[Form Name]]="","id",""),SUM($AT$3:FormFields[[#This Row],[Exists FL]],IF(VLOOKUP('Table Seed Map'!$A$18,SeedMap[],9,0),VLOOKUP('Table Seed Map'!$A$18,SeedMap[],9,0),0)))</f>
        <v>20</v>
      </c>
      <c r="AW26" s="45">
        <f>FormFields[[#This Row],[NO8]]</f>
        <v>20</v>
      </c>
      <c r="AX26" s="46">
        <f>[Form]</f>
        <v>5</v>
      </c>
      <c r="AY26" s="46">
        <f>[ID]</f>
        <v>24</v>
      </c>
      <c r="AZ26" s="74">
        <v>4</v>
      </c>
    </row>
    <row r="27" spans="13:52">
      <c r="M27" s="49" t="str">
        <f>'Table Seed Map'!$A$11&amp;"-"&amp;(COUNTA($Q$1:FormFields[[#This Row],[ID]])-2)</f>
        <v>Form Fields-25</v>
      </c>
      <c r="N27" s="53" t="s">
        <v>1090</v>
      </c>
      <c r="O27" s="46">
        <f>IF(FormFields[[#This Row],[Form Name]]="","id",COUNTA($N$3:FormFields[[#This Row],[Form Name]])+IF(VLOOKUP('Table Seed Map'!$A$11,SeedMap[],9,0),VLOOKUP('Table Seed Map'!$A$11,SeedMap[],9,0),0))</f>
        <v>25</v>
      </c>
      <c r="P27" s="49" t="str">
        <f>FormFields[[#This Row],[Form Name]]&amp;"/"&amp;FormFields[[#This Row],[Name]]</f>
        <v>ResourceAction/AddActionForm/resource</v>
      </c>
      <c r="Q27" s="45">
        <f>FormFields[[#This Row],[No]]</f>
        <v>25</v>
      </c>
      <c r="R27" s="85">
        <f>VLOOKUP(FormFields[[#This Row],[Form Name]],ResourceForms[[FormName]:[No]],2,0)</f>
        <v>6</v>
      </c>
      <c r="S27" s="56" t="s">
        <v>23</v>
      </c>
      <c r="T27" s="56" t="s">
        <v>231</v>
      </c>
      <c r="U27" s="56" t="s">
        <v>992</v>
      </c>
      <c r="V27" s="64"/>
      <c r="W27" s="64"/>
      <c r="X27" s="64"/>
      <c r="Y27" s="64"/>
      <c r="Z27" s="65" t="str">
        <f>'Table Seed Map'!$A$12&amp;"-"&amp;(COUNTIF($AB$2:FormFields[[#This Row],[Exists]],1)-1)</f>
        <v>Field Data-25</v>
      </c>
      <c r="AA27" s="60">
        <f>IF(FormFields[[#This Row],[Exists]]=1,IF(FormFields[[#This Row],[Exists]]="",$AA26,IF($AA26=0,IF(ISNUMBER(VLOOKUP('Table Seed Map'!$A$12,SeedMap[],9,0)),VLOOKUP('Table Seed Map'!$A$12,SeedMap[],9,0)+1,1),IFERROR($AA26+1,0))),$AA26)</f>
        <v>25</v>
      </c>
      <c r="AB27" s="63">
        <f>IF(AND(FormFields[[#This Row],[Attribute]]="",FormFields[[#This Row],[Relation]]=""),0,1)</f>
        <v>1</v>
      </c>
      <c r="AC27" s="63">
        <f>FormFields[[#This Row],[NO2]]</f>
        <v>25</v>
      </c>
      <c r="AD27" s="66">
        <f>[ID]</f>
        <v>25</v>
      </c>
      <c r="AE27" s="63" t="str">
        <f>[Name]</f>
        <v>resource</v>
      </c>
      <c r="AF27" s="91" t="str">
        <f>IF(FormFields[[#This Row],[Rel]]="",IF(EXACT($AF26,FormFields[[#Headers],[Relation]]),"relation",""),VLOOKUP(FormFields[[#This Row],[Rel]],RelationTable[[Display]:[RELID]],2,0))</f>
        <v/>
      </c>
      <c r="AG27" s="90" t="str">
        <f>IF(FormFields[[#This Row],[Rel1]]="",IF(EXACT($AG26,FormFields[[#Headers],[R1]]),"nest_relation1",""),VLOOKUP(FormFields[[#This Row],[Rel1]],RelationTable[[Display]:[RELID]],2,0))</f>
        <v/>
      </c>
      <c r="AH27" s="91" t="str">
        <f>IF(FormFields[[#This Row],[Rel2]]="",IF(EXACT($AH26,FormFields[[#Headers],[R2]]),"nest_relation2",""),VLOOKUP(FormFields[[#This Row],[Rel2]],RelationTable[[Display]:[RELID]],2,0))</f>
        <v/>
      </c>
      <c r="AI27" s="91" t="str">
        <f>IF(FormFields[[#This Row],[Rel3]]="",IF(EXACT($AI26,FormFields[[#Headers],[R3]]),"nest_relation3",""),VLOOKUP(FormFields[[#This Row],[Rel3]],RelationTable[[Display]:[RELID]],2,0))</f>
        <v/>
      </c>
      <c r="AJ27" s="46">
        <f>IF(OR(FormFields[[#This Row],[Option Type]]="",FormFields[[#This Row],[Option Type]]="type"),0,1)</f>
        <v>0</v>
      </c>
      <c r="AK27" s="46" t="str">
        <f>'Table Seed Map'!$A$13&amp;"-"&amp;COUNTIF($AJ$2:FormFields[[#This Row],[Exists FO]],1)</f>
        <v>Field Options-7</v>
      </c>
      <c r="AL27" s="46">
        <f>IF(FormFields[[#This Row],[Exists FO]]=0,$AL26,IF($AL26=0,IF(ISNUMBER(VLOOKUP('Table Seed Map'!$A$13,SeedMap[],9,0)),VLOOKUP('Table Seed Map'!$A$13,SeedMap[],9,0)+1,1),IFERROR($AL26+1,0)))</f>
        <v>7</v>
      </c>
      <c r="AM27" s="46">
        <f>FormFields[[#This Row],[NO4]]</f>
        <v>7</v>
      </c>
      <c r="AN27" s="48">
        <f>[ID]</f>
        <v>25</v>
      </c>
      <c r="AO27" s="72"/>
      <c r="AP27" s="72"/>
      <c r="AQ27" s="72"/>
      <c r="AR27" s="72"/>
      <c r="AS27" s="72"/>
      <c r="AT27" s="46">
        <f>IF(OR(FormFields[[#This Row],[Colspan]]="",FormFields[[#This Row],[Colspan]]="colspan"),0,1)</f>
        <v>0</v>
      </c>
      <c r="AU27" s="46" t="str">
        <f>'Table Seed Map'!$A$18&amp;"-"&amp;SUM($AT$2:FormFields[[#This Row],[Exists FL]])</f>
        <v>Form Layout-20</v>
      </c>
      <c r="AV27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7" s="45" t="str">
        <f>FormFields[[#This Row],[NO8]]</f>
        <v/>
      </c>
      <c r="AX27" s="46">
        <f>[Form]</f>
        <v>6</v>
      </c>
      <c r="AY27" s="46">
        <f>[ID]</f>
        <v>25</v>
      </c>
      <c r="AZ27" s="74"/>
    </row>
    <row r="28" spans="13:52">
      <c r="M28" s="49" t="str">
        <f>'Table Seed Map'!$A$11&amp;"-"&amp;(COUNTA($Q$1:FormFields[[#This Row],[ID]])-2)</f>
        <v>Form Fields-26</v>
      </c>
      <c r="N28" s="53" t="s">
        <v>1090</v>
      </c>
      <c r="O28" s="46">
        <f>IF(FormFields[[#This Row],[Form Name]]="","id",COUNTA($N$3:FormFields[[#This Row],[Form Name]])+IF(VLOOKUP('Table Seed Map'!$A$11,SeedMap[],9,0),VLOOKUP('Table Seed Map'!$A$11,SeedMap[],9,0),0))</f>
        <v>26</v>
      </c>
      <c r="P28" s="49" t="str">
        <f>FormFields[[#This Row],[Form Name]]&amp;"/"&amp;FormFields[[#This Row],[Name]]</f>
        <v>ResourceAction/AddActionForm/name</v>
      </c>
      <c r="Q28" s="45">
        <f>FormFields[[#This Row],[No]]</f>
        <v>26</v>
      </c>
      <c r="R28" s="85">
        <f>VLOOKUP(FormFields[[#This Row],[Form Name]],ResourceForms[[FormName]:[No]],2,0)</f>
        <v>6</v>
      </c>
      <c r="S28" s="56" t="s">
        <v>26</v>
      </c>
      <c r="T28" s="56" t="s">
        <v>231</v>
      </c>
      <c r="U28" s="56" t="s">
        <v>890</v>
      </c>
      <c r="V28" s="64"/>
      <c r="W28" s="64"/>
      <c r="X28" s="64"/>
      <c r="Y28" s="64"/>
      <c r="Z28" s="65" t="str">
        <f>'Table Seed Map'!$A$12&amp;"-"&amp;(COUNTIF($AB$2:FormFields[[#This Row],[Exists]],1)-1)</f>
        <v>Field Data-26</v>
      </c>
      <c r="AA28" s="60">
        <f>IF(FormFields[[#This Row],[Exists]]=1,IF(FormFields[[#This Row],[Exists]]="",$AA27,IF($AA27=0,IF(ISNUMBER(VLOOKUP('Table Seed Map'!$A$12,SeedMap[],9,0)),VLOOKUP('Table Seed Map'!$A$12,SeedMap[],9,0)+1,1),IFERROR($AA27+1,0))),$AA27)</f>
        <v>26</v>
      </c>
      <c r="AB28" s="63">
        <f>IF(AND(FormFields[[#This Row],[Attribute]]="",FormFields[[#This Row],[Relation]]=""),0,1)</f>
        <v>1</v>
      </c>
      <c r="AC28" s="63">
        <f>FormFields[[#This Row],[NO2]]</f>
        <v>26</v>
      </c>
      <c r="AD28" s="66">
        <f>[ID]</f>
        <v>26</v>
      </c>
      <c r="AE28" s="63" t="str">
        <f>[Name]</f>
        <v>name</v>
      </c>
      <c r="AF28" s="91" t="str">
        <f>IF(FormFields[[#This Row],[Rel]]="",IF(EXACT($AF27,FormFields[[#Headers],[Relation]]),"relation",""),VLOOKUP(FormFields[[#This Row],[Rel]],RelationTable[[Display]:[RELID]],2,0))</f>
        <v/>
      </c>
      <c r="AG28" s="90" t="str">
        <f>IF(FormFields[[#This Row],[Rel1]]="",IF(EXACT($AG27,FormFields[[#Headers],[R1]]),"nest_relation1",""),VLOOKUP(FormFields[[#This Row],[Rel1]],RelationTable[[Display]:[RELID]],2,0))</f>
        <v/>
      </c>
      <c r="AH28" s="91" t="str">
        <f>IF(FormFields[[#This Row],[Rel2]]="",IF(EXACT($AH27,FormFields[[#Headers],[R2]]),"nest_relation2",""),VLOOKUP(FormFields[[#This Row],[Rel2]],RelationTable[[Display]:[RELID]],2,0))</f>
        <v/>
      </c>
      <c r="AI28" s="91" t="str">
        <f>IF(FormFields[[#This Row],[Rel3]]="",IF(EXACT($AI27,FormFields[[#Headers],[R3]]),"nest_relation3",""),VLOOKUP(FormFields[[#This Row],[Rel3]],RelationTable[[Display]:[RELID]],2,0))</f>
        <v/>
      </c>
      <c r="AJ28" s="46">
        <f>IF(OR(FormFields[[#This Row],[Option Type]]="",FormFields[[#This Row],[Option Type]]="type"),0,1)</f>
        <v>0</v>
      </c>
      <c r="AK28" s="46" t="str">
        <f>'Table Seed Map'!$A$13&amp;"-"&amp;COUNTIF($AJ$2:FormFields[[#This Row],[Exists FO]],1)</f>
        <v>Field Options-7</v>
      </c>
      <c r="AL28" s="46">
        <f>IF(FormFields[[#This Row],[Exists FO]]=0,$AL27,IF($AL27=0,IF(ISNUMBER(VLOOKUP('Table Seed Map'!$A$13,SeedMap[],9,0)),VLOOKUP('Table Seed Map'!$A$13,SeedMap[],9,0)+1,1),IFERROR($AL27+1,0)))</f>
        <v>7</v>
      </c>
      <c r="AM28" s="46">
        <f>FormFields[[#This Row],[NO4]]</f>
        <v>7</v>
      </c>
      <c r="AN28" s="48">
        <f>[ID]</f>
        <v>26</v>
      </c>
      <c r="AO28" s="72"/>
      <c r="AP28" s="72"/>
      <c r="AQ28" s="72"/>
      <c r="AR28" s="72"/>
      <c r="AS28" s="72"/>
      <c r="AT28" s="46">
        <f>IF(OR(FormFields[[#This Row],[Colspan]]="",FormFields[[#This Row],[Colspan]]="colspan"),0,1)</f>
        <v>0</v>
      </c>
      <c r="AU28" s="46" t="str">
        <f>'Table Seed Map'!$A$18&amp;"-"&amp;SUM($AT$2:FormFields[[#This Row],[Exists FL]])</f>
        <v>Form Layout-20</v>
      </c>
      <c r="AV28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8" s="45" t="str">
        <f>FormFields[[#This Row],[NO8]]</f>
        <v/>
      </c>
      <c r="AX28" s="46">
        <f>[Form]</f>
        <v>6</v>
      </c>
      <c r="AY28" s="46">
        <f>[ID]</f>
        <v>26</v>
      </c>
      <c r="AZ28" s="74"/>
    </row>
    <row r="29" spans="13:52">
      <c r="M29" s="49" t="str">
        <f>'Table Seed Map'!$A$11&amp;"-"&amp;(COUNTA($Q$1:FormFields[[#This Row],[ID]])-2)</f>
        <v>Form Fields-27</v>
      </c>
      <c r="N29" s="53" t="s">
        <v>1090</v>
      </c>
      <c r="O29" s="46">
        <f>IF(FormFields[[#This Row],[Form Name]]="","id",COUNTA($N$3:FormFields[[#This Row],[Form Name]])+IF(VLOOKUP('Table Seed Map'!$A$11,SeedMap[],9,0),VLOOKUP('Table Seed Map'!$A$11,SeedMap[],9,0),0))</f>
        <v>27</v>
      </c>
      <c r="P29" s="49" t="str">
        <f>FormFields[[#This Row],[Form Name]]&amp;"/"&amp;FormFields[[#This Row],[Name]]</f>
        <v>ResourceAction/AddActionForm/menu</v>
      </c>
      <c r="Q29" s="45">
        <f>FormFields[[#This Row],[No]]</f>
        <v>27</v>
      </c>
      <c r="R29" s="85">
        <f>VLOOKUP(FormFields[[#This Row],[Form Name]],ResourceForms[[FormName]:[No]],2,0)</f>
        <v>6</v>
      </c>
      <c r="S29" s="56" t="s">
        <v>266</v>
      </c>
      <c r="T29" s="56" t="s">
        <v>231</v>
      </c>
      <c r="U29" s="56" t="s">
        <v>1086</v>
      </c>
      <c r="V29" s="64"/>
      <c r="W29" s="64"/>
      <c r="X29" s="64"/>
      <c r="Y29" s="64"/>
      <c r="Z29" s="65" t="str">
        <f>'Table Seed Map'!$A$12&amp;"-"&amp;(COUNTIF($AB$2:FormFields[[#This Row],[Exists]],1)-1)</f>
        <v>Field Data-27</v>
      </c>
      <c r="AA29" s="60">
        <f>IF(FormFields[[#This Row],[Exists]]=1,IF(FormFields[[#This Row],[Exists]]="",$AA28,IF($AA28=0,IF(ISNUMBER(VLOOKUP('Table Seed Map'!$A$12,SeedMap[],9,0)),VLOOKUP('Table Seed Map'!$A$12,SeedMap[],9,0)+1,1),IFERROR($AA28+1,0))),$AA28)</f>
        <v>27</v>
      </c>
      <c r="AB29" s="63">
        <f>IF(AND(FormFields[[#This Row],[Attribute]]="",FormFields[[#This Row],[Relation]]=""),0,1)</f>
        <v>1</v>
      </c>
      <c r="AC29" s="63">
        <f>FormFields[[#This Row],[NO2]]</f>
        <v>27</v>
      </c>
      <c r="AD29" s="66">
        <f>[ID]</f>
        <v>27</v>
      </c>
      <c r="AE29" s="63" t="str">
        <f>[Name]</f>
        <v>menu</v>
      </c>
      <c r="AF29" s="91" t="str">
        <f>IF(FormFields[[#This Row],[Rel]]="",IF(EXACT($AF28,FormFields[[#Headers],[Relation]]),"relation",""),VLOOKUP(FormFields[[#This Row],[Rel]],RelationTable[[Display]:[RELID]],2,0))</f>
        <v/>
      </c>
      <c r="AG29" s="90" t="str">
        <f>IF(FormFields[[#This Row],[Rel1]]="",IF(EXACT($AG28,FormFields[[#Headers],[R1]]),"nest_relation1",""),VLOOKUP(FormFields[[#This Row],[Rel1]],RelationTable[[Display]:[RELID]],2,0))</f>
        <v/>
      </c>
      <c r="AH29" s="91" t="str">
        <f>IF(FormFields[[#This Row],[Rel2]]="",IF(EXACT($AH28,FormFields[[#Headers],[R2]]),"nest_relation2",""),VLOOKUP(FormFields[[#This Row],[Rel2]],RelationTable[[Display]:[RELID]],2,0))</f>
        <v/>
      </c>
      <c r="AI29" s="91" t="str">
        <f>IF(FormFields[[#This Row],[Rel3]]="",IF(EXACT($AI28,FormFields[[#Headers],[R3]]),"nest_relation3",""),VLOOKUP(FormFields[[#This Row],[Rel3]],RelationTable[[Display]:[RELID]],2,0))</f>
        <v/>
      </c>
      <c r="AJ29" s="46">
        <f>IF(OR(FormFields[[#This Row],[Option Type]]="",FormFields[[#This Row],[Option Type]]="type"),0,1)</f>
        <v>0</v>
      </c>
      <c r="AK29" s="46" t="str">
        <f>'Table Seed Map'!$A$13&amp;"-"&amp;COUNTIF($AJ$2:FormFields[[#This Row],[Exists FO]],1)</f>
        <v>Field Options-7</v>
      </c>
      <c r="AL29" s="46">
        <f>IF(FormFields[[#This Row],[Exists FO]]=0,$AL28,IF($AL28=0,IF(ISNUMBER(VLOOKUP('Table Seed Map'!$A$13,SeedMap[],9,0)),VLOOKUP('Table Seed Map'!$A$13,SeedMap[],9,0)+1,1),IFERROR($AL28+1,0)))</f>
        <v>7</v>
      </c>
      <c r="AM29" s="46">
        <f>FormFields[[#This Row],[NO4]]</f>
        <v>7</v>
      </c>
      <c r="AN29" s="48">
        <f>[ID]</f>
        <v>27</v>
      </c>
      <c r="AO29" s="72"/>
      <c r="AP29" s="72"/>
      <c r="AQ29" s="72"/>
      <c r="AR29" s="72"/>
      <c r="AS29" s="72"/>
      <c r="AT29" s="46">
        <f>IF(OR(FormFields[[#This Row],[Colspan]]="",FormFields[[#This Row],[Colspan]]="colspan"),0,1)</f>
        <v>0</v>
      </c>
      <c r="AU29" s="46" t="str">
        <f>'Table Seed Map'!$A$18&amp;"-"&amp;SUM($AT$2:FormFields[[#This Row],[Exists FL]])</f>
        <v>Form Layout-20</v>
      </c>
      <c r="AV29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9" s="45" t="str">
        <f>FormFields[[#This Row],[NO8]]</f>
        <v/>
      </c>
      <c r="AX29" s="46">
        <f>[Form]</f>
        <v>6</v>
      </c>
      <c r="AY29" s="46">
        <f>[ID]</f>
        <v>27</v>
      </c>
      <c r="AZ29" s="74"/>
    </row>
    <row r="30" spans="13:52">
      <c r="M30" s="49" t="str">
        <f>'Table Seed Map'!$A$11&amp;"-"&amp;(COUNTA($Q$1:FormFields[[#This Row],[ID]])-2)</f>
        <v>Form Fields-28</v>
      </c>
      <c r="N30" s="53" t="s">
        <v>1090</v>
      </c>
      <c r="O30" s="46">
        <f>IF(FormFields[[#This Row],[Form Name]]="","id",COUNTA($N$3:FormFields[[#This Row],[Form Name]])+IF(VLOOKUP('Table Seed Map'!$A$11,SeedMap[],9,0),VLOOKUP('Table Seed Map'!$A$11,SeedMap[],9,0),0))</f>
        <v>28</v>
      </c>
      <c r="P30" s="49" t="str">
        <f>FormFields[[#This Row],[Form Name]]&amp;"/"&amp;FormFields[[#This Row],[Name]]</f>
        <v>ResourceAction/AddActionForm/title</v>
      </c>
      <c r="Q30" s="45">
        <f>FormFields[[#This Row],[No]]</f>
        <v>28</v>
      </c>
      <c r="R30" s="85">
        <f>VLOOKUP(FormFields[[#This Row],[Form Name]],ResourceForms[[FormName]:[No]],2,0)</f>
        <v>6</v>
      </c>
      <c r="S30" s="56" t="s">
        <v>30</v>
      </c>
      <c r="T30" s="56" t="s">
        <v>231</v>
      </c>
      <c r="U30" s="56" t="s">
        <v>1085</v>
      </c>
      <c r="V30" s="64"/>
      <c r="W30" s="64"/>
      <c r="X30" s="64"/>
      <c r="Y30" s="64"/>
      <c r="Z30" s="65" t="str">
        <f>'Table Seed Map'!$A$12&amp;"-"&amp;(COUNTIF($AB$2:FormFields[[#This Row],[Exists]],1)-1)</f>
        <v>Field Data-28</v>
      </c>
      <c r="AA30" s="60">
        <f>IF(FormFields[[#This Row],[Exists]]=1,IF(FormFields[[#This Row],[Exists]]="",$AA29,IF($AA29=0,IF(ISNUMBER(VLOOKUP('Table Seed Map'!$A$12,SeedMap[],9,0)),VLOOKUP('Table Seed Map'!$A$12,SeedMap[],9,0)+1,1),IFERROR($AA29+1,0))),$AA29)</f>
        <v>28</v>
      </c>
      <c r="AB30" s="63">
        <f>IF(AND(FormFields[[#This Row],[Attribute]]="",FormFields[[#This Row],[Relation]]=""),0,1)</f>
        <v>1</v>
      </c>
      <c r="AC30" s="63">
        <f>FormFields[[#This Row],[NO2]]</f>
        <v>28</v>
      </c>
      <c r="AD30" s="66">
        <f>[ID]</f>
        <v>28</v>
      </c>
      <c r="AE30" s="63" t="str">
        <f>[Name]</f>
        <v>title</v>
      </c>
      <c r="AF30" s="91" t="str">
        <f>IF(FormFields[[#This Row],[Rel]]="",IF(EXACT($AF29,FormFields[[#Headers],[Relation]]),"relation",""),VLOOKUP(FormFields[[#This Row],[Rel]],RelationTable[[Display]:[RELID]],2,0))</f>
        <v/>
      </c>
      <c r="AG30" s="90" t="str">
        <f>IF(FormFields[[#This Row],[Rel1]]="",IF(EXACT($AG29,FormFields[[#Headers],[R1]]),"nest_relation1",""),VLOOKUP(FormFields[[#This Row],[Rel1]],RelationTable[[Display]:[RELID]],2,0))</f>
        <v/>
      </c>
      <c r="AH30" s="91" t="str">
        <f>IF(FormFields[[#This Row],[Rel2]]="",IF(EXACT($AH29,FormFields[[#Headers],[R2]]),"nest_relation2",""),VLOOKUP(FormFields[[#This Row],[Rel2]],RelationTable[[Display]:[RELID]],2,0))</f>
        <v/>
      </c>
      <c r="AI30" s="91" t="str">
        <f>IF(FormFields[[#This Row],[Rel3]]="",IF(EXACT($AI29,FormFields[[#Headers],[R3]]),"nest_relation3",""),VLOOKUP(FormFields[[#This Row],[Rel3]],RelationTable[[Display]:[RELID]],2,0))</f>
        <v/>
      </c>
      <c r="AJ30" s="46">
        <f>IF(OR(FormFields[[#This Row],[Option Type]]="",FormFields[[#This Row],[Option Type]]="type"),0,1)</f>
        <v>0</v>
      </c>
      <c r="AK30" s="46" t="str">
        <f>'Table Seed Map'!$A$13&amp;"-"&amp;COUNTIF($AJ$2:FormFields[[#This Row],[Exists FO]],1)</f>
        <v>Field Options-7</v>
      </c>
      <c r="AL30" s="46">
        <f>IF(FormFields[[#This Row],[Exists FO]]=0,$AL29,IF($AL29=0,IF(ISNUMBER(VLOOKUP('Table Seed Map'!$A$13,SeedMap[],9,0)),VLOOKUP('Table Seed Map'!$A$13,SeedMap[],9,0)+1,1),IFERROR($AL29+1,0)))</f>
        <v>7</v>
      </c>
      <c r="AM30" s="46">
        <f>FormFields[[#This Row],[NO4]]</f>
        <v>7</v>
      </c>
      <c r="AN30" s="48">
        <f>[ID]</f>
        <v>28</v>
      </c>
      <c r="AO30" s="72"/>
      <c r="AP30" s="72"/>
      <c r="AQ30" s="72"/>
      <c r="AR30" s="72"/>
      <c r="AS30" s="72"/>
      <c r="AT30" s="46">
        <f>IF(OR(FormFields[[#This Row],[Colspan]]="",FormFields[[#This Row],[Colspan]]="colspan"),0,1)</f>
        <v>0</v>
      </c>
      <c r="AU30" s="46" t="str">
        <f>'Table Seed Map'!$A$18&amp;"-"&amp;SUM($AT$2:FormFields[[#This Row],[Exists FL]])</f>
        <v>Form Layout-20</v>
      </c>
      <c r="AV30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0" s="45" t="str">
        <f>FormFields[[#This Row],[NO8]]</f>
        <v/>
      </c>
      <c r="AX30" s="46">
        <f>[Form]</f>
        <v>6</v>
      </c>
      <c r="AY30" s="46">
        <f>[ID]</f>
        <v>28</v>
      </c>
      <c r="AZ30" s="74"/>
    </row>
    <row r="31" spans="13:52">
      <c r="M31" s="49" t="str">
        <f>'Table Seed Map'!$A$11&amp;"-"&amp;(COUNTA($Q$1:FormFields[[#This Row],[ID]])-2)</f>
        <v>Form Fields-29</v>
      </c>
      <c r="N31" s="53" t="s">
        <v>1090</v>
      </c>
      <c r="O31" s="46">
        <f>IF(FormFields[[#This Row],[Form Name]]="","id",COUNTA($N$3:FormFields[[#This Row],[Form Name]])+IF(VLOOKUP('Table Seed Map'!$A$11,SeedMap[],9,0),VLOOKUP('Table Seed Map'!$A$11,SeedMap[],9,0),0))</f>
        <v>29</v>
      </c>
      <c r="P31" s="49" t="str">
        <f>FormFields[[#This Row],[Form Name]]&amp;"/"&amp;FormFields[[#This Row],[Name]]</f>
        <v>ResourceAction/AddActionForm/description</v>
      </c>
      <c r="Q31" s="45">
        <f>FormFields[[#This Row],[No]]</f>
        <v>29</v>
      </c>
      <c r="R31" s="85">
        <f>VLOOKUP(FormFields[[#This Row],[Form Name]],ResourceForms[[FormName]:[No]],2,0)</f>
        <v>6</v>
      </c>
      <c r="S31" s="56" t="s">
        <v>28</v>
      </c>
      <c r="T31" s="56" t="s">
        <v>973</v>
      </c>
      <c r="U31" s="56" t="s">
        <v>242</v>
      </c>
      <c r="V31" s="64"/>
      <c r="W31" s="64"/>
      <c r="X31" s="64"/>
      <c r="Y31" s="64"/>
      <c r="Z31" s="65" t="str">
        <f>'Table Seed Map'!$A$12&amp;"-"&amp;(COUNTIF($AB$2:FormFields[[#This Row],[Exists]],1)-1)</f>
        <v>Field Data-29</v>
      </c>
      <c r="AA31" s="60">
        <f>IF(FormFields[[#This Row],[Exists]]=1,IF(FormFields[[#This Row],[Exists]]="",$AA30,IF($AA30=0,IF(ISNUMBER(VLOOKUP('Table Seed Map'!$A$12,SeedMap[],9,0)),VLOOKUP('Table Seed Map'!$A$12,SeedMap[],9,0)+1,1),IFERROR($AA30+1,0))),$AA30)</f>
        <v>29</v>
      </c>
      <c r="AB31" s="63">
        <f>IF(AND(FormFields[[#This Row],[Attribute]]="",FormFields[[#This Row],[Relation]]=""),0,1)</f>
        <v>1</v>
      </c>
      <c r="AC31" s="63">
        <f>FormFields[[#This Row],[NO2]]</f>
        <v>29</v>
      </c>
      <c r="AD31" s="66">
        <f>[ID]</f>
        <v>29</v>
      </c>
      <c r="AE31" s="63" t="str">
        <f>[Name]</f>
        <v>description</v>
      </c>
      <c r="AF31" s="91" t="str">
        <f>IF(FormFields[[#This Row],[Rel]]="",IF(EXACT($AF30,FormFields[[#Headers],[Relation]]),"relation",""),VLOOKUP(FormFields[[#This Row],[Rel]],RelationTable[[Display]:[RELID]],2,0))</f>
        <v/>
      </c>
      <c r="AG31" s="90" t="str">
        <f>IF(FormFields[[#This Row],[Rel1]]="",IF(EXACT($AG30,FormFields[[#Headers],[R1]]),"nest_relation1",""),VLOOKUP(FormFields[[#This Row],[Rel1]],RelationTable[[Display]:[RELID]],2,0))</f>
        <v/>
      </c>
      <c r="AH31" s="91" t="str">
        <f>IF(FormFields[[#This Row],[Rel2]]="",IF(EXACT($AH30,FormFields[[#Headers],[R2]]),"nest_relation2",""),VLOOKUP(FormFields[[#This Row],[Rel2]],RelationTable[[Display]:[RELID]],2,0))</f>
        <v/>
      </c>
      <c r="AI31" s="91" t="str">
        <f>IF(FormFields[[#This Row],[Rel3]]="",IF(EXACT($AI30,FormFields[[#Headers],[R3]]),"nest_relation3",""),VLOOKUP(FormFields[[#This Row],[Rel3]],RelationTable[[Display]:[RELID]],2,0))</f>
        <v/>
      </c>
      <c r="AJ31" s="46">
        <f>IF(OR(FormFields[[#This Row],[Option Type]]="",FormFields[[#This Row],[Option Type]]="type"),0,1)</f>
        <v>0</v>
      </c>
      <c r="AK31" s="46" t="str">
        <f>'Table Seed Map'!$A$13&amp;"-"&amp;COUNTIF($AJ$2:FormFields[[#This Row],[Exists FO]],1)</f>
        <v>Field Options-7</v>
      </c>
      <c r="AL31" s="46">
        <f>IF(FormFields[[#This Row],[Exists FO]]=0,$AL30,IF($AL30=0,IF(ISNUMBER(VLOOKUP('Table Seed Map'!$A$13,SeedMap[],9,0)),VLOOKUP('Table Seed Map'!$A$13,SeedMap[],9,0)+1,1),IFERROR($AL30+1,0)))</f>
        <v>7</v>
      </c>
      <c r="AM31" s="46">
        <f>FormFields[[#This Row],[NO4]]</f>
        <v>7</v>
      </c>
      <c r="AN31" s="48">
        <f>[ID]</f>
        <v>29</v>
      </c>
      <c r="AO31" s="72"/>
      <c r="AP31" s="72"/>
      <c r="AQ31" s="72"/>
      <c r="AR31" s="72"/>
      <c r="AS31" s="72"/>
      <c r="AT31" s="46">
        <f>IF(OR(FormFields[[#This Row],[Colspan]]="",FormFields[[#This Row],[Colspan]]="colspan"),0,1)</f>
        <v>0</v>
      </c>
      <c r="AU31" s="46" t="str">
        <f>'Table Seed Map'!$A$18&amp;"-"&amp;SUM($AT$2:FormFields[[#This Row],[Exists FL]])</f>
        <v>Form Layout-20</v>
      </c>
      <c r="AV31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1" s="45" t="str">
        <f>FormFields[[#This Row],[NO8]]</f>
        <v/>
      </c>
      <c r="AX31" s="46">
        <f>[Form]</f>
        <v>6</v>
      </c>
      <c r="AY31" s="46">
        <f>[ID]</f>
        <v>29</v>
      </c>
      <c r="AZ31" s="74"/>
    </row>
    <row r="32" spans="13:52">
      <c r="M32" s="49" t="str">
        <f>'Table Seed Map'!$A$11&amp;"-"&amp;(COUNTA($Q$1:FormFields[[#This Row],[ID]])-2)</f>
        <v>Form Fields-30</v>
      </c>
      <c r="N32" s="53" t="s">
        <v>1090</v>
      </c>
      <c r="O32" s="46">
        <f>IF(FormFields[[#This Row],[Form Name]]="","id",COUNTA($N$3:FormFields[[#This Row],[Form Name]])+IF(VLOOKUP('Table Seed Map'!$A$11,SeedMap[],9,0),VLOOKUP('Table Seed Map'!$A$11,SeedMap[],9,0),0))</f>
        <v>30</v>
      </c>
      <c r="P32" s="49" t="str">
        <f>FormFields[[#This Row],[Form Name]]&amp;"/"&amp;FormFields[[#This Row],[Name]]</f>
        <v>ResourceAction/AddActionForm/type</v>
      </c>
      <c r="Q32" s="45">
        <f>FormFields[[#This Row],[No]]</f>
        <v>30</v>
      </c>
      <c r="R32" s="85">
        <f>VLOOKUP(FormFields[[#This Row],[Form Name]],ResourceForms[[FormName]:[No]],2,0)</f>
        <v>6</v>
      </c>
      <c r="S32" s="56" t="s">
        <v>48</v>
      </c>
      <c r="T32" s="56" t="s">
        <v>234</v>
      </c>
      <c r="U32" s="56" t="s">
        <v>1087</v>
      </c>
      <c r="V32" s="64" t="s">
        <v>1084</v>
      </c>
      <c r="W32" s="64"/>
      <c r="X32" s="64"/>
      <c r="Y32" s="64"/>
      <c r="Z32" s="65" t="str">
        <f>'Table Seed Map'!$A$12&amp;"-"&amp;(COUNTIF($AB$2:FormFields[[#This Row],[Exists]],1)-1)</f>
        <v>Field Data-30</v>
      </c>
      <c r="AA32" s="60">
        <f>IF(FormFields[[#This Row],[Exists]]=1,IF(FormFields[[#This Row],[Exists]]="",$AA31,IF($AA31=0,IF(ISNUMBER(VLOOKUP('Table Seed Map'!$A$12,SeedMap[],9,0)),VLOOKUP('Table Seed Map'!$A$12,SeedMap[],9,0)+1,1),IFERROR($AA31+1,0))),$AA31)</f>
        <v>30</v>
      </c>
      <c r="AB32" s="63">
        <f>IF(AND(FormFields[[#This Row],[Attribute]]="",FormFields[[#This Row],[Relation]]=""),0,1)</f>
        <v>1</v>
      </c>
      <c r="AC32" s="63">
        <f>FormFields[[#This Row],[NO2]]</f>
        <v>30</v>
      </c>
      <c r="AD32" s="66">
        <f>[ID]</f>
        <v>30</v>
      </c>
      <c r="AE32" s="63" t="str">
        <f>[Name]</f>
        <v>type</v>
      </c>
      <c r="AF32" s="91">
        <f>IF(FormFields[[#This Row],[Rel]]="",IF(EXACT($AF31,FormFields[[#Headers],[Relation]]),"relation",""),VLOOKUP(FormFields[[#This Row],[Rel]],RelationTable[[Display]:[RELID]],2,0))</f>
        <v>8</v>
      </c>
      <c r="AG32" s="90" t="str">
        <f>IF(FormFields[[#This Row],[Rel1]]="",IF(EXACT($AG31,FormFields[[#Headers],[R1]]),"nest_relation1",""),VLOOKUP(FormFields[[#This Row],[Rel1]],RelationTable[[Display]:[RELID]],2,0))</f>
        <v/>
      </c>
      <c r="AH32" s="91" t="str">
        <f>IF(FormFields[[#This Row],[Rel2]]="",IF(EXACT($AH31,FormFields[[#Headers],[R2]]),"nest_relation2",""),VLOOKUP(FormFields[[#This Row],[Rel2]],RelationTable[[Display]:[RELID]],2,0))</f>
        <v/>
      </c>
      <c r="AI32" s="91" t="str">
        <f>IF(FormFields[[#This Row],[Rel3]]="",IF(EXACT($AI31,FormFields[[#Headers],[R3]]),"nest_relation3",""),VLOOKUP(FormFields[[#This Row],[Rel3]],RelationTable[[Display]:[RELID]],2,0))</f>
        <v/>
      </c>
      <c r="AJ32" s="46">
        <f>IF(OR(FormFields[[#This Row],[Option Type]]="",FormFields[[#This Row],[Option Type]]="type"),0,1)</f>
        <v>1</v>
      </c>
      <c r="AK32" s="46" t="str">
        <f>'Table Seed Map'!$A$13&amp;"-"&amp;COUNTIF($AJ$2:FormFields[[#This Row],[Exists FO]],1)</f>
        <v>Field Options-8</v>
      </c>
      <c r="AL32" s="46">
        <f>IF(FormFields[[#This Row],[Exists FO]]=0,$AL31,IF($AL31=0,IF(ISNUMBER(VLOOKUP('Table Seed Map'!$A$13,SeedMap[],9,0)),VLOOKUP('Table Seed Map'!$A$13,SeedMap[],9,0)+1,1),IFERROR($AL31+1,0)))</f>
        <v>8</v>
      </c>
      <c r="AM32" s="46">
        <f>FormFields[[#This Row],[NO4]]</f>
        <v>8</v>
      </c>
      <c r="AN32" s="48">
        <f>[ID]</f>
        <v>30</v>
      </c>
      <c r="AO32" s="72" t="s">
        <v>1115</v>
      </c>
      <c r="AP32" s="72"/>
      <c r="AQ32" s="72"/>
      <c r="AR32" s="72"/>
      <c r="AS32" s="72"/>
      <c r="AT32" s="46">
        <f>IF(OR(FormFields[[#This Row],[Colspan]]="",FormFields[[#This Row],[Colspan]]="colspan"),0,1)</f>
        <v>0</v>
      </c>
      <c r="AU32" s="46" t="str">
        <f>'Table Seed Map'!$A$18&amp;"-"&amp;SUM($AT$2:FormFields[[#This Row],[Exists FL]])</f>
        <v>Form Layout-20</v>
      </c>
      <c r="AV32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2" s="45" t="str">
        <f>FormFields[[#This Row],[NO8]]</f>
        <v/>
      </c>
      <c r="AX32" s="46">
        <f>[Form]</f>
        <v>6</v>
      </c>
      <c r="AY32" s="46">
        <f>[ID]</f>
        <v>30</v>
      </c>
      <c r="AZ32" s="74"/>
    </row>
    <row r="33" spans="13:52">
      <c r="M33" s="49" t="str">
        <f>'Table Seed Map'!$A$11&amp;"-"&amp;(COUNTA($Q$1:FormFields[[#This Row],[ID]])-2)</f>
        <v>Form Fields-31</v>
      </c>
      <c r="N33" s="53" t="s">
        <v>1090</v>
      </c>
      <c r="O33" s="46">
        <f>IF(FormFields[[#This Row],[Form Name]]="","id",COUNTA($N$3:FormFields[[#This Row],[Form Name]])+IF(VLOOKUP('Table Seed Map'!$A$11,SeedMap[],9,0),VLOOKUP('Table Seed Map'!$A$11,SeedMap[],9,0),0))</f>
        <v>31</v>
      </c>
      <c r="P33" s="49" t="str">
        <f>FormFields[[#This Row],[Form Name]]&amp;"/"&amp;FormFields[[#This Row],[Name]]</f>
        <v>ResourceAction/AddActionForm/idn1</v>
      </c>
      <c r="Q33" s="45">
        <f>FormFields[[#This Row],[No]]</f>
        <v>31</v>
      </c>
      <c r="R33" s="85">
        <f>VLOOKUP(FormFields[[#This Row],[Form Name]],ResourceForms[[FormName]:[No]],2,0)</f>
        <v>6</v>
      </c>
      <c r="S33" s="56" t="s">
        <v>111</v>
      </c>
      <c r="T33" s="56" t="s">
        <v>234</v>
      </c>
      <c r="U33" s="56" t="s">
        <v>1088</v>
      </c>
      <c r="V33" s="64" t="s">
        <v>1084</v>
      </c>
      <c r="W33" s="64"/>
      <c r="X33" s="64"/>
      <c r="Y33" s="64"/>
      <c r="Z33" s="65" t="str">
        <f>'Table Seed Map'!$A$12&amp;"-"&amp;(COUNTIF($AB$2:FormFields[[#This Row],[Exists]],1)-1)</f>
        <v>Field Data-31</v>
      </c>
      <c r="AA33" s="60">
        <f>IF(FormFields[[#This Row],[Exists]]=1,IF(FormFields[[#This Row],[Exists]]="",$AA32,IF($AA32=0,IF(ISNUMBER(VLOOKUP('Table Seed Map'!$A$12,SeedMap[],9,0)),VLOOKUP('Table Seed Map'!$A$12,SeedMap[],9,0)+1,1),IFERROR($AA32+1,0))),$AA32)</f>
        <v>31</v>
      </c>
      <c r="AB33" s="63">
        <f>IF(AND(FormFields[[#This Row],[Attribute]]="",FormFields[[#This Row],[Relation]]=""),0,1)</f>
        <v>1</v>
      </c>
      <c r="AC33" s="63">
        <f>FormFields[[#This Row],[NO2]]</f>
        <v>31</v>
      </c>
      <c r="AD33" s="66">
        <f>[ID]</f>
        <v>31</v>
      </c>
      <c r="AE33" s="63" t="str">
        <f>[Name]</f>
        <v>idn1</v>
      </c>
      <c r="AF33" s="91">
        <f>IF(FormFields[[#This Row],[Rel]]="",IF(EXACT($AF32,FormFields[[#Headers],[Relation]]),"relation",""),VLOOKUP(FormFields[[#This Row],[Rel]],RelationTable[[Display]:[RELID]],2,0))</f>
        <v>8</v>
      </c>
      <c r="AG33" s="90" t="str">
        <f>IF(FormFields[[#This Row],[Rel1]]="",IF(EXACT($AG32,FormFields[[#Headers],[R1]]),"nest_relation1",""),VLOOKUP(FormFields[[#This Row],[Rel1]],RelationTable[[Display]:[RELID]],2,0))</f>
        <v/>
      </c>
      <c r="AH33" s="91" t="str">
        <f>IF(FormFields[[#This Row],[Rel2]]="",IF(EXACT($AH32,FormFields[[#Headers],[R2]]),"nest_relation2",""),VLOOKUP(FormFields[[#This Row],[Rel2]],RelationTable[[Display]:[RELID]],2,0))</f>
        <v/>
      </c>
      <c r="AI33" s="91" t="str">
        <f>IF(FormFields[[#This Row],[Rel3]]="",IF(EXACT($AI32,FormFields[[#Headers],[R3]]),"nest_relation3",""),VLOOKUP(FormFields[[#This Row],[Rel3]],RelationTable[[Display]:[RELID]],2,0))</f>
        <v/>
      </c>
      <c r="AJ33" s="46">
        <f>IF(OR(FormFields[[#This Row],[Option Type]]="",FormFields[[#This Row],[Option Type]]="type"),0,1)</f>
        <v>1</v>
      </c>
      <c r="AK33" s="46" t="str">
        <f>'Table Seed Map'!$A$13&amp;"-"&amp;COUNTIF($AJ$2:FormFields[[#This Row],[Exists FO]],1)</f>
        <v>Field Options-9</v>
      </c>
      <c r="AL33" s="46">
        <f>IF(FormFields[[#This Row],[Exists FO]]=0,$AL32,IF($AL32=0,IF(ISNUMBER(VLOOKUP('Table Seed Map'!$A$13,SeedMap[],9,0)),VLOOKUP('Table Seed Map'!$A$13,SeedMap[],9,0)+1,1),IFERROR($AL32+1,0)))</f>
        <v>9</v>
      </c>
      <c r="AM33" s="46">
        <f>FormFields[[#This Row],[NO4]]</f>
        <v>9</v>
      </c>
      <c r="AN33" s="48">
        <f>[ID]</f>
        <v>31</v>
      </c>
      <c r="AO33" s="72" t="s">
        <v>275</v>
      </c>
      <c r="AP33" s="72" t="s">
        <v>1102</v>
      </c>
      <c r="AQ33" s="72"/>
      <c r="AR33" s="72"/>
      <c r="AS33" s="72"/>
      <c r="AT33" s="46">
        <f>IF(OR(FormFields[[#This Row],[Colspan]]="",FormFields[[#This Row],[Colspan]]="colspan"),0,1)</f>
        <v>0</v>
      </c>
      <c r="AU33" s="46" t="str">
        <f>'Table Seed Map'!$A$18&amp;"-"&amp;SUM($AT$2:FormFields[[#This Row],[Exists FL]])</f>
        <v>Form Layout-20</v>
      </c>
      <c r="AV33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3" s="45" t="str">
        <f>FormFields[[#This Row],[NO8]]</f>
        <v/>
      </c>
      <c r="AX33" s="46">
        <f>[Form]</f>
        <v>6</v>
      </c>
      <c r="AY33" s="46">
        <f>[ID]</f>
        <v>31</v>
      </c>
      <c r="AZ33" s="74"/>
    </row>
    <row r="34" spans="13:52">
      <c r="M34" s="49" t="str">
        <f>'Table Seed Map'!$A$11&amp;"-"&amp;(COUNTA($Q$1:FormFields[[#This Row],[ID]])-2)</f>
        <v>Form Fields-32</v>
      </c>
      <c r="N34" s="53" t="s">
        <v>1090</v>
      </c>
      <c r="O34" s="46">
        <f>IF(FormFields[[#This Row],[Form Name]]="","id",COUNTA($N$3:FormFields[[#This Row],[Form Name]])+IF(VLOOKUP('Table Seed Map'!$A$11,SeedMap[],9,0),VLOOKUP('Table Seed Map'!$A$11,SeedMap[],9,0),0))</f>
        <v>32</v>
      </c>
      <c r="P34" s="49" t="str">
        <f>FormFields[[#This Row],[Form Name]]&amp;"/"&amp;FormFields[[#This Row],[Name]]</f>
        <v>ResourceAction/AddActionForm/idn2</v>
      </c>
      <c r="Q34" s="45">
        <f>FormFields[[#This Row],[No]]</f>
        <v>32</v>
      </c>
      <c r="R34" s="85">
        <f>VLOOKUP(FormFields[[#This Row],[Form Name]],ResourceForms[[FormName]:[No]],2,0)</f>
        <v>6</v>
      </c>
      <c r="S34" s="56" t="s">
        <v>112</v>
      </c>
      <c r="T34" s="56" t="s">
        <v>234</v>
      </c>
      <c r="U34" s="56" t="s">
        <v>1089</v>
      </c>
      <c r="V34" s="64" t="s">
        <v>1084</v>
      </c>
      <c r="W34" s="64"/>
      <c r="X34" s="64"/>
      <c r="Y34" s="64"/>
      <c r="Z34" s="65" t="str">
        <f>'Table Seed Map'!$A$12&amp;"-"&amp;(COUNTIF($AB$2:FormFields[[#This Row],[Exists]],1)-1)</f>
        <v>Field Data-32</v>
      </c>
      <c r="AA34" s="60">
        <f>IF(FormFields[[#This Row],[Exists]]=1,IF(FormFields[[#This Row],[Exists]]="",$AA33,IF($AA33=0,IF(ISNUMBER(VLOOKUP('Table Seed Map'!$A$12,SeedMap[],9,0)),VLOOKUP('Table Seed Map'!$A$12,SeedMap[],9,0)+1,1),IFERROR($AA33+1,0))),$AA33)</f>
        <v>32</v>
      </c>
      <c r="AB34" s="63">
        <f>IF(AND(FormFields[[#This Row],[Attribute]]="",FormFields[[#This Row],[Relation]]=""),0,1)</f>
        <v>1</v>
      </c>
      <c r="AC34" s="63">
        <f>FormFields[[#This Row],[NO2]]</f>
        <v>32</v>
      </c>
      <c r="AD34" s="66">
        <f>[ID]</f>
        <v>32</v>
      </c>
      <c r="AE34" s="63" t="str">
        <f>[Name]</f>
        <v>idn2</v>
      </c>
      <c r="AF34" s="91">
        <f>IF(FormFields[[#This Row],[Rel]]="",IF(EXACT($AF33,FormFields[[#Headers],[Relation]]),"relation",""),VLOOKUP(FormFields[[#This Row],[Rel]],RelationTable[[Display]:[RELID]],2,0))</f>
        <v>8</v>
      </c>
      <c r="AG34" s="90" t="str">
        <f>IF(FormFields[[#This Row],[Rel1]]="",IF(EXACT($AG33,FormFields[[#Headers],[R1]]),"nest_relation1",""),VLOOKUP(FormFields[[#This Row],[Rel1]],RelationTable[[Display]:[RELID]],2,0))</f>
        <v/>
      </c>
      <c r="AH34" s="91" t="str">
        <f>IF(FormFields[[#This Row],[Rel2]]="",IF(EXACT($AH33,FormFields[[#Headers],[R2]]),"nest_relation2",""),VLOOKUP(FormFields[[#This Row],[Rel2]],RelationTable[[Display]:[RELID]],2,0))</f>
        <v/>
      </c>
      <c r="AI34" s="91" t="str">
        <f>IF(FormFields[[#This Row],[Rel3]]="",IF(EXACT($AI33,FormFields[[#Headers],[R3]]),"nest_relation3",""),VLOOKUP(FormFields[[#This Row],[Rel3]],RelationTable[[Display]:[RELID]],2,0))</f>
        <v/>
      </c>
      <c r="AJ34" s="46">
        <f>IF(OR(FormFields[[#This Row],[Option Type]]="",FormFields[[#This Row],[Option Type]]="type"),0,1)</f>
        <v>1</v>
      </c>
      <c r="AK34" s="46" t="str">
        <f>'Table Seed Map'!$A$13&amp;"-"&amp;COUNTIF($AJ$2:FormFields[[#This Row],[Exists FO]],1)</f>
        <v>Field Options-10</v>
      </c>
      <c r="AL34" s="46">
        <f>IF(FormFields[[#This Row],[Exists FO]]=0,$AL33,IF($AL33=0,IF(ISNUMBER(VLOOKUP('Table Seed Map'!$A$13,SeedMap[],9,0)),VLOOKUP('Table Seed Map'!$A$13,SeedMap[],9,0)+1,1),IFERROR($AL33+1,0)))</f>
        <v>10</v>
      </c>
      <c r="AM34" s="46">
        <f>FormFields[[#This Row],[NO4]]</f>
        <v>10</v>
      </c>
      <c r="AN34" s="48">
        <f>[ID]</f>
        <v>32</v>
      </c>
      <c r="AO34" s="72" t="s">
        <v>275</v>
      </c>
      <c r="AP34" s="72" t="s">
        <v>1103</v>
      </c>
      <c r="AQ34" s="72"/>
      <c r="AR34" s="72"/>
      <c r="AS34" s="72"/>
      <c r="AT34" s="46">
        <f>IF(OR(FormFields[[#This Row],[Colspan]]="",FormFields[[#This Row],[Colspan]]="colspan"),0,1)</f>
        <v>0</v>
      </c>
      <c r="AU34" s="46" t="str">
        <f>'Table Seed Map'!$A$18&amp;"-"&amp;SUM($AT$2:FormFields[[#This Row],[Exists FL]])</f>
        <v>Form Layout-20</v>
      </c>
      <c r="AV34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4" s="45" t="str">
        <f>FormFields[[#This Row],[NO8]]</f>
        <v/>
      </c>
      <c r="AX34" s="46">
        <f>[Form]</f>
        <v>6</v>
      </c>
      <c r="AY34" s="46">
        <f>[ID]</f>
        <v>32</v>
      </c>
      <c r="AZ34" s="74"/>
    </row>
    <row r="35" spans="13:52">
      <c r="M35" s="49" t="str">
        <f>'Table Seed Map'!$A$11&amp;"-"&amp;(COUNTA($Q$1:FormFields[[#This Row],[ID]])-2)</f>
        <v>Form Fields-33</v>
      </c>
      <c r="N35" s="53" t="s">
        <v>991</v>
      </c>
      <c r="O35" s="46">
        <f>IF(FormFields[[#This Row],[Form Name]]="","id",COUNTA($N$3:FormFields[[#This Row],[Form Name]])+IF(VLOOKUP('Table Seed Map'!$A$11,SeedMap[],9,0),VLOOKUP('Table Seed Map'!$A$11,SeedMap[],9,0),0))</f>
        <v>33</v>
      </c>
      <c r="P35" s="49" t="str">
        <f>FormFields[[#This Row],[Form Name]]&amp;"/"&amp;FormFields[[#This Row],[Name]]</f>
        <v>ResourceForm/NewFormForm/resource</v>
      </c>
      <c r="Q35" s="45">
        <f>FormFields[[#This Row],[No]]</f>
        <v>33</v>
      </c>
      <c r="R35" s="85">
        <f>VLOOKUP(FormFields[[#This Row],[Form Name]],ResourceForms[[FormName]:[No]],2,0)</f>
        <v>7</v>
      </c>
      <c r="S35" s="56" t="s">
        <v>23</v>
      </c>
      <c r="T35" s="56" t="s">
        <v>234</v>
      </c>
      <c r="U35" s="56" t="s">
        <v>992</v>
      </c>
      <c r="V35" s="64"/>
      <c r="W35" s="64"/>
      <c r="X35" s="64"/>
      <c r="Y35" s="64"/>
      <c r="Z35" s="65" t="str">
        <f>'Table Seed Map'!$A$12&amp;"-"&amp;(COUNTIF($AB$2:FormFields[[#This Row],[Exists]],1)-1)</f>
        <v>Field Data-33</v>
      </c>
      <c r="AA35" s="60">
        <f>IF(FormFields[[#This Row],[Exists]]=1,IF(FormFields[[#This Row],[Exists]]="",$AA34,IF($AA34=0,IF(ISNUMBER(VLOOKUP('Table Seed Map'!$A$12,SeedMap[],9,0)),VLOOKUP('Table Seed Map'!$A$12,SeedMap[],9,0)+1,1),IFERROR($AA34+1,0))),$AA34)</f>
        <v>33</v>
      </c>
      <c r="AB35" s="63">
        <f>IF(AND(FormFields[[#This Row],[Attribute]]="",FormFields[[#This Row],[Relation]]=""),0,1)</f>
        <v>1</v>
      </c>
      <c r="AC35" s="63">
        <f>FormFields[[#This Row],[NO2]]</f>
        <v>33</v>
      </c>
      <c r="AD35" s="66">
        <f>[ID]</f>
        <v>33</v>
      </c>
      <c r="AE35" s="63" t="str">
        <f>[Name]</f>
        <v>resource</v>
      </c>
      <c r="AF35" s="91" t="str">
        <f>IF(FormFields[[#This Row],[Rel]]="",IF(EXACT($AF34,FormFields[[#Headers],[Relation]]),"relation",""),VLOOKUP(FormFields[[#This Row],[Rel]],RelationTable[[Display]:[RELID]],2,0))</f>
        <v/>
      </c>
      <c r="AG35" s="90" t="str">
        <f>IF(FormFields[[#This Row],[Rel1]]="",IF(EXACT($AG34,FormFields[[#Headers],[R1]]),"nest_relation1",""),VLOOKUP(FormFields[[#This Row],[Rel1]],RelationTable[[Display]:[RELID]],2,0))</f>
        <v/>
      </c>
      <c r="AH35" s="91" t="str">
        <f>IF(FormFields[[#This Row],[Rel2]]="",IF(EXACT($AH34,FormFields[[#Headers],[R2]]),"nest_relation2",""),VLOOKUP(FormFields[[#This Row],[Rel2]],RelationTable[[Display]:[RELID]],2,0))</f>
        <v/>
      </c>
      <c r="AI35" s="91" t="str">
        <f>IF(FormFields[[#This Row],[Rel3]]="",IF(EXACT($AI34,FormFields[[#Headers],[R3]]),"nest_relation3",""),VLOOKUP(FormFields[[#This Row],[Rel3]],RelationTable[[Display]:[RELID]],2,0))</f>
        <v/>
      </c>
      <c r="AJ35" s="46">
        <f>IF(OR(FormFields[[#This Row],[Option Type]]="",FormFields[[#This Row],[Option Type]]="type"),0,1)</f>
        <v>1</v>
      </c>
      <c r="AK35" s="46" t="str">
        <f>'Table Seed Map'!$A$13&amp;"-"&amp;COUNTIF($AJ$2:FormFields[[#This Row],[Exists FO]],1)</f>
        <v>Field Options-11</v>
      </c>
      <c r="AL35" s="46">
        <f>IF(FormFields[[#This Row],[Exists FO]]=0,$AL34,IF($AL34=0,IF(ISNUMBER(VLOOKUP('Table Seed Map'!$A$13,SeedMap[],9,0)),VLOOKUP('Table Seed Map'!$A$13,SeedMap[],9,0)+1,1),IFERROR($AL34+1,0)))</f>
        <v>11</v>
      </c>
      <c r="AM35" s="46">
        <f>FormFields[[#This Row],[NO4]]</f>
        <v>11</v>
      </c>
      <c r="AN35" s="48">
        <f>[ID]</f>
        <v>33</v>
      </c>
      <c r="AO35" s="72" t="s">
        <v>673</v>
      </c>
      <c r="AP35" s="72"/>
      <c r="AQ35" s="72" t="s">
        <v>21</v>
      </c>
      <c r="AR35" s="72" t="s">
        <v>26</v>
      </c>
      <c r="AS35" s="72" t="s">
        <v>674</v>
      </c>
      <c r="AT35" s="46">
        <f>IF(OR(FormFields[[#This Row],[Colspan]]="",FormFields[[#This Row],[Colspan]]="colspan"),0,1)</f>
        <v>1</v>
      </c>
      <c r="AU35" s="46" t="str">
        <f>'Table Seed Map'!$A$18&amp;"-"&amp;SUM($AT$2:FormFields[[#This Row],[Exists FL]])</f>
        <v>Form Layout-21</v>
      </c>
      <c r="AV35" s="46">
        <f>IF(FormFields[[#This Row],[Exists FL]]=0,IF(FormFields[[#This Row],[Form Name]]="","id",""),SUM($AT$3:FormFields[[#This Row],[Exists FL]],IF(VLOOKUP('Table Seed Map'!$A$18,SeedMap[],9,0),VLOOKUP('Table Seed Map'!$A$18,SeedMap[],9,0),0)))</f>
        <v>21</v>
      </c>
      <c r="AW35" s="45">
        <f>FormFields[[#This Row],[NO8]]</f>
        <v>21</v>
      </c>
      <c r="AX35" s="46">
        <f>[Form]</f>
        <v>7</v>
      </c>
      <c r="AY35" s="46">
        <f>[ID]</f>
        <v>33</v>
      </c>
      <c r="AZ35" s="74">
        <v>12</v>
      </c>
    </row>
    <row r="36" spans="13:52">
      <c r="M36" s="49" t="str">
        <f>'Table Seed Map'!$A$11&amp;"-"&amp;(COUNTA($Q$1:FormFields[[#This Row],[ID]])-2)</f>
        <v>Form Fields-34</v>
      </c>
      <c r="N36" s="53" t="s">
        <v>991</v>
      </c>
      <c r="O36" s="46">
        <f>IF(FormFields[[#This Row],[Form Name]]="","id",COUNTA($N$3:FormFields[[#This Row],[Form Name]])+IF(VLOOKUP('Table Seed Map'!$A$11,SeedMap[],9,0),VLOOKUP('Table Seed Map'!$A$11,SeedMap[],9,0),0))</f>
        <v>34</v>
      </c>
      <c r="P36" s="49" t="str">
        <f>FormFields[[#This Row],[Form Name]]&amp;"/"&amp;FormFields[[#This Row],[Name]]</f>
        <v>ResourceForm/NewFormForm/name</v>
      </c>
      <c r="Q36" s="45">
        <f>FormFields[[#This Row],[No]]</f>
        <v>34</v>
      </c>
      <c r="R36" s="85">
        <f>VLOOKUP(FormFields[[#This Row],[Form Name]],ResourceForms[[FormName]:[No]],2,0)</f>
        <v>7</v>
      </c>
      <c r="S36" s="56" t="s">
        <v>26</v>
      </c>
      <c r="T36" s="56" t="s">
        <v>231</v>
      </c>
      <c r="U36" s="56" t="s">
        <v>241</v>
      </c>
      <c r="V36" s="64"/>
      <c r="W36" s="64"/>
      <c r="X36" s="64"/>
      <c r="Y36" s="64"/>
      <c r="Z36" s="65" t="str">
        <f>'Table Seed Map'!$A$12&amp;"-"&amp;(COUNTIF($AB$2:FormFields[[#This Row],[Exists]],1)-1)</f>
        <v>Field Data-34</v>
      </c>
      <c r="AA36" s="60">
        <f>IF(FormFields[[#This Row],[Exists]]=1,IF(FormFields[[#This Row],[Exists]]="",$AA35,IF($AA35=0,IF(ISNUMBER(VLOOKUP('Table Seed Map'!$A$12,SeedMap[],9,0)),VLOOKUP('Table Seed Map'!$A$12,SeedMap[],9,0)+1,1),IFERROR($AA35+1,0))),$AA35)</f>
        <v>34</v>
      </c>
      <c r="AB36" s="63">
        <f>IF(AND(FormFields[[#This Row],[Attribute]]="",FormFields[[#This Row],[Relation]]=""),0,1)</f>
        <v>1</v>
      </c>
      <c r="AC36" s="63">
        <f>FormFields[[#This Row],[NO2]]</f>
        <v>34</v>
      </c>
      <c r="AD36" s="66">
        <f>[ID]</f>
        <v>34</v>
      </c>
      <c r="AE36" s="63" t="str">
        <f>[Name]</f>
        <v>name</v>
      </c>
      <c r="AF36" s="91" t="str">
        <f>IF(FormFields[[#This Row],[Rel]]="",IF(EXACT($AF35,FormFields[[#Headers],[Relation]]),"relation",""),VLOOKUP(FormFields[[#This Row],[Rel]],RelationTable[[Display]:[RELID]],2,0))</f>
        <v/>
      </c>
      <c r="AG36" s="90" t="str">
        <f>IF(FormFields[[#This Row],[Rel1]]="",IF(EXACT($AG35,FormFields[[#Headers],[R1]]),"nest_relation1",""),VLOOKUP(FormFields[[#This Row],[Rel1]],RelationTable[[Display]:[RELID]],2,0))</f>
        <v/>
      </c>
      <c r="AH36" s="91" t="str">
        <f>IF(FormFields[[#This Row],[Rel2]]="",IF(EXACT($AH35,FormFields[[#Headers],[R2]]),"nest_relation2",""),VLOOKUP(FormFields[[#This Row],[Rel2]],RelationTable[[Display]:[RELID]],2,0))</f>
        <v/>
      </c>
      <c r="AI36" s="91" t="str">
        <f>IF(FormFields[[#This Row],[Rel3]]="",IF(EXACT($AI35,FormFields[[#Headers],[R3]]),"nest_relation3",""),VLOOKUP(FormFields[[#This Row],[Rel3]],RelationTable[[Display]:[RELID]],2,0))</f>
        <v/>
      </c>
      <c r="AJ36" s="46">
        <f>IF(OR(FormFields[[#This Row],[Option Type]]="",FormFields[[#This Row],[Option Type]]="type"),0,1)</f>
        <v>0</v>
      </c>
      <c r="AK36" s="46" t="str">
        <f>'Table Seed Map'!$A$13&amp;"-"&amp;COUNTIF($AJ$2:FormFields[[#This Row],[Exists FO]],1)</f>
        <v>Field Options-11</v>
      </c>
      <c r="AL36" s="46">
        <f>IF(FormFields[[#This Row],[Exists FO]]=0,$AL35,IF($AL35=0,IF(ISNUMBER(VLOOKUP('Table Seed Map'!$A$13,SeedMap[],9,0)),VLOOKUP('Table Seed Map'!$A$13,SeedMap[],9,0)+1,1),IFERROR($AL35+1,0)))</f>
        <v>11</v>
      </c>
      <c r="AM36" s="46">
        <f>FormFields[[#This Row],[NO4]]</f>
        <v>11</v>
      </c>
      <c r="AN36" s="48">
        <f>[ID]</f>
        <v>34</v>
      </c>
      <c r="AO36" s="72"/>
      <c r="AP36" s="72"/>
      <c r="AQ36" s="72"/>
      <c r="AR36" s="72"/>
      <c r="AS36" s="72"/>
      <c r="AT36" s="46">
        <f>IF(OR(FormFields[[#This Row],[Colspan]]="",FormFields[[#This Row],[Colspan]]="colspan"),0,1)</f>
        <v>1</v>
      </c>
      <c r="AU36" s="46" t="str">
        <f>'Table Seed Map'!$A$18&amp;"-"&amp;SUM($AT$2:FormFields[[#This Row],[Exists FL]])</f>
        <v>Form Layout-22</v>
      </c>
      <c r="AV36" s="46">
        <f>IF(FormFields[[#This Row],[Exists FL]]=0,IF(FormFields[[#This Row],[Form Name]]="","id",""),SUM($AT$3:FormFields[[#This Row],[Exists FL]],IF(VLOOKUP('Table Seed Map'!$A$18,SeedMap[],9,0),VLOOKUP('Table Seed Map'!$A$18,SeedMap[],9,0),0)))</f>
        <v>22</v>
      </c>
      <c r="AW36" s="45">
        <f>FormFields[[#This Row],[NO8]]</f>
        <v>22</v>
      </c>
      <c r="AX36" s="46">
        <f>[Form]</f>
        <v>7</v>
      </c>
      <c r="AY36" s="46">
        <f>[ID]</f>
        <v>34</v>
      </c>
      <c r="AZ36" s="74">
        <v>4</v>
      </c>
    </row>
    <row r="37" spans="13:52">
      <c r="M37" s="49" t="str">
        <f>'Table Seed Map'!$A$11&amp;"-"&amp;(COUNTA($Q$1:FormFields[[#This Row],[ID]])-2)</f>
        <v>Form Fields-35</v>
      </c>
      <c r="N37" s="53" t="s">
        <v>991</v>
      </c>
      <c r="O37" s="46">
        <f>IF(FormFields[[#This Row],[Form Name]]="","id",COUNTA($N$3:FormFields[[#This Row],[Form Name]])+IF(VLOOKUP('Table Seed Map'!$A$11,SeedMap[],9,0),VLOOKUP('Table Seed Map'!$A$11,SeedMap[],9,0),0))</f>
        <v>35</v>
      </c>
      <c r="P37" s="49" t="str">
        <f>FormFields[[#This Row],[Form Name]]&amp;"/"&amp;FormFields[[#This Row],[Name]]</f>
        <v>ResourceForm/NewFormForm/title</v>
      </c>
      <c r="Q37" s="45">
        <f>FormFields[[#This Row],[No]]</f>
        <v>35</v>
      </c>
      <c r="R37" s="85">
        <f>VLOOKUP(FormFields[[#This Row],[Form Name]],ResourceForms[[FormName]:[No]],2,0)</f>
        <v>7</v>
      </c>
      <c r="S37" s="56" t="s">
        <v>30</v>
      </c>
      <c r="T37" s="56" t="s">
        <v>231</v>
      </c>
      <c r="U37" s="56" t="s">
        <v>993</v>
      </c>
      <c r="V37" s="64"/>
      <c r="W37" s="64"/>
      <c r="X37" s="64"/>
      <c r="Y37" s="64"/>
      <c r="Z37" s="65" t="str">
        <f>'Table Seed Map'!$A$12&amp;"-"&amp;(COUNTIF($AB$2:FormFields[[#This Row],[Exists]],1)-1)</f>
        <v>Field Data-35</v>
      </c>
      <c r="AA37" s="60">
        <f>IF(FormFields[[#This Row],[Exists]]=1,IF(FormFields[[#This Row],[Exists]]="",$AA36,IF($AA36=0,IF(ISNUMBER(VLOOKUP('Table Seed Map'!$A$12,SeedMap[],9,0)),VLOOKUP('Table Seed Map'!$A$12,SeedMap[],9,0)+1,1),IFERROR($AA36+1,0))),$AA36)</f>
        <v>35</v>
      </c>
      <c r="AB37" s="63">
        <f>IF(AND(FormFields[[#This Row],[Attribute]]="",FormFields[[#This Row],[Relation]]=""),0,1)</f>
        <v>1</v>
      </c>
      <c r="AC37" s="63">
        <f>FormFields[[#This Row],[NO2]]</f>
        <v>35</v>
      </c>
      <c r="AD37" s="66">
        <f>[ID]</f>
        <v>35</v>
      </c>
      <c r="AE37" s="63" t="str">
        <f>[Name]</f>
        <v>title</v>
      </c>
      <c r="AF37" s="91" t="str">
        <f>IF(FormFields[[#This Row],[Rel]]="",IF(EXACT($AF36,FormFields[[#Headers],[Relation]]),"relation",""),VLOOKUP(FormFields[[#This Row],[Rel]],RelationTable[[Display]:[RELID]],2,0))</f>
        <v/>
      </c>
      <c r="AG37" s="90" t="str">
        <f>IF(FormFields[[#This Row],[Rel1]]="",IF(EXACT($AG36,FormFields[[#Headers],[R1]]),"nest_relation1",""),VLOOKUP(FormFields[[#This Row],[Rel1]],RelationTable[[Display]:[RELID]],2,0))</f>
        <v/>
      </c>
      <c r="AH37" s="91" t="str">
        <f>IF(FormFields[[#This Row],[Rel2]]="",IF(EXACT($AH36,FormFields[[#Headers],[R2]]),"nest_relation2",""),VLOOKUP(FormFields[[#This Row],[Rel2]],RelationTable[[Display]:[RELID]],2,0))</f>
        <v/>
      </c>
      <c r="AI37" s="91" t="str">
        <f>IF(FormFields[[#This Row],[Rel3]]="",IF(EXACT($AI36,FormFields[[#Headers],[R3]]),"nest_relation3",""),VLOOKUP(FormFields[[#This Row],[Rel3]],RelationTable[[Display]:[RELID]],2,0))</f>
        <v/>
      </c>
      <c r="AJ37" s="46">
        <f>IF(OR(FormFields[[#This Row],[Option Type]]="",FormFields[[#This Row],[Option Type]]="type"),0,1)</f>
        <v>0</v>
      </c>
      <c r="AK37" s="46" t="str">
        <f>'Table Seed Map'!$A$13&amp;"-"&amp;COUNTIF($AJ$2:FormFields[[#This Row],[Exists FO]],1)</f>
        <v>Field Options-11</v>
      </c>
      <c r="AL37" s="46">
        <f>IF(FormFields[[#This Row],[Exists FO]]=0,$AL36,IF($AL36=0,IF(ISNUMBER(VLOOKUP('Table Seed Map'!$A$13,SeedMap[],9,0)),VLOOKUP('Table Seed Map'!$A$13,SeedMap[],9,0)+1,1),IFERROR($AL36+1,0)))</f>
        <v>11</v>
      </c>
      <c r="AM37" s="46">
        <f>FormFields[[#This Row],[NO4]]</f>
        <v>11</v>
      </c>
      <c r="AN37" s="48">
        <f>[ID]</f>
        <v>35</v>
      </c>
      <c r="AO37" s="72"/>
      <c r="AP37" s="72"/>
      <c r="AQ37" s="72"/>
      <c r="AR37" s="72"/>
      <c r="AS37" s="72"/>
      <c r="AT37" s="46">
        <f>IF(OR(FormFields[[#This Row],[Colspan]]="",FormFields[[#This Row],[Colspan]]="colspan"),0,1)</f>
        <v>1</v>
      </c>
      <c r="AU37" s="46" t="str">
        <f>'Table Seed Map'!$A$18&amp;"-"&amp;SUM($AT$2:FormFields[[#This Row],[Exists FL]])</f>
        <v>Form Layout-23</v>
      </c>
      <c r="AV37" s="46">
        <f>IF(FormFields[[#This Row],[Exists FL]]=0,IF(FormFields[[#This Row],[Form Name]]="","id",""),SUM($AT$3:FormFields[[#This Row],[Exists FL]],IF(VLOOKUP('Table Seed Map'!$A$18,SeedMap[],9,0),VLOOKUP('Table Seed Map'!$A$18,SeedMap[],9,0),0)))</f>
        <v>23</v>
      </c>
      <c r="AW37" s="45">
        <f>FormFields[[#This Row],[NO8]]</f>
        <v>23</v>
      </c>
      <c r="AX37" s="46">
        <f>[Form]</f>
        <v>7</v>
      </c>
      <c r="AY37" s="46">
        <f>[ID]</f>
        <v>35</v>
      </c>
      <c r="AZ37" s="74">
        <v>4</v>
      </c>
    </row>
    <row r="38" spans="13:52">
      <c r="M38" s="49" t="str">
        <f>'Table Seed Map'!$A$11&amp;"-"&amp;(COUNTA($Q$1:FormFields[[#This Row],[ID]])-2)</f>
        <v>Form Fields-36</v>
      </c>
      <c r="N38" s="53" t="s">
        <v>991</v>
      </c>
      <c r="O38" s="46">
        <f>IF(FormFields[[#This Row],[Form Name]]="","id",COUNTA($N$3:FormFields[[#This Row],[Form Name]])+IF(VLOOKUP('Table Seed Map'!$A$11,SeedMap[],9,0),VLOOKUP('Table Seed Map'!$A$11,SeedMap[],9,0),0))</f>
        <v>36</v>
      </c>
      <c r="P38" s="49" t="str">
        <f>FormFields[[#This Row],[Form Name]]&amp;"/"&amp;FormFields[[#This Row],[Name]]</f>
        <v>ResourceForm/NewFormForm/action_text</v>
      </c>
      <c r="Q38" s="45">
        <f>FormFields[[#This Row],[No]]</f>
        <v>36</v>
      </c>
      <c r="R38" s="85">
        <f>VLOOKUP(FormFields[[#This Row],[Form Name]],ResourceForms[[FormName]:[No]],2,0)</f>
        <v>7</v>
      </c>
      <c r="S38" s="56" t="s">
        <v>63</v>
      </c>
      <c r="T38" s="56" t="s">
        <v>231</v>
      </c>
      <c r="U38" s="56" t="s">
        <v>243</v>
      </c>
      <c r="V38" s="64"/>
      <c r="W38" s="64"/>
      <c r="X38" s="64"/>
      <c r="Y38" s="64"/>
      <c r="Z38" s="65" t="str">
        <f>'Table Seed Map'!$A$12&amp;"-"&amp;(COUNTIF($AB$2:FormFields[[#This Row],[Exists]],1)-1)</f>
        <v>Field Data-36</v>
      </c>
      <c r="AA38" s="60">
        <f>IF(FormFields[[#This Row],[Exists]]=1,IF(FormFields[[#This Row],[Exists]]="",$AA37,IF($AA37=0,IF(ISNUMBER(VLOOKUP('Table Seed Map'!$A$12,SeedMap[],9,0)),VLOOKUP('Table Seed Map'!$A$12,SeedMap[],9,0)+1,1),IFERROR($AA37+1,0))),$AA37)</f>
        <v>36</v>
      </c>
      <c r="AB38" s="63">
        <f>IF(AND(FormFields[[#This Row],[Attribute]]="",FormFields[[#This Row],[Relation]]=""),0,1)</f>
        <v>1</v>
      </c>
      <c r="AC38" s="63">
        <f>FormFields[[#This Row],[NO2]]</f>
        <v>36</v>
      </c>
      <c r="AD38" s="66">
        <f>[ID]</f>
        <v>36</v>
      </c>
      <c r="AE38" s="63" t="str">
        <f>[Name]</f>
        <v>action_text</v>
      </c>
      <c r="AF38" s="91" t="str">
        <f>IF(FormFields[[#This Row],[Rel]]="",IF(EXACT($AF37,FormFields[[#Headers],[Relation]]),"relation",""),VLOOKUP(FormFields[[#This Row],[Rel]],RelationTable[[Display]:[RELID]],2,0))</f>
        <v/>
      </c>
      <c r="AG38" s="90" t="str">
        <f>IF(FormFields[[#This Row],[Rel1]]="",IF(EXACT($AG37,FormFields[[#Headers],[R1]]),"nest_relation1",""),VLOOKUP(FormFields[[#This Row],[Rel1]],RelationTable[[Display]:[RELID]],2,0))</f>
        <v/>
      </c>
      <c r="AH38" s="91" t="str">
        <f>IF(FormFields[[#This Row],[Rel2]]="",IF(EXACT($AH37,FormFields[[#Headers],[R2]]),"nest_relation2",""),VLOOKUP(FormFields[[#This Row],[Rel2]],RelationTable[[Display]:[RELID]],2,0))</f>
        <v/>
      </c>
      <c r="AI38" s="91" t="str">
        <f>IF(FormFields[[#This Row],[Rel3]]="",IF(EXACT($AI37,FormFields[[#Headers],[R3]]),"nest_relation3",""),VLOOKUP(FormFields[[#This Row],[Rel3]],RelationTable[[Display]:[RELID]],2,0))</f>
        <v/>
      </c>
      <c r="AJ38" s="46">
        <f>IF(OR(FormFields[[#This Row],[Option Type]]="",FormFields[[#This Row],[Option Type]]="type"),0,1)</f>
        <v>0</v>
      </c>
      <c r="AK38" s="46" t="str">
        <f>'Table Seed Map'!$A$13&amp;"-"&amp;COUNTIF($AJ$2:FormFields[[#This Row],[Exists FO]],1)</f>
        <v>Field Options-11</v>
      </c>
      <c r="AL38" s="46">
        <f>IF(FormFields[[#This Row],[Exists FO]]=0,$AL37,IF($AL37=0,IF(ISNUMBER(VLOOKUP('Table Seed Map'!$A$13,SeedMap[],9,0)),VLOOKUP('Table Seed Map'!$A$13,SeedMap[],9,0)+1,1),IFERROR($AL37+1,0)))</f>
        <v>11</v>
      </c>
      <c r="AM38" s="46">
        <f>FormFields[[#This Row],[NO4]]</f>
        <v>11</v>
      </c>
      <c r="AN38" s="48">
        <f>[ID]</f>
        <v>36</v>
      </c>
      <c r="AO38" s="72"/>
      <c r="AP38" s="72"/>
      <c r="AQ38" s="72"/>
      <c r="AR38" s="72"/>
      <c r="AS38" s="72"/>
      <c r="AT38" s="46">
        <f>IF(OR(FormFields[[#This Row],[Colspan]]="",FormFields[[#This Row],[Colspan]]="colspan"),0,1)</f>
        <v>1</v>
      </c>
      <c r="AU38" s="46" t="str">
        <f>'Table Seed Map'!$A$18&amp;"-"&amp;SUM($AT$2:FormFields[[#This Row],[Exists FL]])</f>
        <v>Form Layout-24</v>
      </c>
      <c r="AV38" s="46">
        <f>IF(FormFields[[#This Row],[Exists FL]]=0,IF(FormFields[[#This Row],[Form Name]]="","id",""),SUM($AT$3:FormFields[[#This Row],[Exists FL]],IF(VLOOKUP('Table Seed Map'!$A$18,SeedMap[],9,0),VLOOKUP('Table Seed Map'!$A$18,SeedMap[],9,0),0)))</f>
        <v>24</v>
      </c>
      <c r="AW38" s="45">
        <f>FormFields[[#This Row],[NO8]]</f>
        <v>24</v>
      </c>
      <c r="AX38" s="46">
        <f>[Form]</f>
        <v>7</v>
      </c>
      <c r="AY38" s="46">
        <f>[ID]</f>
        <v>36</v>
      </c>
      <c r="AZ38" s="74">
        <v>4</v>
      </c>
    </row>
    <row r="39" spans="13:52">
      <c r="M39" s="49" t="str">
        <f>'Table Seed Map'!$A$11&amp;"-"&amp;(COUNTA($Q$1:FormFields[[#This Row],[ID]])-2)</f>
        <v>Form Fields-37</v>
      </c>
      <c r="N39" s="53" t="s">
        <v>991</v>
      </c>
      <c r="O39" s="46">
        <f>IF(FormFields[[#This Row],[Form Name]]="","id",COUNTA($N$3:FormFields[[#This Row],[Form Name]])+IF(VLOOKUP('Table Seed Map'!$A$11,SeedMap[],9,0),VLOOKUP('Table Seed Map'!$A$11,SeedMap[],9,0),0))</f>
        <v>37</v>
      </c>
      <c r="P39" s="49" t="str">
        <f>FormFields[[#This Row],[Form Name]]&amp;"/"&amp;FormFields[[#This Row],[Name]]</f>
        <v>ResourceForm/NewFormForm/description</v>
      </c>
      <c r="Q39" s="45">
        <f>FormFields[[#This Row],[No]]</f>
        <v>37</v>
      </c>
      <c r="R39" s="85">
        <f>VLOOKUP(FormFields[[#This Row],[Form Name]],ResourceForms[[FormName]:[No]],2,0)</f>
        <v>7</v>
      </c>
      <c r="S39" s="56" t="s">
        <v>28</v>
      </c>
      <c r="T39" s="56" t="s">
        <v>973</v>
      </c>
      <c r="U39" s="56" t="s">
        <v>242</v>
      </c>
      <c r="V39" s="64"/>
      <c r="W39" s="64"/>
      <c r="X39" s="64"/>
      <c r="Y39" s="64"/>
      <c r="Z39" s="65" t="str">
        <f>'Table Seed Map'!$A$12&amp;"-"&amp;(COUNTIF($AB$2:FormFields[[#This Row],[Exists]],1)-1)</f>
        <v>Field Data-37</v>
      </c>
      <c r="AA39" s="60">
        <f>IF(FormFields[[#This Row],[Exists]]=1,IF(FormFields[[#This Row],[Exists]]="",$AA38,IF($AA38=0,IF(ISNUMBER(VLOOKUP('Table Seed Map'!$A$12,SeedMap[],9,0)),VLOOKUP('Table Seed Map'!$A$12,SeedMap[],9,0)+1,1),IFERROR($AA38+1,0))),$AA38)</f>
        <v>37</v>
      </c>
      <c r="AB39" s="63">
        <f>IF(AND(FormFields[[#This Row],[Attribute]]="",FormFields[[#This Row],[Relation]]=""),0,1)</f>
        <v>1</v>
      </c>
      <c r="AC39" s="63">
        <f>FormFields[[#This Row],[NO2]]</f>
        <v>37</v>
      </c>
      <c r="AD39" s="66">
        <f>[ID]</f>
        <v>37</v>
      </c>
      <c r="AE39" s="63" t="str">
        <f>[Name]</f>
        <v>description</v>
      </c>
      <c r="AF39" s="91" t="str">
        <f>IF(FormFields[[#This Row],[Rel]]="",IF(EXACT($AF38,FormFields[[#Headers],[Relation]]),"relation",""),VLOOKUP(FormFields[[#This Row],[Rel]],RelationTable[[Display]:[RELID]],2,0))</f>
        <v/>
      </c>
      <c r="AG39" s="90" t="str">
        <f>IF(FormFields[[#This Row],[Rel1]]="",IF(EXACT($AG38,FormFields[[#Headers],[R1]]),"nest_relation1",""),VLOOKUP(FormFields[[#This Row],[Rel1]],RelationTable[[Display]:[RELID]],2,0))</f>
        <v/>
      </c>
      <c r="AH39" s="91" t="str">
        <f>IF(FormFields[[#This Row],[Rel2]]="",IF(EXACT($AH38,FormFields[[#Headers],[R2]]),"nest_relation2",""),VLOOKUP(FormFields[[#This Row],[Rel2]],RelationTable[[Display]:[RELID]],2,0))</f>
        <v/>
      </c>
      <c r="AI39" s="91" t="str">
        <f>IF(FormFields[[#This Row],[Rel3]]="",IF(EXACT($AI38,FormFields[[#Headers],[R3]]),"nest_relation3",""),VLOOKUP(FormFields[[#This Row],[Rel3]],RelationTable[[Display]:[RELID]],2,0))</f>
        <v/>
      </c>
      <c r="AJ39" s="46">
        <f>IF(OR(FormFields[[#This Row],[Option Type]]="",FormFields[[#This Row],[Option Type]]="type"),0,1)</f>
        <v>0</v>
      </c>
      <c r="AK39" s="46" t="str">
        <f>'Table Seed Map'!$A$13&amp;"-"&amp;COUNTIF($AJ$2:FormFields[[#This Row],[Exists FO]],1)</f>
        <v>Field Options-11</v>
      </c>
      <c r="AL39" s="46">
        <f>IF(FormFields[[#This Row],[Exists FO]]=0,$AL38,IF($AL38=0,IF(ISNUMBER(VLOOKUP('Table Seed Map'!$A$13,SeedMap[],9,0)),VLOOKUP('Table Seed Map'!$A$13,SeedMap[],9,0)+1,1),IFERROR($AL38+1,0)))</f>
        <v>11</v>
      </c>
      <c r="AM39" s="46">
        <f>FormFields[[#This Row],[NO4]]</f>
        <v>11</v>
      </c>
      <c r="AN39" s="48">
        <f>[ID]</f>
        <v>37</v>
      </c>
      <c r="AO39" s="72"/>
      <c r="AP39" s="72"/>
      <c r="AQ39" s="72"/>
      <c r="AR39" s="72"/>
      <c r="AS39" s="72"/>
      <c r="AT39" s="46">
        <f>IF(OR(FormFields[[#This Row],[Colspan]]="",FormFields[[#This Row],[Colspan]]="colspan"),0,1)</f>
        <v>1</v>
      </c>
      <c r="AU39" s="46" t="str">
        <f>'Table Seed Map'!$A$18&amp;"-"&amp;SUM($AT$2:FormFields[[#This Row],[Exists FL]])</f>
        <v>Form Layout-25</v>
      </c>
      <c r="AV39" s="46">
        <f>IF(FormFields[[#This Row],[Exists FL]]=0,IF(FormFields[[#This Row],[Form Name]]="","id",""),SUM($AT$3:FormFields[[#This Row],[Exists FL]],IF(VLOOKUP('Table Seed Map'!$A$18,SeedMap[],9,0),VLOOKUP('Table Seed Map'!$A$18,SeedMap[],9,0),0)))</f>
        <v>25</v>
      </c>
      <c r="AW39" s="45">
        <f>FormFields[[#This Row],[NO8]]</f>
        <v>25</v>
      </c>
      <c r="AX39" s="46">
        <f>[Form]</f>
        <v>7</v>
      </c>
      <c r="AY39" s="46">
        <f>[ID]</f>
        <v>37</v>
      </c>
      <c r="AZ39" s="74">
        <v>12</v>
      </c>
    </row>
    <row r="40" spans="13:52">
      <c r="M40" s="49" t="str">
        <f>'Table Seed Map'!$A$11&amp;"-"&amp;(COUNTA($Q$1:FormFields[[#This Row],[ID]])-2)</f>
        <v>Form Fields-38</v>
      </c>
      <c r="N40" s="53" t="s">
        <v>1006</v>
      </c>
      <c r="O40" s="46">
        <f>IF(FormFields[[#This Row],[Form Name]]="","id",COUNTA($N$3:FormFields[[#This Row],[Form Name]])+IF(VLOOKUP('Table Seed Map'!$A$11,SeedMap[],9,0),VLOOKUP('Table Seed Map'!$A$11,SeedMap[],9,0),0))</f>
        <v>38</v>
      </c>
      <c r="P40" s="49" t="str">
        <f>FormFields[[#This Row],[Form Name]]&amp;"/"&amp;FormFields[[#This Row],[Name]]</f>
        <v>ResourceForm/AddResourceForm/resource</v>
      </c>
      <c r="Q40" s="45">
        <f>FormFields[[#This Row],[No]]</f>
        <v>38</v>
      </c>
      <c r="R40" s="85">
        <f>VLOOKUP(FormFields[[#This Row],[Form Name]],ResourceForms[[FormName]:[No]],2,0)</f>
        <v>8</v>
      </c>
      <c r="S40" s="56" t="s">
        <v>23</v>
      </c>
      <c r="T40" s="56" t="s">
        <v>231</v>
      </c>
      <c r="U40" s="56" t="s">
        <v>992</v>
      </c>
      <c r="V40" s="64"/>
      <c r="W40" s="64"/>
      <c r="X40" s="64"/>
      <c r="Y40" s="64"/>
      <c r="Z40" s="65" t="str">
        <f>'Table Seed Map'!$A$12&amp;"-"&amp;(COUNTIF($AB$2:FormFields[[#This Row],[Exists]],1)-1)</f>
        <v>Field Data-38</v>
      </c>
      <c r="AA40" s="60">
        <f>IF(FormFields[[#This Row],[Exists]]=1,IF(FormFields[[#This Row],[Exists]]="",$AA39,IF($AA39=0,IF(ISNUMBER(VLOOKUP('Table Seed Map'!$A$12,SeedMap[],9,0)),VLOOKUP('Table Seed Map'!$A$12,SeedMap[],9,0)+1,1),IFERROR($AA39+1,0))),$AA39)</f>
        <v>38</v>
      </c>
      <c r="AB40" s="63">
        <f>IF(AND(FormFields[[#This Row],[Attribute]]="",FormFields[[#This Row],[Relation]]=""),0,1)</f>
        <v>1</v>
      </c>
      <c r="AC40" s="63">
        <f>FormFields[[#This Row],[NO2]]</f>
        <v>38</v>
      </c>
      <c r="AD40" s="66">
        <f>[ID]</f>
        <v>38</v>
      </c>
      <c r="AE40" s="63" t="str">
        <f>[Name]</f>
        <v>resource</v>
      </c>
      <c r="AF40" s="91" t="str">
        <f>IF(FormFields[[#This Row],[Rel]]="",IF(EXACT($AF39,FormFields[[#Headers],[Relation]]),"relation",""),VLOOKUP(FormFields[[#This Row],[Rel]],RelationTable[[Display]:[RELID]],2,0))</f>
        <v/>
      </c>
      <c r="AG40" s="90" t="str">
        <f>IF(FormFields[[#This Row],[Rel1]]="",IF(EXACT($AG39,FormFields[[#Headers],[R1]]),"nest_relation1",""),VLOOKUP(FormFields[[#This Row],[Rel1]],RelationTable[[Display]:[RELID]],2,0))</f>
        <v/>
      </c>
      <c r="AH40" s="91" t="str">
        <f>IF(FormFields[[#This Row],[Rel2]]="",IF(EXACT($AH39,FormFields[[#Headers],[R2]]),"nest_relation2",""),VLOOKUP(FormFields[[#This Row],[Rel2]],RelationTable[[Display]:[RELID]],2,0))</f>
        <v/>
      </c>
      <c r="AI40" s="91" t="str">
        <f>IF(FormFields[[#This Row],[Rel3]]="",IF(EXACT($AI39,FormFields[[#Headers],[R3]]),"nest_relation3",""),VLOOKUP(FormFields[[#This Row],[Rel3]],RelationTable[[Display]:[RELID]],2,0))</f>
        <v/>
      </c>
      <c r="AJ40" s="46">
        <f>IF(OR(FormFields[[#This Row],[Option Type]]="",FormFields[[#This Row],[Option Type]]="type"),0,1)</f>
        <v>0</v>
      </c>
      <c r="AK40" s="46" t="str">
        <f>'Table Seed Map'!$A$13&amp;"-"&amp;COUNTIF($AJ$2:FormFields[[#This Row],[Exists FO]],1)</f>
        <v>Field Options-11</v>
      </c>
      <c r="AL40" s="46">
        <f>IF(FormFields[[#This Row],[Exists FO]]=0,$AL39,IF($AL39=0,IF(ISNUMBER(VLOOKUP('Table Seed Map'!$A$13,SeedMap[],9,0)),VLOOKUP('Table Seed Map'!$A$13,SeedMap[],9,0)+1,1),IFERROR($AL39+1,0)))</f>
        <v>11</v>
      </c>
      <c r="AM40" s="46">
        <f>FormFields[[#This Row],[NO4]]</f>
        <v>11</v>
      </c>
      <c r="AN40" s="48">
        <f>[ID]</f>
        <v>38</v>
      </c>
      <c r="AO40" s="72"/>
      <c r="AP40" s="72"/>
      <c r="AQ40" s="72"/>
      <c r="AR40" s="72"/>
      <c r="AS40" s="72"/>
      <c r="AT40" s="46">
        <f>IF(OR(FormFields[[#This Row],[Colspan]]="",FormFields[[#This Row],[Colspan]]="colspan"),0,1)</f>
        <v>0</v>
      </c>
      <c r="AU40" s="46" t="str">
        <f>'Table Seed Map'!$A$18&amp;"-"&amp;SUM($AT$2:FormFields[[#This Row],[Exists FL]])</f>
        <v>Form Layout-25</v>
      </c>
      <c r="AV40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0" s="45" t="str">
        <f>FormFields[[#This Row],[NO8]]</f>
        <v/>
      </c>
      <c r="AX40" s="46">
        <f>[Form]</f>
        <v>8</v>
      </c>
      <c r="AY40" s="46">
        <f>[ID]</f>
        <v>38</v>
      </c>
      <c r="AZ40" s="74"/>
    </row>
    <row r="41" spans="13:52">
      <c r="M41" s="47" t="str">
        <f>'Table Seed Map'!$A$11&amp;"-"&amp;(COUNTA($Q$1:FormFields[[#This Row],[ID]])-2)</f>
        <v>Form Fields-39</v>
      </c>
      <c r="N41" s="53" t="s">
        <v>1006</v>
      </c>
      <c r="O41" s="45">
        <f>IF(FormFields[[#This Row],[Form Name]]="","id",COUNTA($N$3:FormFields[[#This Row],[Form Name]])+IF(VLOOKUP('Table Seed Map'!$A$11,SeedMap[],9,0),VLOOKUP('Table Seed Map'!$A$11,SeedMap[],9,0),0))</f>
        <v>39</v>
      </c>
      <c r="P41" s="47" t="str">
        <f>FormFields[[#This Row],[Form Name]]&amp;"/"&amp;FormFields[[#This Row],[Name]]</f>
        <v>ResourceForm/AddResourceForm/name</v>
      </c>
      <c r="Q41" s="45">
        <f>FormFields[[#This Row],[No]]</f>
        <v>39</v>
      </c>
      <c r="R41" s="52">
        <f>VLOOKUP(FormFields[[#This Row],[Form Name]],ResourceForms[[FormName]:[No]],2,0)</f>
        <v>8</v>
      </c>
      <c r="S41" s="55" t="s">
        <v>26</v>
      </c>
      <c r="T41" s="55" t="s">
        <v>231</v>
      </c>
      <c r="U41" s="56" t="s">
        <v>241</v>
      </c>
      <c r="V41" s="58"/>
      <c r="W41" s="58"/>
      <c r="X41" s="58"/>
      <c r="Y41" s="58"/>
      <c r="Z41" s="59" t="str">
        <f>'Table Seed Map'!$A$12&amp;"-"&amp;(COUNTIF($AB$2:FormFields[[#This Row],[Exists]],1)-1)</f>
        <v>Field Data-39</v>
      </c>
      <c r="AA41" s="60">
        <f>IF(FormFields[[#This Row],[Exists]]=1,IF(FormFields[[#This Row],[Exists]]="",$AA40,IF($AA40=0,IF(ISNUMBER(VLOOKUP('Table Seed Map'!$A$12,SeedMap[],9,0)),VLOOKUP('Table Seed Map'!$A$12,SeedMap[],9,0)+1,1),IFERROR($AA40+1,0))),$AA40)</f>
        <v>39</v>
      </c>
      <c r="AB41" s="60">
        <f>IF(AND(FormFields[[#This Row],[Attribute]]="",FormFields[[#This Row],[Relation]]=""),0,1)</f>
        <v>1</v>
      </c>
      <c r="AC41" s="60">
        <f>FormFields[[#This Row],[NO2]]</f>
        <v>39</v>
      </c>
      <c r="AD41" s="62">
        <f>[ID]</f>
        <v>39</v>
      </c>
      <c r="AE41" s="60" t="str">
        <f>[Name]</f>
        <v>name</v>
      </c>
      <c r="AF41" s="91" t="str">
        <f>IF(FormFields[[#This Row],[Rel]]="",IF(EXACT($AF40,FormFields[[#Headers],[Relation]]),"relation",""),VLOOKUP(FormFields[[#This Row],[Rel]],RelationTable[[Display]:[RELID]],2,0))</f>
        <v/>
      </c>
      <c r="AG41" s="90" t="str">
        <f>IF(FormFields[[#This Row],[Rel1]]="",IF(EXACT($AG40,FormFields[[#Headers],[R1]]),"nest_relation1",""),VLOOKUP(FormFields[[#This Row],[Rel1]],RelationTable[[Display]:[RELID]],2,0))</f>
        <v/>
      </c>
      <c r="AH41" s="91" t="str">
        <f>IF(FormFields[[#This Row],[Rel2]]="",IF(EXACT($AH40,FormFields[[#Headers],[R2]]),"nest_relation2",""),VLOOKUP(FormFields[[#This Row],[Rel2]],RelationTable[[Display]:[RELID]],2,0))</f>
        <v/>
      </c>
      <c r="AI41" s="91" t="str">
        <f>IF(FormFields[[#This Row],[Rel3]]="",IF(EXACT($AI40,FormFields[[#Headers],[R3]]),"nest_relation3",""),VLOOKUP(FormFields[[#This Row],[Rel3]],RelationTable[[Display]:[RELID]],2,0))</f>
        <v/>
      </c>
      <c r="AJ41" s="45">
        <f>IF(OR(FormFields[[#This Row],[Option Type]]="",FormFields[[#This Row],[Option Type]]="type"),0,1)</f>
        <v>0</v>
      </c>
      <c r="AK41" s="45" t="str">
        <f>'Table Seed Map'!$A$13&amp;"-"&amp;COUNTIF($AJ$2:FormFields[[#This Row],[Exists FO]],1)</f>
        <v>Field Options-11</v>
      </c>
      <c r="AL41" s="46">
        <f>IF(FormFields[[#This Row],[Exists FO]]=0,$AL40,IF($AL40=0,IF(ISNUMBER(VLOOKUP('Table Seed Map'!$A$13,SeedMap[],9,0)),VLOOKUP('Table Seed Map'!$A$13,SeedMap[],9,0)+1,1),IFERROR($AL40+1,0)))</f>
        <v>11</v>
      </c>
      <c r="AM41" s="45">
        <f>FormFields[[#This Row],[NO4]]</f>
        <v>11</v>
      </c>
      <c r="AN41" s="38">
        <f>[ID]</f>
        <v>39</v>
      </c>
      <c r="AO41" s="71"/>
      <c r="AP41" s="71"/>
      <c r="AQ41" s="71"/>
      <c r="AR41" s="71"/>
      <c r="AS41" s="71"/>
      <c r="AT41" s="45">
        <f>IF(OR(FormFields[[#This Row],[Colspan]]="",FormFields[[#This Row],[Colspan]]="colspan"),0,1)</f>
        <v>0</v>
      </c>
      <c r="AU41" s="45" t="str">
        <f>'Table Seed Map'!$A$18&amp;"-"&amp;SUM($AT$2:FormFields[[#This Row],[Exists FL]])</f>
        <v>Form Layout-25</v>
      </c>
      <c r="AV41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1" s="45" t="str">
        <f>FormFields[[#This Row],[NO8]]</f>
        <v/>
      </c>
      <c r="AX41" s="45">
        <f>[Form]</f>
        <v>8</v>
      </c>
      <c r="AY41" s="45">
        <f>[ID]</f>
        <v>39</v>
      </c>
      <c r="AZ41" s="61"/>
    </row>
    <row r="42" spans="13:52">
      <c r="M42" s="47" t="str">
        <f>'Table Seed Map'!$A$11&amp;"-"&amp;(COUNTA($Q$1:FormFields[[#This Row],[ID]])-2)</f>
        <v>Form Fields-40</v>
      </c>
      <c r="N42" s="53" t="s">
        <v>1006</v>
      </c>
      <c r="O42" s="45">
        <f>IF(FormFields[[#This Row],[Form Name]]="","id",COUNTA($N$3:FormFields[[#This Row],[Form Name]])+IF(VLOOKUP('Table Seed Map'!$A$11,SeedMap[],9,0),VLOOKUP('Table Seed Map'!$A$11,SeedMap[],9,0),0))</f>
        <v>40</v>
      </c>
      <c r="P42" s="47" t="str">
        <f>FormFields[[#This Row],[Form Name]]&amp;"/"&amp;FormFields[[#This Row],[Name]]</f>
        <v>ResourceForm/AddResourceForm/title</v>
      </c>
      <c r="Q42" s="45">
        <f>FormFields[[#This Row],[No]]</f>
        <v>40</v>
      </c>
      <c r="R42" s="52">
        <f>VLOOKUP(FormFields[[#This Row],[Form Name]],ResourceForms[[FormName]:[No]],2,0)</f>
        <v>8</v>
      </c>
      <c r="S42" s="55" t="s">
        <v>30</v>
      </c>
      <c r="T42" s="55" t="s">
        <v>231</v>
      </c>
      <c r="U42" s="56" t="s">
        <v>993</v>
      </c>
      <c r="V42" s="58"/>
      <c r="W42" s="58"/>
      <c r="X42" s="58"/>
      <c r="Y42" s="58"/>
      <c r="Z42" s="59" t="str">
        <f>'Table Seed Map'!$A$12&amp;"-"&amp;(COUNTIF($AB$2:FormFields[[#This Row],[Exists]],1)-1)</f>
        <v>Field Data-40</v>
      </c>
      <c r="AA42" s="60">
        <f>IF(FormFields[[#This Row],[Exists]]=1,IF(FormFields[[#This Row],[Exists]]="",$AA41,IF($AA41=0,IF(ISNUMBER(VLOOKUP('Table Seed Map'!$A$12,SeedMap[],9,0)),VLOOKUP('Table Seed Map'!$A$12,SeedMap[],9,0)+1,1),IFERROR($AA41+1,0))),$AA41)</f>
        <v>40</v>
      </c>
      <c r="AB42" s="60">
        <f>IF(AND(FormFields[[#This Row],[Attribute]]="",FormFields[[#This Row],[Relation]]=""),0,1)</f>
        <v>1</v>
      </c>
      <c r="AC42" s="60">
        <f>FormFields[[#This Row],[NO2]]</f>
        <v>40</v>
      </c>
      <c r="AD42" s="62">
        <f>[ID]</f>
        <v>40</v>
      </c>
      <c r="AE42" s="60" t="str">
        <f>[Name]</f>
        <v>title</v>
      </c>
      <c r="AF42" s="91" t="str">
        <f>IF(FormFields[[#This Row],[Rel]]="",IF(EXACT($AF41,FormFields[[#Headers],[Relation]]),"relation",""),VLOOKUP(FormFields[[#This Row],[Rel]],RelationTable[[Display]:[RELID]],2,0))</f>
        <v/>
      </c>
      <c r="AG42" s="90" t="str">
        <f>IF(FormFields[[#This Row],[Rel1]]="",IF(EXACT($AG41,FormFields[[#Headers],[R1]]),"nest_relation1",""),VLOOKUP(FormFields[[#This Row],[Rel1]],RelationTable[[Display]:[RELID]],2,0))</f>
        <v/>
      </c>
      <c r="AH42" s="91" t="str">
        <f>IF(FormFields[[#This Row],[Rel2]]="",IF(EXACT($AH41,FormFields[[#Headers],[R2]]),"nest_relation2",""),VLOOKUP(FormFields[[#This Row],[Rel2]],RelationTable[[Display]:[RELID]],2,0))</f>
        <v/>
      </c>
      <c r="AI42" s="91" t="str">
        <f>IF(FormFields[[#This Row],[Rel3]]="",IF(EXACT($AI41,FormFields[[#Headers],[R3]]),"nest_relation3",""),VLOOKUP(FormFields[[#This Row],[Rel3]],RelationTable[[Display]:[RELID]],2,0))</f>
        <v/>
      </c>
      <c r="AJ42" s="45">
        <f>IF(OR(FormFields[[#This Row],[Option Type]]="",FormFields[[#This Row],[Option Type]]="type"),0,1)</f>
        <v>0</v>
      </c>
      <c r="AK42" s="45" t="str">
        <f>'Table Seed Map'!$A$13&amp;"-"&amp;COUNTIF($AJ$2:FormFields[[#This Row],[Exists FO]],1)</f>
        <v>Field Options-11</v>
      </c>
      <c r="AL42" s="46">
        <f>IF(FormFields[[#This Row],[Exists FO]]=0,$AL41,IF($AL41=0,IF(ISNUMBER(VLOOKUP('Table Seed Map'!$A$13,SeedMap[],9,0)),VLOOKUP('Table Seed Map'!$A$13,SeedMap[],9,0)+1,1),IFERROR($AL41+1,0)))</f>
        <v>11</v>
      </c>
      <c r="AM42" s="45">
        <f>FormFields[[#This Row],[NO4]]</f>
        <v>11</v>
      </c>
      <c r="AN42" s="38">
        <f>[ID]</f>
        <v>40</v>
      </c>
      <c r="AO42" s="71"/>
      <c r="AP42" s="71"/>
      <c r="AQ42" s="71"/>
      <c r="AR42" s="71"/>
      <c r="AS42" s="71"/>
      <c r="AT42" s="45">
        <f>IF(OR(FormFields[[#This Row],[Colspan]]="",FormFields[[#This Row],[Colspan]]="colspan"),0,1)</f>
        <v>0</v>
      </c>
      <c r="AU42" s="45" t="str">
        <f>'Table Seed Map'!$A$18&amp;"-"&amp;SUM($AT$2:FormFields[[#This Row],[Exists FL]])</f>
        <v>Form Layout-25</v>
      </c>
      <c r="AV42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2" s="45" t="str">
        <f>FormFields[[#This Row],[NO8]]</f>
        <v/>
      </c>
      <c r="AX42" s="45">
        <f>[Form]</f>
        <v>8</v>
      </c>
      <c r="AY42" s="45">
        <f>[ID]</f>
        <v>40</v>
      </c>
      <c r="AZ42" s="61"/>
    </row>
    <row r="43" spans="13:52">
      <c r="M43" s="47" t="str">
        <f>'Table Seed Map'!$A$11&amp;"-"&amp;(COUNTA($Q$1:FormFields[[#This Row],[ID]])-2)</f>
        <v>Form Fields-41</v>
      </c>
      <c r="N43" s="53" t="s">
        <v>1006</v>
      </c>
      <c r="O43" s="45">
        <f>IF(FormFields[[#This Row],[Form Name]]="","id",COUNTA($N$3:FormFields[[#This Row],[Form Name]])+IF(VLOOKUP('Table Seed Map'!$A$11,SeedMap[],9,0),VLOOKUP('Table Seed Map'!$A$11,SeedMap[],9,0),0))</f>
        <v>41</v>
      </c>
      <c r="P43" s="47" t="str">
        <f>FormFields[[#This Row],[Form Name]]&amp;"/"&amp;FormFields[[#This Row],[Name]]</f>
        <v>ResourceForm/AddResourceForm/action_text</v>
      </c>
      <c r="Q43" s="45">
        <f>FormFields[[#This Row],[No]]</f>
        <v>41</v>
      </c>
      <c r="R43" s="52">
        <f>VLOOKUP(FormFields[[#This Row],[Form Name]],ResourceForms[[FormName]:[No]],2,0)</f>
        <v>8</v>
      </c>
      <c r="S43" s="55" t="s">
        <v>63</v>
      </c>
      <c r="T43" s="55" t="s">
        <v>231</v>
      </c>
      <c r="U43" s="56" t="s">
        <v>243</v>
      </c>
      <c r="V43" s="58"/>
      <c r="W43" s="58"/>
      <c r="X43" s="58"/>
      <c r="Y43" s="58"/>
      <c r="Z43" s="59" t="str">
        <f>'Table Seed Map'!$A$12&amp;"-"&amp;(COUNTIF($AB$2:FormFields[[#This Row],[Exists]],1)-1)</f>
        <v>Field Data-41</v>
      </c>
      <c r="AA43" s="60">
        <f>IF(FormFields[[#This Row],[Exists]]=1,IF(FormFields[[#This Row],[Exists]]="",$AA42,IF($AA42=0,IF(ISNUMBER(VLOOKUP('Table Seed Map'!$A$12,SeedMap[],9,0)),VLOOKUP('Table Seed Map'!$A$12,SeedMap[],9,0)+1,1),IFERROR($AA42+1,0))),$AA42)</f>
        <v>41</v>
      </c>
      <c r="AB43" s="60">
        <f>IF(AND(FormFields[[#This Row],[Attribute]]="",FormFields[[#This Row],[Relation]]=""),0,1)</f>
        <v>1</v>
      </c>
      <c r="AC43" s="60">
        <f>FormFields[[#This Row],[NO2]]</f>
        <v>41</v>
      </c>
      <c r="AD43" s="62">
        <f>[ID]</f>
        <v>41</v>
      </c>
      <c r="AE43" s="60" t="str">
        <f>[Name]</f>
        <v>action_text</v>
      </c>
      <c r="AF43" s="91" t="str">
        <f>IF(FormFields[[#This Row],[Rel]]="",IF(EXACT($AF42,FormFields[[#Headers],[Relation]]),"relation",""),VLOOKUP(FormFields[[#This Row],[Rel]],RelationTable[[Display]:[RELID]],2,0))</f>
        <v/>
      </c>
      <c r="AG43" s="90" t="str">
        <f>IF(FormFields[[#This Row],[Rel1]]="",IF(EXACT($AG42,FormFields[[#Headers],[R1]]),"nest_relation1",""),VLOOKUP(FormFields[[#This Row],[Rel1]],RelationTable[[Display]:[RELID]],2,0))</f>
        <v/>
      </c>
      <c r="AH43" s="91" t="str">
        <f>IF(FormFields[[#This Row],[Rel2]]="",IF(EXACT($AH42,FormFields[[#Headers],[R2]]),"nest_relation2",""),VLOOKUP(FormFields[[#This Row],[Rel2]],RelationTable[[Display]:[RELID]],2,0))</f>
        <v/>
      </c>
      <c r="AI43" s="91" t="str">
        <f>IF(FormFields[[#This Row],[Rel3]]="",IF(EXACT($AI42,FormFields[[#Headers],[R3]]),"nest_relation3",""),VLOOKUP(FormFields[[#This Row],[Rel3]],RelationTable[[Display]:[RELID]],2,0))</f>
        <v/>
      </c>
      <c r="AJ43" s="45">
        <f>IF(OR(FormFields[[#This Row],[Option Type]]="",FormFields[[#This Row],[Option Type]]="type"),0,1)</f>
        <v>0</v>
      </c>
      <c r="AK43" s="45" t="str">
        <f>'Table Seed Map'!$A$13&amp;"-"&amp;COUNTIF($AJ$2:FormFields[[#This Row],[Exists FO]],1)</f>
        <v>Field Options-11</v>
      </c>
      <c r="AL43" s="46">
        <f>IF(FormFields[[#This Row],[Exists FO]]=0,$AL42,IF($AL42=0,IF(ISNUMBER(VLOOKUP('Table Seed Map'!$A$13,SeedMap[],9,0)),VLOOKUP('Table Seed Map'!$A$13,SeedMap[],9,0)+1,1),IFERROR($AL42+1,0)))</f>
        <v>11</v>
      </c>
      <c r="AM43" s="45">
        <f>FormFields[[#This Row],[NO4]]</f>
        <v>11</v>
      </c>
      <c r="AN43" s="38">
        <f>[ID]</f>
        <v>41</v>
      </c>
      <c r="AO43" s="71"/>
      <c r="AP43" s="71"/>
      <c r="AQ43" s="71"/>
      <c r="AR43" s="71"/>
      <c r="AS43" s="71"/>
      <c r="AT43" s="45">
        <f>IF(OR(FormFields[[#This Row],[Colspan]]="",FormFields[[#This Row],[Colspan]]="colspan"),0,1)</f>
        <v>0</v>
      </c>
      <c r="AU43" s="45" t="str">
        <f>'Table Seed Map'!$A$18&amp;"-"&amp;SUM($AT$2:FormFields[[#This Row],[Exists FL]])</f>
        <v>Form Layout-25</v>
      </c>
      <c r="AV43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3" s="45" t="str">
        <f>FormFields[[#This Row],[NO8]]</f>
        <v/>
      </c>
      <c r="AX43" s="45">
        <f>[Form]</f>
        <v>8</v>
      </c>
      <c r="AY43" s="45">
        <f>[ID]</f>
        <v>41</v>
      </c>
      <c r="AZ43" s="61"/>
    </row>
    <row r="44" spans="13:52">
      <c r="M44" s="47" t="str">
        <f>'Table Seed Map'!$A$11&amp;"-"&amp;(COUNTA($Q$1:FormFields[[#This Row],[ID]])-2)</f>
        <v>Form Fields-42</v>
      </c>
      <c r="N44" s="53" t="s">
        <v>1006</v>
      </c>
      <c r="O44" s="45">
        <f>IF(FormFields[[#This Row],[Form Name]]="","id",COUNTA($N$3:FormFields[[#This Row],[Form Name]])+IF(VLOOKUP('Table Seed Map'!$A$11,SeedMap[],9,0),VLOOKUP('Table Seed Map'!$A$11,SeedMap[],9,0),0))</f>
        <v>42</v>
      </c>
      <c r="P44" s="47" t="str">
        <f>FormFields[[#This Row],[Form Name]]&amp;"/"&amp;FormFields[[#This Row],[Name]]</f>
        <v>ResourceForm/AddResourceForm/description</v>
      </c>
      <c r="Q44" s="45">
        <f>FormFields[[#This Row],[No]]</f>
        <v>42</v>
      </c>
      <c r="R44" s="52">
        <f>VLOOKUP(FormFields[[#This Row],[Form Name]],ResourceForms[[FormName]:[No]],2,0)</f>
        <v>8</v>
      </c>
      <c r="S44" s="55" t="s">
        <v>28</v>
      </c>
      <c r="T44" s="55" t="s">
        <v>973</v>
      </c>
      <c r="U44" s="55" t="s">
        <v>242</v>
      </c>
      <c r="V44" s="58"/>
      <c r="W44" s="58"/>
      <c r="X44" s="58"/>
      <c r="Y44" s="58"/>
      <c r="Z44" s="59" t="str">
        <f>'Table Seed Map'!$A$12&amp;"-"&amp;(COUNTIF($AB$2:FormFields[[#This Row],[Exists]],1)-1)</f>
        <v>Field Data-42</v>
      </c>
      <c r="AA44" s="60">
        <f>IF(FormFields[[#This Row],[Exists]]=1,IF(FormFields[[#This Row],[Exists]]="",$AA43,IF($AA43=0,IF(ISNUMBER(VLOOKUP('Table Seed Map'!$A$12,SeedMap[],9,0)),VLOOKUP('Table Seed Map'!$A$12,SeedMap[],9,0)+1,1),IFERROR($AA43+1,0))),$AA43)</f>
        <v>42</v>
      </c>
      <c r="AB44" s="60">
        <f>IF(AND(FormFields[[#This Row],[Attribute]]="",FormFields[[#This Row],[Relation]]=""),0,1)</f>
        <v>1</v>
      </c>
      <c r="AC44" s="60">
        <f>FormFields[[#This Row],[NO2]]</f>
        <v>42</v>
      </c>
      <c r="AD44" s="62">
        <f>[ID]</f>
        <v>42</v>
      </c>
      <c r="AE44" s="60" t="str">
        <f>[Name]</f>
        <v>description</v>
      </c>
      <c r="AF44" s="91" t="str">
        <f>IF(FormFields[[#This Row],[Rel]]="",IF(EXACT($AF43,FormFields[[#Headers],[Relation]]),"relation",""),VLOOKUP(FormFields[[#This Row],[Rel]],RelationTable[[Display]:[RELID]],2,0))</f>
        <v/>
      </c>
      <c r="AG44" s="90" t="str">
        <f>IF(FormFields[[#This Row],[Rel1]]="",IF(EXACT($AG43,FormFields[[#Headers],[R1]]),"nest_relation1",""),VLOOKUP(FormFields[[#This Row],[Rel1]],RelationTable[[Display]:[RELID]],2,0))</f>
        <v/>
      </c>
      <c r="AH44" s="91" t="str">
        <f>IF(FormFields[[#This Row],[Rel2]]="",IF(EXACT($AH43,FormFields[[#Headers],[R2]]),"nest_relation2",""),VLOOKUP(FormFields[[#This Row],[Rel2]],RelationTable[[Display]:[RELID]],2,0))</f>
        <v/>
      </c>
      <c r="AI44" s="91" t="str">
        <f>IF(FormFields[[#This Row],[Rel3]]="",IF(EXACT($AI43,FormFields[[#Headers],[R3]]),"nest_relation3",""),VLOOKUP(FormFields[[#This Row],[Rel3]],RelationTable[[Display]:[RELID]],2,0))</f>
        <v/>
      </c>
      <c r="AJ44" s="45">
        <f>IF(OR(FormFields[[#This Row],[Option Type]]="",FormFields[[#This Row],[Option Type]]="type"),0,1)</f>
        <v>0</v>
      </c>
      <c r="AK44" s="45" t="str">
        <f>'Table Seed Map'!$A$13&amp;"-"&amp;COUNTIF($AJ$2:FormFields[[#This Row],[Exists FO]],1)</f>
        <v>Field Options-11</v>
      </c>
      <c r="AL44" s="46">
        <f>IF(FormFields[[#This Row],[Exists FO]]=0,$AL43,IF($AL43=0,IF(ISNUMBER(VLOOKUP('Table Seed Map'!$A$13,SeedMap[],9,0)),VLOOKUP('Table Seed Map'!$A$13,SeedMap[],9,0)+1,1),IFERROR($AL43+1,0)))</f>
        <v>11</v>
      </c>
      <c r="AM44" s="45">
        <f>FormFields[[#This Row],[NO4]]</f>
        <v>11</v>
      </c>
      <c r="AN44" s="38">
        <f>[ID]</f>
        <v>42</v>
      </c>
      <c r="AO44" s="71"/>
      <c r="AP44" s="71"/>
      <c r="AQ44" s="71"/>
      <c r="AR44" s="71"/>
      <c r="AS44" s="71"/>
      <c r="AT44" s="45">
        <f>IF(OR(FormFields[[#This Row],[Colspan]]="",FormFields[[#This Row],[Colspan]]="colspan"),0,1)</f>
        <v>0</v>
      </c>
      <c r="AU44" s="45" t="str">
        <f>'Table Seed Map'!$A$18&amp;"-"&amp;SUM($AT$2:FormFields[[#This Row],[Exists FL]])</f>
        <v>Form Layout-25</v>
      </c>
      <c r="AV44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4" s="45" t="str">
        <f>FormFields[[#This Row],[NO8]]</f>
        <v/>
      </c>
      <c r="AX44" s="45">
        <f>[Form]</f>
        <v>8</v>
      </c>
      <c r="AY44" s="45">
        <f>[ID]</f>
        <v>42</v>
      </c>
      <c r="AZ44" s="61"/>
    </row>
    <row r="45" spans="13:52">
      <c r="M45" s="51" t="str">
        <f>'Table Seed Map'!$A$11&amp;"-"&amp;(COUNTA($Q$1:FormFields[[#This Row],[ID]])-2)</f>
        <v>Form Fields-43</v>
      </c>
      <c r="N45" s="53" t="s">
        <v>1010</v>
      </c>
      <c r="O45" s="50">
        <f>IF(FormFields[[#This Row],[Form Name]]="","id",COUNTA($N$3:FormFields[[#This Row],[Form Name]])+IF(VLOOKUP('Table Seed Map'!$A$11,SeedMap[],9,0),VLOOKUP('Table Seed Map'!$A$11,SeedMap[],9,0),0))</f>
        <v>43</v>
      </c>
      <c r="P45" s="51" t="str">
        <f>FormFields[[#This Row],[Form Name]]&amp;"/"&amp;FormFields[[#This Row],[Name]]</f>
        <v>ResourceFormField/CreateFormField/resource_form</v>
      </c>
      <c r="Q45" s="45">
        <f>FormFields[[#This Row],[No]]</f>
        <v>43</v>
      </c>
      <c r="R45" s="92">
        <f>VLOOKUP(FormFields[[#This Row],[Form Name]],ResourceForms[[FormName]:[No]],2,0)</f>
        <v>9</v>
      </c>
      <c r="S45" s="57" t="s">
        <v>116</v>
      </c>
      <c r="T45" s="57" t="s">
        <v>234</v>
      </c>
      <c r="U45" s="57" t="s">
        <v>1011</v>
      </c>
      <c r="V45" s="67"/>
      <c r="W45" s="67"/>
      <c r="X45" s="67"/>
      <c r="Y45" s="67"/>
      <c r="Z45" s="68" t="str">
        <f>'Table Seed Map'!$A$12&amp;"-"&amp;(COUNTIF($AB$2:FormFields[[#This Row],[Exists]],1)-1)</f>
        <v>Field Data-43</v>
      </c>
      <c r="AA45" s="60">
        <f>IF(FormFields[[#This Row],[Exists]]=1,IF(FormFields[[#This Row],[Exists]]="",$AA44,IF($AA44=0,IF(ISNUMBER(VLOOKUP('Table Seed Map'!$A$12,SeedMap[],9,0)),VLOOKUP('Table Seed Map'!$A$12,SeedMap[],9,0)+1,1),IFERROR($AA44+1,0))),$AA44)</f>
        <v>43</v>
      </c>
      <c r="AB45" s="69">
        <f>IF(AND(FormFields[[#This Row],[Attribute]]="",FormFields[[#This Row],[Relation]]=""),0,1)</f>
        <v>1</v>
      </c>
      <c r="AC45" s="69">
        <f>FormFields[[#This Row],[NO2]]</f>
        <v>43</v>
      </c>
      <c r="AD45" s="70">
        <f>[ID]</f>
        <v>43</v>
      </c>
      <c r="AE45" s="69" t="str">
        <f>[Name]</f>
        <v>resource_form</v>
      </c>
      <c r="AF45" s="91" t="str">
        <f>IF(FormFields[[#This Row],[Rel]]="",IF(EXACT($AF44,FormFields[[#Headers],[Relation]]),"relation",""),VLOOKUP(FormFields[[#This Row],[Rel]],RelationTable[[Display]:[RELID]],2,0))</f>
        <v/>
      </c>
      <c r="AG45" s="90" t="str">
        <f>IF(FormFields[[#This Row],[Rel1]]="",IF(EXACT($AG44,FormFields[[#Headers],[R1]]),"nest_relation1",""),VLOOKUP(FormFields[[#This Row],[Rel1]],RelationTable[[Display]:[RELID]],2,0))</f>
        <v/>
      </c>
      <c r="AH45" s="91" t="str">
        <f>IF(FormFields[[#This Row],[Rel2]]="",IF(EXACT($AH44,FormFields[[#Headers],[R2]]),"nest_relation2",""),VLOOKUP(FormFields[[#This Row],[Rel2]],RelationTable[[Display]:[RELID]],2,0))</f>
        <v/>
      </c>
      <c r="AI45" s="91" t="str">
        <f>IF(FormFields[[#This Row],[Rel3]]="",IF(EXACT($AI44,FormFields[[#Headers],[R3]]),"nest_relation3",""),VLOOKUP(FormFields[[#This Row],[Rel3]],RelationTable[[Display]:[RELID]],2,0))</f>
        <v/>
      </c>
      <c r="AJ45" s="50">
        <f>IF(OR(FormFields[[#This Row],[Option Type]]="",FormFields[[#This Row],[Option Type]]="type"),0,1)</f>
        <v>0</v>
      </c>
      <c r="AK45" s="50" t="str">
        <f>'Table Seed Map'!$A$13&amp;"-"&amp;COUNTIF($AJ$2:FormFields[[#This Row],[Exists FO]],1)</f>
        <v>Field Options-11</v>
      </c>
      <c r="AL45" s="46">
        <f>IF(FormFields[[#This Row],[Exists FO]]=0,$AL44,IF($AL44=0,IF(ISNUMBER(VLOOKUP('Table Seed Map'!$A$13,SeedMap[],9,0)),VLOOKUP('Table Seed Map'!$A$13,SeedMap[],9,0)+1,1),IFERROR($AL44+1,0)))</f>
        <v>11</v>
      </c>
      <c r="AM45" s="50">
        <f>FormFields[[#This Row],[NO4]]</f>
        <v>11</v>
      </c>
      <c r="AN45" s="39">
        <f>[ID]</f>
        <v>43</v>
      </c>
      <c r="AO45" s="73"/>
      <c r="AP45" s="73"/>
      <c r="AQ45" s="73"/>
      <c r="AR45" s="73"/>
      <c r="AS45" s="73"/>
      <c r="AT45" s="50">
        <f>IF(OR(FormFields[[#This Row],[Colspan]]="",FormFields[[#This Row],[Colspan]]="colspan"),0,1)</f>
        <v>0</v>
      </c>
      <c r="AU45" s="50" t="str">
        <f>'Table Seed Map'!$A$18&amp;"-"&amp;SUM($AT$2:FormFields[[#This Row],[Exists FL]])</f>
        <v>Form Layout-25</v>
      </c>
      <c r="AV45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5" s="45" t="str">
        <f>FormFields[[#This Row],[NO8]]</f>
        <v/>
      </c>
      <c r="AX45" s="50">
        <f>[Form]</f>
        <v>9</v>
      </c>
      <c r="AY45" s="50">
        <f>[ID]</f>
        <v>43</v>
      </c>
      <c r="AZ45" s="75"/>
    </row>
    <row r="46" spans="13:52">
      <c r="M46" s="51" t="str">
        <f>'Table Seed Map'!$A$11&amp;"-"&amp;(COUNTA($Q$1:FormFields[[#This Row],[ID]])-2)</f>
        <v>Form Fields-44</v>
      </c>
      <c r="N46" s="53" t="s">
        <v>1010</v>
      </c>
      <c r="O46" s="50">
        <f>IF(FormFields[[#This Row],[Form Name]]="","id",COUNTA($N$3:FormFields[[#This Row],[Form Name]])+IF(VLOOKUP('Table Seed Map'!$A$11,SeedMap[],9,0),VLOOKUP('Table Seed Map'!$A$11,SeedMap[],9,0),0))</f>
        <v>44</v>
      </c>
      <c r="P46" s="51" t="str">
        <f>FormFields[[#This Row],[Form Name]]&amp;"/"&amp;FormFields[[#This Row],[Name]]</f>
        <v>ResourceFormField/CreateFormField/name</v>
      </c>
      <c r="Q46" s="45">
        <f>FormFields[[#This Row],[No]]</f>
        <v>44</v>
      </c>
      <c r="R46" s="92">
        <f>VLOOKUP(FormFields[[#This Row],[Form Name]],ResourceForms[[FormName]:[No]],2,0)</f>
        <v>9</v>
      </c>
      <c r="S46" s="57" t="s">
        <v>26</v>
      </c>
      <c r="T46" s="57" t="s">
        <v>231</v>
      </c>
      <c r="U46" s="57" t="s">
        <v>1</v>
      </c>
      <c r="V46" s="67"/>
      <c r="W46" s="67"/>
      <c r="X46" s="67"/>
      <c r="Y46" s="67"/>
      <c r="Z46" s="68" t="str">
        <f>'Table Seed Map'!$A$12&amp;"-"&amp;(COUNTIF($AB$2:FormFields[[#This Row],[Exists]],1)-1)</f>
        <v>Field Data-44</v>
      </c>
      <c r="AA46" s="60">
        <f>IF(FormFields[[#This Row],[Exists]]=1,IF(FormFields[[#This Row],[Exists]]="",$AA45,IF($AA45=0,IF(ISNUMBER(VLOOKUP('Table Seed Map'!$A$12,SeedMap[],9,0)),VLOOKUP('Table Seed Map'!$A$12,SeedMap[],9,0)+1,1),IFERROR($AA45+1,0))),$AA45)</f>
        <v>44</v>
      </c>
      <c r="AB46" s="69">
        <f>IF(AND(FormFields[[#This Row],[Attribute]]="",FormFields[[#This Row],[Relation]]=""),0,1)</f>
        <v>1</v>
      </c>
      <c r="AC46" s="69">
        <f>FormFields[[#This Row],[NO2]]</f>
        <v>44</v>
      </c>
      <c r="AD46" s="70">
        <f>[ID]</f>
        <v>44</v>
      </c>
      <c r="AE46" s="69" t="str">
        <f>[Name]</f>
        <v>name</v>
      </c>
      <c r="AF46" s="91" t="str">
        <f>IF(FormFields[[#This Row],[Rel]]="",IF(EXACT($AF45,FormFields[[#Headers],[Relation]]),"relation",""),VLOOKUP(FormFields[[#This Row],[Rel]],RelationTable[[Display]:[RELID]],2,0))</f>
        <v/>
      </c>
      <c r="AG46" s="90" t="str">
        <f>IF(FormFields[[#This Row],[Rel1]]="",IF(EXACT($AG45,FormFields[[#Headers],[R1]]),"nest_relation1",""),VLOOKUP(FormFields[[#This Row],[Rel1]],RelationTable[[Display]:[RELID]],2,0))</f>
        <v/>
      </c>
      <c r="AH46" s="91" t="str">
        <f>IF(FormFields[[#This Row],[Rel2]]="",IF(EXACT($AH45,FormFields[[#Headers],[R2]]),"nest_relation2",""),VLOOKUP(FormFields[[#This Row],[Rel2]],RelationTable[[Display]:[RELID]],2,0))</f>
        <v/>
      </c>
      <c r="AI46" s="91" t="str">
        <f>IF(FormFields[[#This Row],[Rel3]]="",IF(EXACT($AI45,FormFields[[#Headers],[R3]]),"nest_relation3",""),VLOOKUP(FormFields[[#This Row],[Rel3]],RelationTable[[Display]:[RELID]],2,0))</f>
        <v/>
      </c>
      <c r="AJ46" s="50">
        <f>IF(OR(FormFields[[#This Row],[Option Type]]="",FormFields[[#This Row],[Option Type]]="type"),0,1)</f>
        <v>0</v>
      </c>
      <c r="AK46" s="50" t="str">
        <f>'Table Seed Map'!$A$13&amp;"-"&amp;COUNTIF($AJ$2:FormFields[[#This Row],[Exists FO]],1)</f>
        <v>Field Options-11</v>
      </c>
      <c r="AL46" s="46">
        <f>IF(FormFields[[#This Row],[Exists FO]]=0,$AL45,IF($AL45=0,IF(ISNUMBER(VLOOKUP('Table Seed Map'!$A$13,SeedMap[],9,0)),VLOOKUP('Table Seed Map'!$A$13,SeedMap[],9,0)+1,1),IFERROR($AL45+1,0)))</f>
        <v>11</v>
      </c>
      <c r="AM46" s="50">
        <f>FormFields[[#This Row],[NO4]]</f>
        <v>11</v>
      </c>
      <c r="AN46" s="39">
        <f>[ID]</f>
        <v>44</v>
      </c>
      <c r="AO46" s="73"/>
      <c r="AP46" s="73"/>
      <c r="AQ46" s="73"/>
      <c r="AR46" s="73"/>
      <c r="AS46" s="73"/>
      <c r="AT46" s="50">
        <f>IF(OR(FormFields[[#This Row],[Colspan]]="",FormFields[[#This Row],[Colspan]]="colspan"),0,1)</f>
        <v>0</v>
      </c>
      <c r="AU46" s="50" t="str">
        <f>'Table Seed Map'!$A$18&amp;"-"&amp;SUM($AT$2:FormFields[[#This Row],[Exists FL]])</f>
        <v>Form Layout-25</v>
      </c>
      <c r="AV46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6" s="45" t="str">
        <f>FormFields[[#This Row],[NO8]]</f>
        <v/>
      </c>
      <c r="AX46" s="50">
        <f>[Form]</f>
        <v>9</v>
      </c>
      <c r="AY46" s="50">
        <f>[ID]</f>
        <v>44</v>
      </c>
      <c r="AZ46" s="75"/>
    </row>
    <row r="47" spans="13:52">
      <c r="M47" s="51" t="str">
        <f>'Table Seed Map'!$A$11&amp;"-"&amp;(COUNTA($Q$1:FormFields[[#This Row],[ID]])-2)</f>
        <v>Form Fields-45</v>
      </c>
      <c r="N47" s="53" t="s">
        <v>1010</v>
      </c>
      <c r="O47" s="50">
        <f>IF(FormFields[[#This Row],[Form Name]]="","id",COUNTA($N$3:FormFields[[#This Row],[Form Name]])+IF(VLOOKUP('Table Seed Map'!$A$11,SeedMap[],9,0),VLOOKUP('Table Seed Map'!$A$11,SeedMap[],9,0),0))</f>
        <v>45</v>
      </c>
      <c r="P47" s="51" t="str">
        <f>FormFields[[#This Row],[Form Name]]&amp;"/"&amp;FormFields[[#This Row],[Name]]</f>
        <v>ResourceFormField/CreateFormField/type</v>
      </c>
      <c r="Q47" s="45">
        <f>FormFields[[#This Row],[No]]</f>
        <v>45</v>
      </c>
      <c r="R47" s="92">
        <f>VLOOKUP(FormFields[[#This Row],[Form Name]],ResourceForms[[FormName]:[No]],2,0)</f>
        <v>9</v>
      </c>
      <c r="S47" s="57" t="s">
        <v>48</v>
      </c>
      <c r="T47" s="57" t="s">
        <v>231</v>
      </c>
      <c r="U47" s="57" t="s">
        <v>14</v>
      </c>
      <c r="V47" s="67"/>
      <c r="W47" s="67"/>
      <c r="X47" s="67"/>
      <c r="Y47" s="67"/>
      <c r="Z47" s="68" t="str">
        <f>'Table Seed Map'!$A$12&amp;"-"&amp;(COUNTIF($AB$2:FormFields[[#This Row],[Exists]],1)-1)</f>
        <v>Field Data-45</v>
      </c>
      <c r="AA47" s="60">
        <f>IF(FormFields[[#This Row],[Exists]]=1,IF(FormFields[[#This Row],[Exists]]="",$AA46,IF($AA46=0,IF(ISNUMBER(VLOOKUP('Table Seed Map'!$A$12,SeedMap[],9,0)),VLOOKUP('Table Seed Map'!$A$12,SeedMap[],9,0)+1,1),IFERROR($AA46+1,0))),$AA46)</f>
        <v>45</v>
      </c>
      <c r="AB47" s="69">
        <f>IF(AND(FormFields[[#This Row],[Attribute]]="",FormFields[[#This Row],[Relation]]=""),0,1)</f>
        <v>1</v>
      </c>
      <c r="AC47" s="69">
        <f>FormFields[[#This Row],[NO2]]</f>
        <v>45</v>
      </c>
      <c r="AD47" s="70">
        <f>[ID]</f>
        <v>45</v>
      </c>
      <c r="AE47" s="69" t="str">
        <f>[Name]</f>
        <v>type</v>
      </c>
      <c r="AF47" s="91" t="str">
        <f>IF(FormFields[[#This Row],[Rel]]="",IF(EXACT($AF46,FormFields[[#Headers],[Relation]]),"relation",""),VLOOKUP(FormFields[[#This Row],[Rel]],RelationTable[[Display]:[RELID]],2,0))</f>
        <v/>
      </c>
      <c r="AG47" s="90" t="str">
        <f>IF(FormFields[[#This Row],[Rel1]]="",IF(EXACT($AG46,FormFields[[#Headers],[R1]]),"nest_relation1",""),VLOOKUP(FormFields[[#This Row],[Rel1]],RelationTable[[Display]:[RELID]],2,0))</f>
        <v/>
      </c>
      <c r="AH47" s="91" t="str">
        <f>IF(FormFields[[#This Row],[Rel2]]="",IF(EXACT($AH46,FormFields[[#Headers],[R2]]),"nest_relation2",""),VLOOKUP(FormFields[[#This Row],[Rel2]],RelationTable[[Display]:[RELID]],2,0))</f>
        <v/>
      </c>
      <c r="AI47" s="91" t="str">
        <f>IF(FormFields[[#This Row],[Rel3]]="",IF(EXACT($AI46,FormFields[[#Headers],[R3]]),"nest_relation3",""),VLOOKUP(FormFields[[#This Row],[Rel3]],RelationTable[[Display]:[RELID]],2,0))</f>
        <v/>
      </c>
      <c r="AJ47" s="50">
        <f>IF(OR(FormFields[[#This Row],[Option Type]]="",FormFields[[#This Row],[Option Type]]="type"),0,1)</f>
        <v>0</v>
      </c>
      <c r="AK47" s="50" t="str">
        <f>'Table Seed Map'!$A$13&amp;"-"&amp;COUNTIF($AJ$2:FormFields[[#This Row],[Exists FO]],1)</f>
        <v>Field Options-11</v>
      </c>
      <c r="AL47" s="46">
        <f>IF(FormFields[[#This Row],[Exists FO]]=0,$AL46,IF($AL46=0,IF(ISNUMBER(VLOOKUP('Table Seed Map'!$A$13,SeedMap[],9,0)),VLOOKUP('Table Seed Map'!$A$13,SeedMap[],9,0)+1,1),IFERROR($AL46+1,0)))</f>
        <v>11</v>
      </c>
      <c r="AM47" s="50">
        <f>FormFields[[#This Row],[NO4]]</f>
        <v>11</v>
      </c>
      <c r="AN47" s="39">
        <f>[ID]</f>
        <v>45</v>
      </c>
      <c r="AO47" s="73"/>
      <c r="AP47" s="73"/>
      <c r="AQ47" s="73"/>
      <c r="AR47" s="73"/>
      <c r="AS47" s="73"/>
      <c r="AT47" s="50">
        <f>IF(OR(FormFields[[#This Row],[Colspan]]="",FormFields[[#This Row],[Colspan]]="colspan"),0,1)</f>
        <v>0</v>
      </c>
      <c r="AU47" s="50" t="str">
        <f>'Table Seed Map'!$A$18&amp;"-"&amp;SUM($AT$2:FormFields[[#This Row],[Exists FL]])</f>
        <v>Form Layout-25</v>
      </c>
      <c r="AV47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7" s="45" t="str">
        <f>FormFields[[#This Row],[NO8]]</f>
        <v/>
      </c>
      <c r="AX47" s="50">
        <f>[Form]</f>
        <v>9</v>
      </c>
      <c r="AY47" s="50">
        <f>[ID]</f>
        <v>45</v>
      </c>
      <c r="AZ47" s="75"/>
    </row>
    <row r="48" spans="13:52">
      <c r="M48" s="51" t="str">
        <f>'Table Seed Map'!$A$11&amp;"-"&amp;(COUNTA($Q$1:FormFields[[#This Row],[ID]])-2)</f>
        <v>Form Fields-46</v>
      </c>
      <c r="N48" s="53" t="s">
        <v>1010</v>
      </c>
      <c r="O48" s="50">
        <f>IF(FormFields[[#This Row],[Form Name]]="","id",COUNTA($N$3:FormFields[[#This Row],[Form Name]])+IF(VLOOKUP('Table Seed Map'!$A$11,SeedMap[],9,0),VLOOKUP('Table Seed Map'!$A$11,SeedMap[],9,0),0))</f>
        <v>46</v>
      </c>
      <c r="P48" s="51" t="str">
        <f>FormFields[[#This Row],[Form Name]]&amp;"/"&amp;FormFields[[#This Row],[Name]]</f>
        <v>ResourceFormField/CreateFormField/label</v>
      </c>
      <c r="Q48" s="45">
        <f>FormFields[[#This Row],[No]]</f>
        <v>46</v>
      </c>
      <c r="R48" s="92">
        <f>VLOOKUP(FormFields[[#This Row],[Form Name]],ResourceForms[[FormName]:[No]],2,0)</f>
        <v>9</v>
      </c>
      <c r="S48" s="57" t="s">
        <v>230</v>
      </c>
      <c r="T48" s="57" t="s">
        <v>231</v>
      </c>
      <c r="U48" s="57" t="s">
        <v>244</v>
      </c>
      <c r="V48" s="67"/>
      <c r="W48" s="67"/>
      <c r="X48" s="67"/>
      <c r="Y48" s="67"/>
      <c r="Z48" s="68" t="str">
        <f>'Table Seed Map'!$A$12&amp;"-"&amp;(COUNTIF($AB$2:FormFields[[#This Row],[Exists]],1)-1)</f>
        <v>Field Data-46</v>
      </c>
      <c r="AA48" s="60">
        <f>IF(FormFields[[#This Row],[Exists]]=1,IF(FormFields[[#This Row],[Exists]]="",$AA47,IF($AA47=0,IF(ISNUMBER(VLOOKUP('Table Seed Map'!$A$12,SeedMap[],9,0)),VLOOKUP('Table Seed Map'!$A$12,SeedMap[],9,0)+1,1),IFERROR($AA47+1,0))),$AA47)</f>
        <v>46</v>
      </c>
      <c r="AB48" s="69">
        <f>IF(AND(FormFields[[#This Row],[Attribute]]="",FormFields[[#This Row],[Relation]]=""),0,1)</f>
        <v>1</v>
      </c>
      <c r="AC48" s="69">
        <f>FormFields[[#This Row],[NO2]]</f>
        <v>46</v>
      </c>
      <c r="AD48" s="70">
        <f>[ID]</f>
        <v>46</v>
      </c>
      <c r="AE48" s="69" t="str">
        <f>[Name]</f>
        <v>label</v>
      </c>
      <c r="AF48" s="91" t="str">
        <f>IF(FormFields[[#This Row],[Rel]]="",IF(EXACT($AF47,FormFields[[#Headers],[Relation]]),"relation",""),VLOOKUP(FormFields[[#This Row],[Rel]],RelationTable[[Display]:[RELID]],2,0))</f>
        <v/>
      </c>
      <c r="AG48" s="90" t="str">
        <f>IF(FormFields[[#This Row],[Rel1]]="",IF(EXACT($AG47,FormFields[[#Headers],[R1]]),"nest_relation1",""),VLOOKUP(FormFields[[#This Row],[Rel1]],RelationTable[[Display]:[RELID]],2,0))</f>
        <v/>
      </c>
      <c r="AH48" s="91" t="str">
        <f>IF(FormFields[[#This Row],[Rel2]]="",IF(EXACT($AH47,FormFields[[#Headers],[R2]]),"nest_relation2",""),VLOOKUP(FormFields[[#This Row],[Rel2]],RelationTable[[Display]:[RELID]],2,0))</f>
        <v/>
      </c>
      <c r="AI48" s="91" t="str">
        <f>IF(FormFields[[#This Row],[Rel3]]="",IF(EXACT($AI47,FormFields[[#Headers],[R3]]),"nest_relation3",""),VLOOKUP(FormFields[[#This Row],[Rel3]],RelationTable[[Display]:[RELID]],2,0))</f>
        <v/>
      </c>
      <c r="AJ48" s="50">
        <f>IF(OR(FormFields[[#This Row],[Option Type]]="",FormFields[[#This Row],[Option Type]]="type"),0,1)</f>
        <v>0</v>
      </c>
      <c r="AK48" s="50" t="str">
        <f>'Table Seed Map'!$A$13&amp;"-"&amp;COUNTIF($AJ$2:FormFields[[#This Row],[Exists FO]],1)</f>
        <v>Field Options-11</v>
      </c>
      <c r="AL48" s="46">
        <f>IF(FormFields[[#This Row],[Exists FO]]=0,$AL47,IF($AL47=0,IF(ISNUMBER(VLOOKUP('Table Seed Map'!$A$13,SeedMap[],9,0)),VLOOKUP('Table Seed Map'!$A$13,SeedMap[],9,0)+1,1),IFERROR($AL47+1,0)))</f>
        <v>11</v>
      </c>
      <c r="AM48" s="50">
        <f>FormFields[[#This Row],[NO4]]</f>
        <v>11</v>
      </c>
      <c r="AN48" s="39">
        <f>[ID]</f>
        <v>46</v>
      </c>
      <c r="AO48" s="73"/>
      <c r="AP48" s="73"/>
      <c r="AQ48" s="73"/>
      <c r="AR48" s="73"/>
      <c r="AS48" s="73"/>
      <c r="AT48" s="50">
        <f>IF(OR(FormFields[[#This Row],[Colspan]]="",FormFields[[#This Row],[Colspan]]="colspan"),0,1)</f>
        <v>0</v>
      </c>
      <c r="AU48" s="50" t="str">
        <f>'Table Seed Map'!$A$18&amp;"-"&amp;SUM($AT$2:FormFields[[#This Row],[Exists FL]])</f>
        <v>Form Layout-25</v>
      </c>
      <c r="AV48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8" s="45" t="str">
        <f>FormFields[[#This Row],[NO8]]</f>
        <v/>
      </c>
      <c r="AX48" s="50">
        <f>[Form]</f>
        <v>9</v>
      </c>
      <c r="AY48" s="50">
        <f>[ID]</f>
        <v>46</v>
      </c>
      <c r="AZ48" s="75"/>
    </row>
    <row r="49" spans="13:52">
      <c r="M49" s="51" t="str">
        <f>'Table Seed Map'!$A$11&amp;"-"&amp;(COUNTA($Q$1:FormFields[[#This Row],[ID]])-2)</f>
        <v>Form Fields-47</v>
      </c>
      <c r="N49" s="53" t="s">
        <v>1010</v>
      </c>
      <c r="O49" s="50">
        <f>IF(FormFields[[#This Row],[Form Name]]="","id",COUNTA($N$3:FormFields[[#This Row],[Form Name]])+IF(VLOOKUP('Table Seed Map'!$A$11,SeedMap[],9,0),VLOOKUP('Table Seed Map'!$A$11,SeedMap[],9,0),0))</f>
        <v>47</v>
      </c>
      <c r="P49" s="51" t="str">
        <f>FormFields[[#This Row],[Form Name]]&amp;"/"&amp;FormFields[[#This Row],[Name]]</f>
        <v>ResourceFormField/CreateFormField/relation</v>
      </c>
      <c r="Q49" s="45">
        <f>FormFields[[#This Row],[No]]</f>
        <v>47</v>
      </c>
      <c r="R49" s="92">
        <f>VLOOKUP(FormFields[[#This Row],[Form Name]],ResourceForms[[FormName]:[No]],2,0)</f>
        <v>9</v>
      </c>
      <c r="S49" s="57" t="s">
        <v>55</v>
      </c>
      <c r="T49" s="57" t="s">
        <v>234</v>
      </c>
      <c r="U49" s="57" t="s">
        <v>246</v>
      </c>
      <c r="V49" s="67" t="s">
        <v>1012</v>
      </c>
      <c r="W49" s="67"/>
      <c r="X49" s="67"/>
      <c r="Y49" s="67"/>
      <c r="Z49" s="68" t="str">
        <f>'Table Seed Map'!$A$12&amp;"-"&amp;(COUNTIF($AB$2:FormFields[[#This Row],[Exists]],1)-1)</f>
        <v>Field Data-47</v>
      </c>
      <c r="AA49" s="60">
        <f>IF(FormFields[[#This Row],[Exists]]=1,IF(FormFields[[#This Row],[Exists]]="",$AA48,IF($AA48=0,IF(ISNUMBER(VLOOKUP('Table Seed Map'!$A$12,SeedMap[],9,0)),VLOOKUP('Table Seed Map'!$A$12,SeedMap[],9,0)+1,1),IFERROR($AA48+1,0))),$AA48)</f>
        <v>47</v>
      </c>
      <c r="AB49" s="69">
        <f>IF(AND(FormFields[[#This Row],[Attribute]]="",FormFields[[#This Row],[Relation]]=""),0,1)</f>
        <v>1</v>
      </c>
      <c r="AC49" s="69">
        <f>FormFields[[#This Row],[NO2]]</f>
        <v>47</v>
      </c>
      <c r="AD49" s="70">
        <f>[ID]</f>
        <v>47</v>
      </c>
      <c r="AE49" s="69" t="str">
        <f>[Name]</f>
        <v>relation</v>
      </c>
      <c r="AF49" s="91">
        <f>IF(FormFields[[#This Row],[Rel]]="",IF(EXACT($AF48,FormFields[[#Headers],[Relation]]),"relation",""),VLOOKUP(FormFields[[#This Row],[Rel]],RelationTable[[Display]:[RELID]],2,0))</f>
        <v>21</v>
      </c>
      <c r="AG49" s="90" t="str">
        <f>IF(FormFields[[#This Row],[Rel1]]="",IF(EXACT($AG48,FormFields[[#Headers],[R1]]),"nest_relation1",""),VLOOKUP(FormFields[[#This Row],[Rel1]],RelationTable[[Display]:[RELID]],2,0))</f>
        <v/>
      </c>
      <c r="AH49" s="91" t="str">
        <f>IF(FormFields[[#This Row],[Rel2]]="",IF(EXACT($AH48,FormFields[[#Headers],[R2]]),"nest_relation2",""),VLOOKUP(FormFields[[#This Row],[Rel2]],RelationTable[[Display]:[RELID]],2,0))</f>
        <v/>
      </c>
      <c r="AI49" s="91" t="str">
        <f>IF(FormFields[[#This Row],[Rel3]]="",IF(EXACT($AI48,FormFields[[#Headers],[R3]]),"nest_relation3",""),VLOOKUP(FormFields[[#This Row],[Rel3]],RelationTable[[Display]:[RELID]],2,0))</f>
        <v/>
      </c>
      <c r="AJ49" s="50">
        <f>IF(OR(FormFields[[#This Row],[Option Type]]="",FormFields[[#This Row],[Option Type]]="type"),0,1)</f>
        <v>1</v>
      </c>
      <c r="AK49" s="50" t="str">
        <f>'Table Seed Map'!$A$13&amp;"-"&amp;COUNTIF($AJ$2:FormFields[[#This Row],[Exists FO]],1)</f>
        <v>Field Options-12</v>
      </c>
      <c r="AL49" s="46">
        <f>IF(FormFields[[#This Row],[Exists FO]]=0,$AL48,IF($AL48=0,IF(ISNUMBER(VLOOKUP('Table Seed Map'!$A$13,SeedMap[],9,0)),VLOOKUP('Table Seed Map'!$A$13,SeedMap[],9,0)+1,1),IFERROR($AL48+1,0)))</f>
        <v>12</v>
      </c>
      <c r="AM49" s="50">
        <f>FormFields[[#This Row],[NO4]]</f>
        <v>12</v>
      </c>
      <c r="AN49" s="39">
        <f>[ID]</f>
        <v>47</v>
      </c>
      <c r="AO49" s="73" t="s">
        <v>673</v>
      </c>
      <c r="AP49" s="73"/>
      <c r="AQ49" s="73" t="s">
        <v>21</v>
      </c>
      <c r="AR49" s="73" t="s">
        <v>26</v>
      </c>
      <c r="AS49" s="73" t="s">
        <v>674</v>
      </c>
      <c r="AT49" s="50">
        <f>IF(OR(FormFields[[#This Row],[Colspan]]="",FormFields[[#This Row],[Colspan]]="colspan"),0,1)</f>
        <v>0</v>
      </c>
      <c r="AU49" s="50" t="str">
        <f>'Table Seed Map'!$A$18&amp;"-"&amp;SUM($AT$2:FormFields[[#This Row],[Exists FL]])</f>
        <v>Form Layout-25</v>
      </c>
      <c r="AV49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9" s="45" t="str">
        <f>FormFields[[#This Row],[NO8]]</f>
        <v/>
      </c>
      <c r="AX49" s="50">
        <f>[Form]</f>
        <v>9</v>
      </c>
      <c r="AY49" s="50">
        <f>[ID]</f>
        <v>47</v>
      </c>
      <c r="AZ49" s="75"/>
    </row>
    <row r="50" spans="13:52">
      <c r="M50" s="51" t="str">
        <f>'Table Seed Map'!$A$11&amp;"-"&amp;(COUNTA($Q$1:FormFields[[#This Row],[ID]])-2)</f>
        <v>Form Fields-48</v>
      </c>
      <c r="N50" s="53" t="s">
        <v>1010</v>
      </c>
      <c r="O50" s="50">
        <f>IF(FormFields[[#This Row],[Form Name]]="","id",COUNTA($N$3:FormFields[[#This Row],[Form Name]])+IF(VLOOKUP('Table Seed Map'!$A$11,SeedMap[],9,0),VLOOKUP('Table Seed Map'!$A$11,SeedMap[],9,0),0))</f>
        <v>48</v>
      </c>
      <c r="P50" s="51" t="str">
        <f>FormFields[[#This Row],[Form Name]]&amp;"/"&amp;FormFields[[#This Row],[Name]]</f>
        <v>ResourceFormField/CreateFormField/attribute</v>
      </c>
      <c r="Q50" s="45">
        <f>FormFields[[#This Row],[No]]</f>
        <v>48</v>
      </c>
      <c r="R50" s="92">
        <f>VLOOKUP(FormFields[[#This Row],[Form Name]],ResourceForms[[FormName]:[No]],2,0)</f>
        <v>9</v>
      </c>
      <c r="S50" s="57" t="s">
        <v>124</v>
      </c>
      <c r="T50" s="57" t="s">
        <v>231</v>
      </c>
      <c r="U50" s="57" t="s">
        <v>247</v>
      </c>
      <c r="V50" s="67" t="s">
        <v>1012</v>
      </c>
      <c r="W50" s="67"/>
      <c r="X50" s="67"/>
      <c r="Y50" s="67"/>
      <c r="Z50" s="68" t="str">
        <f>'Table Seed Map'!$A$12&amp;"-"&amp;(COUNTIF($AB$2:FormFields[[#This Row],[Exists]],1)-1)</f>
        <v>Field Data-48</v>
      </c>
      <c r="AA50" s="60">
        <f>IF(FormFields[[#This Row],[Exists]]=1,IF(FormFields[[#This Row],[Exists]]="",$AA49,IF($AA49=0,IF(ISNUMBER(VLOOKUP('Table Seed Map'!$A$12,SeedMap[],9,0)),VLOOKUP('Table Seed Map'!$A$12,SeedMap[],9,0)+1,1),IFERROR($AA49+1,0))),$AA49)</f>
        <v>48</v>
      </c>
      <c r="AB50" s="69">
        <f>IF(AND(FormFields[[#This Row],[Attribute]]="",FormFields[[#This Row],[Relation]]=""),0,1)</f>
        <v>1</v>
      </c>
      <c r="AC50" s="69">
        <f>FormFields[[#This Row],[NO2]]</f>
        <v>48</v>
      </c>
      <c r="AD50" s="70">
        <f>[ID]</f>
        <v>48</v>
      </c>
      <c r="AE50" s="69" t="str">
        <f>[Name]</f>
        <v>attribute</v>
      </c>
      <c r="AF50" s="91">
        <f>IF(FormFields[[#This Row],[Rel]]="",IF(EXACT($AF49,FormFields[[#Headers],[Relation]]),"relation",""),VLOOKUP(FormFields[[#This Row],[Rel]],RelationTable[[Display]:[RELID]],2,0))</f>
        <v>21</v>
      </c>
      <c r="AG50" s="90" t="str">
        <f>IF(FormFields[[#This Row],[Rel1]]="",IF(EXACT($AG49,FormFields[[#Headers],[R1]]),"nest_relation1",""),VLOOKUP(FormFields[[#This Row],[Rel1]],RelationTable[[Display]:[RELID]],2,0))</f>
        <v/>
      </c>
      <c r="AH50" s="91" t="str">
        <f>IF(FormFields[[#This Row],[Rel2]]="",IF(EXACT($AH49,FormFields[[#Headers],[R2]]),"nest_relation2",""),VLOOKUP(FormFields[[#This Row],[Rel2]],RelationTable[[Display]:[RELID]],2,0))</f>
        <v/>
      </c>
      <c r="AI50" s="91" t="str">
        <f>IF(FormFields[[#This Row],[Rel3]]="",IF(EXACT($AI49,FormFields[[#Headers],[R3]]),"nest_relation3",""),VLOOKUP(FormFields[[#This Row],[Rel3]],RelationTable[[Display]:[RELID]],2,0))</f>
        <v/>
      </c>
      <c r="AJ50" s="50">
        <f>IF(OR(FormFields[[#This Row],[Option Type]]="",FormFields[[#This Row],[Option Type]]="type"),0,1)</f>
        <v>0</v>
      </c>
      <c r="AK50" s="50" t="str">
        <f>'Table Seed Map'!$A$13&amp;"-"&amp;COUNTIF($AJ$2:FormFields[[#This Row],[Exists FO]],1)</f>
        <v>Field Options-12</v>
      </c>
      <c r="AL50" s="46">
        <f>IF(FormFields[[#This Row],[Exists FO]]=0,$AL49,IF($AL49=0,IF(ISNUMBER(VLOOKUP('Table Seed Map'!$A$13,SeedMap[],9,0)),VLOOKUP('Table Seed Map'!$A$13,SeedMap[],9,0)+1,1),IFERROR($AL49+1,0)))</f>
        <v>12</v>
      </c>
      <c r="AM50" s="50">
        <f>FormFields[[#This Row],[NO4]]</f>
        <v>12</v>
      </c>
      <c r="AN50" s="39">
        <f>[ID]</f>
        <v>48</v>
      </c>
      <c r="AO50" s="73"/>
      <c r="AP50" s="73"/>
      <c r="AQ50" s="73"/>
      <c r="AR50" s="73"/>
      <c r="AS50" s="73"/>
      <c r="AT50" s="50">
        <f>IF(OR(FormFields[[#This Row],[Colspan]]="",FormFields[[#This Row],[Colspan]]="colspan"),0,1)</f>
        <v>0</v>
      </c>
      <c r="AU50" s="50" t="str">
        <f>'Table Seed Map'!$A$18&amp;"-"&amp;SUM($AT$2:FormFields[[#This Row],[Exists FL]])</f>
        <v>Form Layout-25</v>
      </c>
      <c r="AV50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0" s="45" t="str">
        <f>FormFields[[#This Row],[NO8]]</f>
        <v/>
      </c>
      <c r="AX50" s="50">
        <f>[Form]</f>
        <v>9</v>
      </c>
      <c r="AY50" s="50">
        <f>[ID]</f>
        <v>48</v>
      </c>
      <c r="AZ50" s="75"/>
    </row>
    <row r="51" spans="13:52">
      <c r="M51" s="51" t="str">
        <f>'Table Seed Map'!$A$11&amp;"-"&amp;(COUNTA($Q$1:FormFields[[#This Row],[ID]])-2)</f>
        <v>Form Fields-49</v>
      </c>
      <c r="N51" s="53" t="s">
        <v>1019</v>
      </c>
      <c r="O51" s="50">
        <f>IF(FormFields[[#This Row],[Form Name]]="","id",COUNTA($N$3:FormFields[[#This Row],[Form Name]])+IF(VLOOKUP('Table Seed Map'!$A$11,SeedMap[],9,0),VLOOKUP('Table Seed Map'!$A$11,SeedMap[],9,0),0))</f>
        <v>49</v>
      </c>
      <c r="P51" s="51" t="str">
        <f>FormFields[[#This Row],[Form Name]]&amp;"/"&amp;FormFields[[#This Row],[Name]]</f>
        <v>ResourceList/CreateListForm/resource</v>
      </c>
      <c r="Q51" s="45">
        <f>FormFields[[#This Row],[No]]</f>
        <v>49</v>
      </c>
      <c r="R51" s="92">
        <f>VLOOKUP(FormFields[[#This Row],[Form Name]],ResourceForms[[FormName]:[No]],2,0)</f>
        <v>10</v>
      </c>
      <c r="S51" s="57" t="s">
        <v>23</v>
      </c>
      <c r="T51" s="57" t="s">
        <v>234</v>
      </c>
      <c r="U51" s="57" t="s">
        <v>992</v>
      </c>
      <c r="V51" s="67"/>
      <c r="W51" s="67"/>
      <c r="X51" s="67"/>
      <c r="Y51" s="67"/>
      <c r="Z51" s="68" t="str">
        <f>'Table Seed Map'!$A$12&amp;"-"&amp;(COUNTIF($AB$2:FormFields[[#This Row],[Exists]],1)-1)</f>
        <v>Field Data-49</v>
      </c>
      <c r="AA51" s="60">
        <f>IF(FormFields[[#This Row],[Exists]]=1,IF(FormFields[[#This Row],[Exists]]="",$AA50,IF($AA50=0,IF(ISNUMBER(VLOOKUP('Table Seed Map'!$A$12,SeedMap[],9,0)),VLOOKUP('Table Seed Map'!$A$12,SeedMap[],9,0)+1,1),IFERROR($AA50+1,0))),$AA50)</f>
        <v>49</v>
      </c>
      <c r="AB51" s="69">
        <f>IF(AND(FormFields[[#This Row],[Attribute]]="",FormFields[[#This Row],[Relation]]=""),0,1)</f>
        <v>1</v>
      </c>
      <c r="AC51" s="69">
        <f>FormFields[[#This Row],[NO2]]</f>
        <v>49</v>
      </c>
      <c r="AD51" s="70">
        <f>[ID]</f>
        <v>49</v>
      </c>
      <c r="AE51" s="69" t="str">
        <f>[Name]</f>
        <v>resource</v>
      </c>
      <c r="AF51" s="91" t="str">
        <f>IF(FormFields[[#This Row],[Rel]]="",IF(EXACT($AF50,FormFields[[#Headers],[Relation]]),"relation",""),VLOOKUP(FormFields[[#This Row],[Rel]],RelationTable[[Display]:[RELID]],2,0))</f>
        <v/>
      </c>
      <c r="AG51" s="90" t="str">
        <f>IF(FormFields[[#This Row],[Rel1]]="",IF(EXACT($AG50,FormFields[[#Headers],[R1]]),"nest_relation1",""),VLOOKUP(FormFields[[#This Row],[Rel1]],RelationTable[[Display]:[RELID]],2,0))</f>
        <v/>
      </c>
      <c r="AH51" s="91" t="str">
        <f>IF(FormFields[[#This Row],[Rel2]]="",IF(EXACT($AH50,FormFields[[#Headers],[R2]]),"nest_relation2",""),VLOOKUP(FormFields[[#This Row],[Rel2]],RelationTable[[Display]:[RELID]],2,0))</f>
        <v/>
      </c>
      <c r="AI51" s="91" t="str">
        <f>IF(FormFields[[#This Row],[Rel3]]="",IF(EXACT($AI50,FormFields[[#Headers],[R3]]),"nest_relation3",""),VLOOKUP(FormFields[[#This Row],[Rel3]],RelationTable[[Display]:[RELID]],2,0))</f>
        <v/>
      </c>
      <c r="AJ51" s="50">
        <f>IF(OR(FormFields[[#This Row],[Option Type]]="",FormFields[[#This Row],[Option Type]]="type"),0,1)</f>
        <v>1</v>
      </c>
      <c r="AK51" s="50" t="str">
        <f>'Table Seed Map'!$A$13&amp;"-"&amp;COUNTIF($AJ$2:FormFields[[#This Row],[Exists FO]],1)</f>
        <v>Field Options-13</v>
      </c>
      <c r="AL51" s="46">
        <f>IF(FormFields[[#This Row],[Exists FO]]=0,$AL50,IF($AL50=0,IF(ISNUMBER(VLOOKUP('Table Seed Map'!$A$13,SeedMap[],9,0)),VLOOKUP('Table Seed Map'!$A$13,SeedMap[],9,0)+1,1),IFERROR($AL50+1,0)))</f>
        <v>13</v>
      </c>
      <c r="AM51" s="50">
        <f>FormFields[[#This Row],[NO4]]</f>
        <v>13</v>
      </c>
      <c r="AN51" s="39">
        <f>[ID]</f>
        <v>49</v>
      </c>
      <c r="AO51" s="73" t="s">
        <v>673</v>
      </c>
      <c r="AP51" s="73"/>
      <c r="AQ51" s="73" t="s">
        <v>21</v>
      </c>
      <c r="AR51" s="73" t="s">
        <v>26</v>
      </c>
      <c r="AS51" s="73" t="s">
        <v>674</v>
      </c>
      <c r="AT51" s="50">
        <f>IF(OR(FormFields[[#This Row],[Colspan]]="",FormFields[[#This Row],[Colspan]]="colspan"),0,1)</f>
        <v>1</v>
      </c>
      <c r="AU51" s="50" t="str">
        <f>'Table Seed Map'!$A$18&amp;"-"&amp;SUM($AT$2:FormFields[[#This Row],[Exists FL]])</f>
        <v>Form Layout-26</v>
      </c>
      <c r="AV51" s="50">
        <f>IF(FormFields[[#This Row],[Exists FL]]=0,IF(FormFields[[#This Row],[Form Name]]="","id",""),SUM($AT$3:FormFields[[#This Row],[Exists FL]],IF(VLOOKUP('Table Seed Map'!$A$18,SeedMap[],9,0),VLOOKUP('Table Seed Map'!$A$18,SeedMap[],9,0),0)))</f>
        <v>26</v>
      </c>
      <c r="AW51" s="45">
        <f>FormFields[[#This Row],[NO8]]</f>
        <v>26</v>
      </c>
      <c r="AX51" s="50">
        <f>[Form]</f>
        <v>10</v>
      </c>
      <c r="AY51" s="50">
        <f>[ID]</f>
        <v>49</v>
      </c>
      <c r="AZ51" s="75">
        <v>12</v>
      </c>
    </row>
    <row r="52" spans="13:52">
      <c r="M52" s="51" t="str">
        <f>'Table Seed Map'!$A$11&amp;"-"&amp;(COUNTA($Q$1:FormFields[[#This Row],[ID]])-2)</f>
        <v>Form Fields-50</v>
      </c>
      <c r="N52" s="53" t="s">
        <v>1019</v>
      </c>
      <c r="O52" s="50">
        <f>IF(FormFields[[#This Row],[Form Name]]="","id",COUNTA($N$3:FormFields[[#This Row],[Form Name]])+IF(VLOOKUP('Table Seed Map'!$A$11,SeedMap[],9,0),VLOOKUP('Table Seed Map'!$A$11,SeedMap[],9,0),0))</f>
        <v>50</v>
      </c>
      <c r="P52" s="51" t="str">
        <f>FormFields[[#This Row],[Form Name]]&amp;"/"&amp;FormFields[[#This Row],[Name]]</f>
        <v>ResourceList/CreateListForm/name</v>
      </c>
      <c r="Q52" s="45">
        <f>FormFields[[#This Row],[No]]</f>
        <v>50</v>
      </c>
      <c r="R52" s="92">
        <f>VLOOKUP(FormFields[[#This Row],[Form Name]],ResourceForms[[FormName]:[No]],2,0)</f>
        <v>10</v>
      </c>
      <c r="S52" s="57" t="s">
        <v>26</v>
      </c>
      <c r="T52" s="57" t="s">
        <v>231</v>
      </c>
      <c r="U52" s="57" t="s">
        <v>922</v>
      </c>
      <c r="V52" s="67"/>
      <c r="W52" s="67"/>
      <c r="X52" s="67"/>
      <c r="Y52" s="67"/>
      <c r="Z52" s="68" t="str">
        <f>'Table Seed Map'!$A$12&amp;"-"&amp;(COUNTIF($AB$2:FormFields[[#This Row],[Exists]],1)-1)</f>
        <v>Field Data-50</v>
      </c>
      <c r="AA52" s="60">
        <f>IF(FormFields[[#This Row],[Exists]]=1,IF(FormFields[[#This Row],[Exists]]="",$AA51,IF($AA51=0,IF(ISNUMBER(VLOOKUP('Table Seed Map'!$A$12,SeedMap[],9,0)),VLOOKUP('Table Seed Map'!$A$12,SeedMap[],9,0)+1,1),IFERROR($AA51+1,0))),$AA51)</f>
        <v>50</v>
      </c>
      <c r="AB52" s="69">
        <f>IF(AND(FormFields[[#This Row],[Attribute]]="",FormFields[[#This Row],[Relation]]=""),0,1)</f>
        <v>1</v>
      </c>
      <c r="AC52" s="69">
        <f>FormFields[[#This Row],[NO2]]</f>
        <v>50</v>
      </c>
      <c r="AD52" s="70">
        <f>[ID]</f>
        <v>50</v>
      </c>
      <c r="AE52" s="69" t="str">
        <f>[Name]</f>
        <v>name</v>
      </c>
      <c r="AF52" s="91" t="str">
        <f>IF(FormFields[[#This Row],[Rel]]="",IF(EXACT($AF51,FormFields[[#Headers],[Relation]]),"relation",""),VLOOKUP(FormFields[[#This Row],[Rel]],RelationTable[[Display]:[RELID]],2,0))</f>
        <v/>
      </c>
      <c r="AG52" s="90" t="str">
        <f>IF(FormFields[[#This Row],[Rel1]]="",IF(EXACT($AG51,FormFields[[#Headers],[R1]]),"nest_relation1",""),VLOOKUP(FormFields[[#This Row],[Rel1]],RelationTable[[Display]:[RELID]],2,0))</f>
        <v/>
      </c>
      <c r="AH52" s="91" t="str">
        <f>IF(FormFields[[#This Row],[Rel2]]="",IF(EXACT($AH51,FormFields[[#Headers],[R2]]),"nest_relation2",""),VLOOKUP(FormFields[[#This Row],[Rel2]],RelationTable[[Display]:[RELID]],2,0))</f>
        <v/>
      </c>
      <c r="AI52" s="91" t="str">
        <f>IF(FormFields[[#This Row],[Rel3]]="",IF(EXACT($AI51,FormFields[[#Headers],[R3]]),"nest_relation3",""),VLOOKUP(FormFields[[#This Row],[Rel3]],RelationTable[[Display]:[RELID]],2,0))</f>
        <v/>
      </c>
      <c r="AJ52" s="50">
        <f>IF(OR(FormFields[[#This Row],[Option Type]]="",FormFields[[#This Row],[Option Type]]="type"),0,1)</f>
        <v>0</v>
      </c>
      <c r="AK52" s="50" t="str">
        <f>'Table Seed Map'!$A$13&amp;"-"&amp;COUNTIF($AJ$2:FormFields[[#This Row],[Exists FO]],1)</f>
        <v>Field Options-13</v>
      </c>
      <c r="AL52" s="46">
        <f>IF(FormFields[[#This Row],[Exists FO]]=0,$AL51,IF($AL51=0,IF(ISNUMBER(VLOOKUP('Table Seed Map'!$A$13,SeedMap[],9,0)),VLOOKUP('Table Seed Map'!$A$13,SeedMap[],9,0)+1,1),IFERROR($AL51+1,0)))</f>
        <v>13</v>
      </c>
      <c r="AM52" s="50">
        <f>FormFields[[#This Row],[NO4]]</f>
        <v>13</v>
      </c>
      <c r="AN52" s="39">
        <f>[ID]</f>
        <v>50</v>
      </c>
      <c r="AO52" s="73"/>
      <c r="AP52" s="73"/>
      <c r="AQ52" s="73"/>
      <c r="AR52" s="73"/>
      <c r="AS52" s="73"/>
      <c r="AT52" s="50">
        <f>IF(OR(FormFields[[#This Row],[Colspan]]="",FormFields[[#This Row],[Colspan]]="colspan"),0,1)</f>
        <v>1</v>
      </c>
      <c r="AU52" s="50" t="str">
        <f>'Table Seed Map'!$A$18&amp;"-"&amp;SUM($AT$2:FormFields[[#This Row],[Exists FL]])</f>
        <v>Form Layout-27</v>
      </c>
      <c r="AV52" s="50">
        <f>IF(FormFields[[#This Row],[Exists FL]]=0,IF(FormFields[[#This Row],[Form Name]]="","id",""),SUM($AT$3:FormFields[[#This Row],[Exists FL]],IF(VLOOKUP('Table Seed Map'!$A$18,SeedMap[],9,0),VLOOKUP('Table Seed Map'!$A$18,SeedMap[],9,0),0)))</f>
        <v>27</v>
      </c>
      <c r="AW52" s="45">
        <f>FormFields[[#This Row],[NO8]]</f>
        <v>27</v>
      </c>
      <c r="AX52" s="50">
        <f>[Form]</f>
        <v>10</v>
      </c>
      <c r="AY52" s="50">
        <f>[ID]</f>
        <v>50</v>
      </c>
      <c r="AZ52" s="75">
        <v>4</v>
      </c>
    </row>
    <row r="53" spans="13:52">
      <c r="M53" s="51" t="str">
        <f>'Table Seed Map'!$A$11&amp;"-"&amp;(COUNTA($Q$1:FormFields[[#This Row],[ID]])-2)</f>
        <v>Form Fields-51</v>
      </c>
      <c r="N53" s="53" t="s">
        <v>1019</v>
      </c>
      <c r="O53" s="50">
        <f>IF(FormFields[[#This Row],[Form Name]]="","id",COUNTA($N$3:FormFields[[#This Row],[Form Name]])+IF(VLOOKUP('Table Seed Map'!$A$11,SeedMap[],9,0),VLOOKUP('Table Seed Map'!$A$11,SeedMap[],9,0),0))</f>
        <v>51</v>
      </c>
      <c r="P53" s="51" t="str">
        <f>FormFields[[#This Row],[Form Name]]&amp;"/"&amp;FormFields[[#This Row],[Name]]</f>
        <v>ResourceList/CreateListForm/title</v>
      </c>
      <c r="Q53" s="45">
        <f>FormFields[[#This Row],[No]]</f>
        <v>51</v>
      </c>
      <c r="R53" s="92">
        <f>VLOOKUP(FormFields[[#This Row],[Form Name]],ResourceForms[[FormName]:[No]],2,0)</f>
        <v>10</v>
      </c>
      <c r="S53" s="57" t="s">
        <v>30</v>
      </c>
      <c r="T53" s="57" t="s">
        <v>231</v>
      </c>
      <c r="U53" s="57" t="s">
        <v>236</v>
      </c>
      <c r="V53" s="67"/>
      <c r="W53" s="67"/>
      <c r="X53" s="67"/>
      <c r="Y53" s="67"/>
      <c r="Z53" s="68" t="str">
        <f>'Table Seed Map'!$A$12&amp;"-"&amp;(COUNTIF($AB$2:FormFields[[#This Row],[Exists]],1)-1)</f>
        <v>Field Data-51</v>
      </c>
      <c r="AA53" s="60">
        <f>IF(FormFields[[#This Row],[Exists]]=1,IF(FormFields[[#This Row],[Exists]]="",$AA52,IF($AA52=0,IF(ISNUMBER(VLOOKUP('Table Seed Map'!$A$12,SeedMap[],9,0)),VLOOKUP('Table Seed Map'!$A$12,SeedMap[],9,0)+1,1),IFERROR($AA52+1,0))),$AA52)</f>
        <v>51</v>
      </c>
      <c r="AB53" s="69">
        <f>IF(AND(FormFields[[#This Row],[Attribute]]="",FormFields[[#This Row],[Relation]]=""),0,1)</f>
        <v>1</v>
      </c>
      <c r="AC53" s="69">
        <f>FormFields[[#This Row],[NO2]]</f>
        <v>51</v>
      </c>
      <c r="AD53" s="70">
        <f>[ID]</f>
        <v>51</v>
      </c>
      <c r="AE53" s="69" t="str">
        <f>[Name]</f>
        <v>title</v>
      </c>
      <c r="AF53" s="91" t="str">
        <f>IF(FormFields[[#This Row],[Rel]]="",IF(EXACT($AF52,FormFields[[#Headers],[Relation]]),"relation",""),VLOOKUP(FormFields[[#This Row],[Rel]],RelationTable[[Display]:[RELID]],2,0))</f>
        <v/>
      </c>
      <c r="AG53" s="90" t="str">
        <f>IF(FormFields[[#This Row],[Rel1]]="",IF(EXACT($AG52,FormFields[[#Headers],[R1]]),"nest_relation1",""),VLOOKUP(FormFields[[#This Row],[Rel1]],RelationTable[[Display]:[RELID]],2,0))</f>
        <v/>
      </c>
      <c r="AH53" s="91" t="str">
        <f>IF(FormFields[[#This Row],[Rel2]]="",IF(EXACT($AH52,FormFields[[#Headers],[R2]]),"nest_relation2",""),VLOOKUP(FormFields[[#This Row],[Rel2]],RelationTable[[Display]:[RELID]],2,0))</f>
        <v/>
      </c>
      <c r="AI53" s="91" t="str">
        <f>IF(FormFields[[#This Row],[Rel3]]="",IF(EXACT($AI52,FormFields[[#Headers],[R3]]),"nest_relation3",""),VLOOKUP(FormFields[[#This Row],[Rel3]],RelationTable[[Display]:[RELID]],2,0))</f>
        <v/>
      </c>
      <c r="AJ53" s="50">
        <f>IF(OR(FormFields[[#This Row],[Option Type]]="",FormFields[[#This Row],[Option Type]]="type"),0,1)</f>
        <v>0</v>
      </c>
      <c r="AK53" s="50" t="str">
        <f>'Table Seed Map'!$A$13&amp;"-"&amp;COUNTIF($AJ$2:FormFields[[#This Row],[Exists FO]],1)</f>
        <v>Field Options-13</v>
      </c>
      <c r="AL53" s="46">
        <f>IF(FormFields[[#This Row],[Exists FO]]=0,$AL52,IF($AL52=0,IF(ISNUMBER(VLOOKUP('Table Seed Map'!$A$13,SeedMap[],9,0)),VLOOKUP('Table Seed Map'!$A$13,SeedMap[],9,0)+1,1),IFERROR($AL52+1,0)))</f>
        <v>13</v>
      </c>
      <c r="AM53" s="50">
        <f>FormFields[[#This Row],[NO4]]</f>
        <v>13</v>
      </c>
      <c r="AN53" s="39">
        <f>[ID]</f>
        <v>51</v>
      </c>
      <c r="AO53" s="73"/>
      <c r="AP53" s="73"/>
      <c r="AQ53" s="73"/>
      <c r="AR53" s="73"/>
      <c r="AS53" s="73"/>
      <c r="AT53" s="50">
        <f>IF(OR(FormFields[[#This Row],[Colspan]]="",FormFields[[#This Row],[Colspan]]="colspan"),0,1)</f>
        <v>1</v>
      </c>
      <c r="AU53" s="50" t="str">
        <f>'Table Seed Map'!$A$18&amp;"-"&amp;SUM($AT$2:FormFields[[#This Row],[Exists FL]])</f>
        <v>Form Layout-28</v>
      </c>
      <c r="AV53" s="50">
        <f>IF(FormFields[[#This Row],[Exists FL]]=0,IF(FormFields[[#This Row],[Form Name]]="","id",""),SUM($AT$3:FormFields[[#This Row],[Exists FL]],IF(VLOOKUP('Table Seed Map'!$A$18,SeedMap[],9,0),VLOOKUP('Table Seed Map'!$A$18,SeedMap[],9,0),0)))</f>
        <v>28</v>
      </c>
      <c r="AW53" s="45">
        <f>FormFields[[#This Row],[NO8]]</f>
        <v>28</v>
      </c>
      <c r="AX53" s="50">
        <f>[Form]</f>
        <v>10</v>
      </c>
      <c r="AY53" s="50">
        <f>[ID]</f>
        <v>51</v>
      </c>
      <c r="AZ53" s="75">
        <v>4</v>
      </c>
    </row>
    <row r="54" spans="13:52">
      <c r="M54" s="51" t="str">
        <f>'Table Seed Map'!$A$11&amp;"-"&amp;(COUNTA($Q$1:FormFields[[#This Row],[ID]])-2)</f>
        <v>Form Fields-52</v>
      </c>
      <c r="N54" s="53" t="s">
        <v>1019</v>
      </c>
      <c r="O54" s="50">
        <f>IF(FormFields[[#This Row],[Form Name]]="","id",COUNTA($N$3:FormFields[[#This Row],[Form Name]])+IF(VLOOKUP('Table Seed Map'!$A$11,SeedMap[],9,0),VLOOKUP('Table Seed Map'!$A$11,SeedMap[],9,0),0))</f>
        <v>52</v>
      </c>
      <c r="P54" s="51" t="str">
        <f>FormFields[[#This Row],[Form Name]]&amp;"/"&amp;FormFields[[#This Row],[Name]]</f>
        <v>ResourceList/CreateListForm/items_per_page</v>
      </c>
      <c r="Q54" s="45">
        <f>FormFields[[#This Row],[No]]</f>
        <v>52</v>
      </c>
      <c r="R54" s="92">
        <f>VLOOKUP(FormFields[[#This Row],[Form Name]],ResourceForms[[FormName]:[No]],2,0)</f>
        <v>10</v>
      </c>
      <c r="S54" s="57" t="s">
        <v>61</v>
      </c>
      <c r="T54" s="57" t="s">
        <v>231</v>
      </c>
      <c r="U54" s="57" t="s">
        <v>1020</v>
      </c>
      <c r="V54" s="67"/>
      <c r="W54" s="67"/>
      <c r="X54" s="67"/>
      <c r="Y54" s="67"/>
      <c r="Z54" s="68" t="str">
        <f>'Table Seed Map'!$A$12&amp;"-"&amp;(COUNTIF($AB$2:FormFields[[#This Row],[Exists]],1)-1)</f>
        <v>Field Data-52</v>
      </c>
      <c r="AA54" s="60">
        <f>IF(FormFields[[#This Row],[Exists]]=1,IF(FormFields[[#This Row],[Exists]]="",$AA53,IF($AA53=0,IF(ISNUMBER(VLOOKUP('Table Seed Map'!$A$12,SeedMap[],9,0)),VLOOKUP('Table Seed Map'!$A$12,SeedMap[],9,0)+1,1),IFERROR($AA53+1,0))),$AA53)</f>
        <v>52</v>
      </c>
      <c r="AB54" s="69">
        <f>IF(AND(FormFields[[#This Row],[Attribute]]="",FormFields[[#This Row],[Relation]]=""),0,1)</f>
        <v>1</v>
      </c>
      <c r="AC54" s="69">
        <f>FormFields[[#This Row],[NO2]]</f>
        <v>52</v>
      </c>
      <c r="AD54" s="70">
        <f>[ID]</f>
        <v>52</v>
      </c>
      <c r="AE54" s="69" t="str">
        <f>[Name]</f>
        <v>items_per_page</v>
      </c>
      <c r="AF54" s="91" t="str">
        <f>IF(FormFields[[#This Row],[Rel]]="",IF(EXACT($AF53,FormFields[[#Headers],[Relation]]),"relation",""),VLOOKUP(FormFields[[#This Row],[Rel]],RelationTable[[Display]:[RELID]],2,0))</f>
        <v/>
      </c>
      <c r="AG54" s="90" t="str">
        <f>IF(FormFields[[#This Row],[Rel1]]="",IF(EXACT($AG53,FormFields[[#Headers],[R1]]),"nest_relation1",""),VLOOKUP(FormFields[[#This Row],[Rel1]],RelationTable[[Display]:[RELID]],2,0))</f>
        <v/>
      </c>
      <c r="AH54" s="91" t="str">
        <f>IF(FormFields[[#This Row],[Rel2]]="",IF(EXACT($AH53,FormFields[[#Headers],[R2]]),"nest_relation2",""),VLOOKUP(FormFields[[#This Row],[Rel2]],RelationTable[[Display]:[RELID]],2,0))</f>
        <v/>
      </c>
      <c r="AI54" s="91" t="str">
        <f>IF(FormFields[[#This Row],[Rel3]]="",IF(EXACT($AI53,FormFields[[#Headers],[R3]]),"nest_relation3",""),VLOOKUP(FormFields[[#This Row],[Rel3]],RelationTable[[Display]:[RELID]],2,0))</f>
        <v/>
      </c>
      <c r="AJ54" s="50">
        <f>IF(OR(FormFields[[#This Row],[Option Type]]="",FormFields[[#This Row],[Option Type]]="type"),0,1)</f>
        <v>0</v>
      </c>
      <c r="AK54" s="50" t="str">
        <f>'Table Seed Map'!$A$13&amp;"-"&amp;COUNTIF($AJ$2:FormFields[[#This Row],[Exists FO]],1)</f>
        <v>Field Options-13</v>
      </c>
      <c r="AL54" s="46">
        <f>IF(FormFields[[#This Row],[Exists FO]]=0,$AL53,IF($AL53=0,IF(ISNUMBER(VLOOKUP('Table Seed Map'!$A$13,SeedMap[],9,0)),VLOOKUP('Table Seed Map'!$A$13,SeedMap[],9,0)+1,1),IFERROR($AL53+1,0)))</f>
        <v>13</v>
      </c>
      <c r="AM54" s="50">
        <f>FormFields[[#This Row],[NO4]]</f>
        <v>13</v>
      </c>
      <c r="AN54" s="39">
        <f>[ID]</f>
        <v>52</v>
      </c>
      <c r="AO54" s="73"/>
      <c r="AP54" s="73"/>
      <c r="AQ54" s="73"/>
      <c r="AR54" s="73"/>
      <c r="AS54" s="73"/>
      <c r="AT54" s="50">
        <f>IF(OR(FormFields[[#This Row],[Colspan]]="",FormFields[[#This Row],[Colspan]]="colspan"),0,1)</f>
        <v>1</v>
      </c>
      <c r="AU54" s="50" t="str">
        <f>'Table Seed Map'!$A$18&amp;"-"&amp;SUM($AT$2:FormFields[[#This Row],[Exists FL]])</f>
        <v>Form Layout-29</v>
      </c>
      <c r="AV54" s="50">
        <f>IF(FormFields[[#This Row],[Exists FL]]=0,IF(FormFields[[#This Row],[Form Name]]="","id",""),SUM($AT$3:FormFields[[#This Row],[Exists FL]],IF(VLOOKUP('Table Seed Map'!$A$18,SeedMap[],9,0),VLOOKUP('Table Seed Map'!$A$18,SeedMap[],9,0),0)))</f>
        <v>29</v>
      </c>
      <c r="AW54" s="45">
        <f>FormFields[[#This Row],[NO8]]</f>
        <v>29</v>
      </c>
      <c r="AX54" s="50">
        <f>[Form]</f>
        <v>10</v>
      </c>
      <c r="AY54" s="50">
        <f>[ID]</f>
        <v>52</v>
      </c>
      <c r="AZ54" s="75">
        <v>4</v>
      </c>
    </row>
    <row r="55" spans="13:52">
      <c r="M55" s="51" t="str">
        <f>'Table Seed Map'!$A$11&amp;"-"&amp;(COUNTA($Q$1:FormFields[[#This Row],[ID]])-2)</f>
        <v>Form Fields-53</v>
      </c>
      <c r="N55" s="53" t="s">
        <v>1019</v>
      </c>
      <c r="O55" s="50">
        <f>IF(FormFields[[#This Row],[Form Name]]="","id",COUNTA($N$3:FormFields[[#This Row],[Form Name]])+IF(VLOOKUP('Table Seed Map'!$A$11,SeedMap[],9,0),VLOOKUP('Table Seed Map'!$A$11,SeedMap[],9,0),0))</f>
        <v>53</v>
      </c>
      <c r="P55" s="51" t="str">
        <f>FormFields[[#This Row],[Form Name]]&amp;"/"&amp;FormFields[[#This Row],[Name]]</f>
        <v>ResourceList/CreateListForm/description</v>
      </c>
      <c r="Q55" s="45">
        <f>FormFields[[#This Row],[No]]</f>
        <v>53</v>
      </c>
      <c r="R55" s="92">
        <f>VLOOKUP(FormFields[[#This Row],[Form Name]],ResourceForms[[FormName]:[No]],2,0)</f>
        <v>10</v>
      </c>
      <c r="S55" s="57" t="s">
        <v>28</v>
      </c>
      <c r="T55" s="57" t="s">
        <v>973</v>
      </c>
      <c r="U55" s="57" t="s">
        <v>242</v>
      </c>
      <c r="V55" s="67"/>
      <c r="W55" s="67"/>
      <c r="X55" s="67"/>
      <c r="Y55" s="67"/>
      <c r="Z55" s="68" t="str">
        <f>'Table Seed Map'!$A$12&amp;"-"&amp;(COUNTIF($AB$2:FormFields[[#This Row],[Exists]],1)-1)</f>
        <v>Field Data-53</v>
      </c>
      <c r="AA55" s="60">
        <f>IF(FormFields[[#This Row],[Exists]]=1,IF(FormFields[[#This Row],[Exists]]="",$AA54,IF($AA54=0,IF(ISNUMBER(VLOOKUP('Table Seed Map'!$A$12,SeedMap[],9,0)),VLOOKUP('Table Seed Map'!$A$12,SeedMap[],9,0)+1,1),IFERROR($AA54+1,0))),$AA54)</f>
        <v>53</v>
      </c>
      <c r="AB55" s="69">
        <f>IF(AND(FormFields[[#This Row],[Attribute]]="",FormFields[[#This Row],[Relation]]=""),0,1)</f>
        <v>1</v>
      </c>
      <c r="AC55" s="69">
        <f>FormFields[[#This Row],[NO2]]</f>
        <v>53</v>
      </c>
      <c r="AD55" s="70">
        <f>[ID]</f>
        <v>53</v>
      </c>
      <c r="AE55" s="69" t="str">
        <f>[Name]</f>
        <v>description</v>
      </c>
      <c r="AF55" s="91" t="str">
        <f>IF(FormFields[[#This Row],[Rel]]="",IF(EXACT($AF54,FormFields[[#Headers],[Relation]]),"relation",""),VLOOKUP(FormFields[[#This Row],[Rel]],RelationTable[[Display]:[RELID]],2,0))</f>
        <v/>
      </c>
      <c r="AG55" s="90" t="str">
        <f>IF(FormFields[[#This Row],[Rel1]]="",IF(EXACT($AG54,FormFields[[#Headers],[R1]]),"nest_relation1",""),VLOOKUP(FormFields[[#This Row],[Rel1]],RelationTable[[Display]:[RELID]],2,0))</f>
        <v/>
      </c>
      <c r="AH55" s="91" t="str">
        <f>IF(FormFields[[#This Row],[Rel2]]="",IF(EXACT($AH54,FormFields[[#Headers],[R2]]),"nest_relation2",""),VLOOKUP(FormFields[[#This Row],[Rel2]],RelationTable[[Display]:[RELID]],2,0))</f>
        <v/>
      </c>
      <c r="AI55" s="91" t="str">
        <f>IF(FormFields[[#This Row],[Rel3]]="",IF(EXACT($AI54,FormFields[[#Headers],[R3]]),"nest_relation3",""),VLOOKUP(FormFields[[#This Row],[Rel3]],RelationTable[[Display]:[RELID]],2,0))</f>
        <v/>
      </c>
      <c r="AJ55" s="50">
        <f>IF(OR(FormFields[[#This Row],[Option Type]]="",FormFields[[#This Row],[Option Type]]="type"),0,1)</f>
        <v>0</v>
      </c>
      <c r="AK55" s="50" t="str">
        <f>'Table Seed Map'!$A$13&amp;"-"&amp;COUNTIF($AJ$2:FormFields[[#This Row],[Exists FO]],1)</f>
        <v>Field Options-13</v>
      </c>
      <c r="AL55" s="46">
        <f>IF(FormFields[[#This Row],[Exists FO]]=0,$AL54,IF($AL54=0,IF(ISNUMBER(VLOOKUP('Table Seed Map'!$A$13,SeedMap[],9,0)),VLOOKUP('Table Seed Map'!$A$13,SeedMap[],9,0)+1,1),IFERROR($AL54+1,0)))</f>
        <v>13</v>
      </c>
      <c r="AM55" s="50">
        <f>FormFields[[#This Row],[NO4]]</f>
        <v>13</v>
      </c>
      <c r="AN55" s="39">
        <f>[ID]</f>
        <v>53</v>
      </c>
      <c r="AO55" s="73"/>
      <c r="AP55" s="73"/>
      <c r="AQ55" s="73"/>
      <c r="AR55" s="73"/>
      <c r="AS55" s="73"/>
      <c r="AT55" s="50">
        <f>IF(OR(FormFields[[#This Row],[Colspan]]="",FormFields[[#This Row],[Colspan]]="colspan"),0,1)</f>
        <v>1</v>
      </c>
      <c r="AU55" s="50" t="str">
        <f>'Table Seed Map'!$A$18&amp;"-"&amp;SUM($AT$2:FormFields[[#This Row],[Exists FL]])</f>
        <v>Form Layout-30</v>
      </c>
      <c r="AV55" s="50">
        <f>IF(FormFields[[#This Row],[Exists FL]]=0,IF(FormFields[[#This Row],[Form Name]]="","id",""),SUM($AT$3:FormFields[[#This Row],[Exists FL]],IF(VLOOKUP('Table Seed Map'!$A$18,SeedMap[],9,0),VLOOKUP('Table Seed Map'!$A$18,SeedMap[],9,0),0)))</f>
        <v>30</v>
      </c>
      <c r="AW55" s="45">
        <f>FormFields[[#This Row],[NO8]]</f>
        <v>30</v>
      </c>
      <c r="AX55" s="50">
        <f>[Form]</f>
        <v>10</v>
      </c>
      <c r="AY55" s="50">
        <f>[ID]</f>
        <v>53</v>
      </c>
      <c r="AZ55" s="75">
        <v>12</v>
      </c>
    </row>
    <row r="56" spans="13:52">
      <c r="M56" s="51" t="str">
        <f>'Table Seed Map'!$A$11&amp;"-"&amp;(COUNTA($Q$1:FormFields[[#This Row],[ID]])-2)</f>
        <v>Form Fields-54</v>
      </c>
      <c r="N56" s="53" t="s">
        <v>1025</v>
      </c>
      <c r="O56" s="50">
        <f>IF(FormFields[[#This Row],[Form Name]]="","id",COUNTA($N$3:FormFields[[#This Row],[Form Name]])+IF(VLOOKUP('Table Seed Map'!$A$11,SeedMap[],9,0),VLOOKUP('Table Seed Map'!$A$11,SeedMap[],9,0),0))</f>
        <v>54</v>
      </c>
      <c r="P56" s="51" t="str">
        <f>FormFields[[#This Row],[Form Name]]&amp;"/"&amp;FormFields[[#This Row],[Name]]</f>
        <v>ResourceList/AddResourceList/resource</v>
      </c>
      <c r="Q56" s="45">
        <f>FormFields[[#This Row],[No]]</f>
        <v>54</v>
      </c>
      <c r="R56" s="92">
        <f>VLOOKUP(FormFields[[#This Row],[Form Name]],ResourceForms[[FormName]:[No]],2,0)</f>
        <v>11</v>
      </c>
      <c r="S56" s="57" t="s">
        <v>23</v>
      </c>
      <c r="T56" s="57" t="s">
        <v>231</v>
      </c>
      <c r="U56" s="57" t="s">
        <v>204</v>
      </c>
      <c r="V56" s="67"/>
      <c r="W56" s="67"/>
      <c r="X56" s="67"/>
      <c r="Y56" s="67"/>
      <c r="Z56" s="68" t="str">
        <f>'Table Seed Map'!$A$12&amp;"-"&amp;(COUNTIF($AB$2:FormFields[[#This Row],[Exists]],1)-1)</f>
        <v>Field Data-54</v>
      </c>
      <c r="AA56" s="60">
        <f>IF(FormFields[[#This Row],[Exists]]=1,IF(FormFields[[#This Row],[Exists]]="",$AA55,IF($AA55=0,IF(ISNUMBER(VLOOKUP('Table Seed Map'!$A$12,SeedMap[],9,0)),VLOOKUP('Table Seed Map'!$A$12,SeedMap[],9,0)+1,1),IFERROR($AA55+1,0))),$AA55)</f>
        <v>54</v>
      </c>
      <c r="AB56" s="69">
        <f>IF(AND(FormFields[[#This Row],[Attribute]]="",FormFields[[#This Row],[Relation]]=""),0,1)</f>
        <v>1</v>
      </c>
      <c r="AC56" s="69">
        <f>FormFields[[#This Row],[NO2]]</f>
        <v>54</v>
      </c>
      <c r="AD56" s="70">
        <f>[ID]</f>
        <v>54</v>
      </c>
      <c r="AE56" s="69" t="str">
        <f>[Name]</f>
        <v>resource</v>
      </c>
      <c r="AF56" s="91" t="str">
        <f>IF(FormFields[[#This Row],[Rel]]="",IF(EXACT($AF55,FormFields[[#Headers],[Relation]]),"relation",""),VLOOKUP(FormFields[[#This Row],[Rel]],RelationTable[[Display]:[RELID]],2,0))</f>
        <v/>
      </c>
      <c r="AG56" s="90" t="str">
        <f>IF(FormFields[[#This Row],[Rel1]]="",IF(EXACT($AG55,FormFields[[#Headers],[R1]]),"nest_relation1",""),VLOOKUP(FormFields[[#This Row],[Rel1]],RelationTable[[Display]:[RELID]],2,0))</f>
        <v/>
      </c>
      <c r="AH56" s="91" t="str">
        <f>IF(FormFields[[#This Row],[Rel2]]="",IF(EXACT($AH55,FormFields[[#Headers],[R2]]),"nest_relation2",""),VLOOKUP(FormFields[[#This Row],[Rel2]],RelationTable[[Display]:[RELID]],2,0))</f>
        <v/>
      </c>
      <c r="AI56" s="91" t="str">
        <f>IF(FormFields[[#This Row],[Rel3]]="",IF(EXACT($AI55,FormFields[[#Headers],[R3]]),"nest_relation3",""),VLOOKUP(FormFields[[#This Row],[Rel3]],RelationTable[[Display]:[RELID]],2,0))</f>
        <v/>
      </c>
      <c r="AJ56" s="50">
        <f>IF(OR(FormFields[[#This Row],[Option Type]]="",FormFields[[#This Row],[Option Type]]="type"),0,1)</f>
        <v>0</v>
      </c>
      <c r="AK56" s="50" t="str">
        <f>'Table Seed Map'!$A$13&amp;"-"&amp;COUNTIF($AJ$2:FormFields[[#This Row],[Exists FO]],1)</f>
        <v>Field Options-13</v>
      </c>
      <c r="AL56" s="46">
        <f>IF(FormFields[[#This Row],[Exists FO]]=0,$AL55,IF($AL55=0,IF(ISNUMBER(VLOOKUP('Table Seed Map'!$A$13,SeedMap[],9,0)),VLOOKUP('Table Seed Map'!$A$13,SeedMap[],9,0)+1,1),IFERROR($AL55+1,0)))</f>
        <v>13</v>
      </c>
      <c r="AM56" s="50">
        <f>FormFields[[#This Row],[NO4]]</f>
        <v>13</v>
      </c>
      <c r="AN56" s="39">
        <f>[ID]</f>
        <v>54</v>
      </c>
      <c r="AO56" s="73"/>
      <c r="AP56" s="73"/>
      <c r="AQ56" s="73"/>
      <c r="AR56" s="73"/>
      <c r="AS56" s="73"/>
      <c r="AT56" s="50">
        <f>IF(OR(FormFields[[#This Row],[Colspan]]="",FormFields[[#This Row],[Colspan]]="colspan"),0,1)</f>
        <v>0</v>
      </c>
      <c r="AU56" s="50" t="str">
        <f>'Table Seed Map'!$A$18&amp;"-"&amp;SUM($AT$2:FormFields[[#This Row],[Exists FL]])</f>
        <v>Form Layout-30</v>
      </c>
      <c r="AV56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6" s="45" t="str">
        <f>FormFields[[#This Row],[NO8]]</f>
        <v/>
      </c>
      <c r="AX56" s="50">
        <f>[Form]</f>
        <v>11</v>
      </c>
      <c r="AY56" s="50">
        <f>[ID]</f>
        <v>54</v>
      </c>
      <c r="AZ56" s="75"/>
    </row>
    <row r="57" spans="13:52">
      <c r="M57" s="94" t="str">
        <f>'Table Seed Map'!$A$11&amp;"-"&amp;(COUNTA($Q$1:FormFields[[#This Row],[ID]])-2)</f>
        <v>Form Fields-55</v>
      </c>
      <c r="N57" s="53" t="s">
        <v>1025</v>
      </c>
      <c r="O57" s="95">
        <f>IF(FormFields[[#This Row],[Form Name]]="","id",COUNTA($N$3:FormFields[[#This Row],[Form Name]])+IF(VLOOKUP('Table Seed Map'!$A$11,SeedMap[],9,0),VLOOKUP('Table Seed Map'!$A$11,SeedMap[],9,0),0))</f>
        <v>55</v>
      </c>
      <c r="P57" s="94" t="str">
        <f>FormFields[[#This Row],[Form Name]]&amp;"/"&amp;FormFields[[#This Row],[Name]]</f>
        <v>ResourceList/AddResourceList/name</v>
      </c>
      <c r="Q57" s="45">
        <f>FormFields[[#This Row],[No]]</f>
        <v>55</v>
      </c>
      <c r="R57" s="96">
        <f>VLOOKUP(FormFields[[#This Row],[Form Name]],ResourceForms[[FormName]:[No]],2,0)</f>
        <v>11</v>
      </c>
      <c r="S57" s="57" t="s">
        <v>26</v>
      </c>
      <c r="T57" s="57" t="s">
        <v>231</v>
      </c>
      <c r="U57" s="57" t="s">
        <v>922</v>
      </c>
      <c r="V57" s="97"/>
      <c r="W57" s="97"/>
      <c r="X57" s="97"/>
      <c r="Y57" s="97"/>
      <c r="Z57" s="98" t="str">
        <f>'Table Seed Map'!$A$12&amp;"-"&amp;(COUNTIF($AB$2:FormFields[[#This Row],[Exists]],1)-1)</f>
        <v>Field Data-55</v>
      </c>
      <c r="AA57" s="60">
        <f>IF(FormFields[[#This Row],[Exists]]=1,IF(FormFields[[#This Row],[Exists]]="",$AA56,IF($AA56=0,IF(ISNUMBER(VLOOKUP('Table Seed Map'!$A$12,SeedMap[],9,0)),VLOOKUP('Table Seed Map'!$A$12,SeedMap[],9,0)+1,1),IFERROR($AA56+1,0))),$AA56)</f>
        <v>55</v>
      </c>
      <c r="AB57" s="99">
        <f>IF(AND(FormFields[[#This Row],[Attribute]]="",FormFields[[#This Row],[Relation]]=""),0,1)</f>
        <v>1</v>
      </c>
      <c r="AC57" s="99">
        <f>FormFields[[#This Row],[NO2]]</f>
        <v>55</v>
      </c>
      <c r="AD57" s="100">
        <f>[ID]</f>
        <v>55</v>
      </c>
      <c r="AE57" s="99" t="str">
        <f>[Name]</f>
        <v>name</v>
      </c>
      <c r="AF57" s="91" t="str">
        <f>IF(FormFields[[#This Row],[Rel]]="",IF(EXACT($AF56,FormFields[[#Headers],[Relation]]),"relation",""),VLOOKUP(FormFields[[#This Row],[Rel]],RelationTable[[Display]:[RELID]],2,0))</f>
        <v/>
      </c>
      <c r="AG57" s="90" t="str">
        <f>IF(FormFields[[#This Row],[Rel1]]="",IF(EXACT($AG56,FormFields[[#Headers],[R1]]),"nest_relation1",""),VLOOKUP(FormFields[[#This Row],[Rel1]],RelationTable[[Display]:[RELID]],2,0))</f>
        <v/>
      </c>
      <c r="AH57" s="91" t="str">
        <f>IF(FormFields[[#This Row],[Rel2]]="",IF(EXACT($AH56,FormFields[[#Headers],[R2]]),"nest_relation2",""),VLOOKUP(FormFields[[#This Row],[Rel2]],RelationTable[[Display]:[RELID]],2,0))</f>
        <v/>
      </c>
      <c r="AI57" s="91" t="str">
        <f>IF(FormFields[[#This Row],[Rel3]]="",IF(EXACT($AI56,FormFields[[#Headers],[R3]]),"nest_relation3",""),VLOOKUP(FormFields[[#This Row],[Rel3]],RelationTable[[Display]:[RELID]],2,0))</f>
        <v/>
      </c>
      <c r="AJ57" s="95">
        <f>IF(OR(FormFields[[#This Row],[Option Type]]="",FormFields[[#This Row],[Option Type]]="type"),0,1)</f>
        <v>0</v>
      </c>
      <c r="AK57" s="95" t="str">
        <f>'Table Seed Map'!$A$13&amp;"-"&amp;COUNTIF($AJ$2:FormFields[[#This Row],[Exists FO]],1)</f>
        <v>Field Options-13</v>
      </c>
      <c r="AL57" s="46">
        <f>IF(FormFields[[#This Row],[Exists FO]]=0,$AL56,IF($AL56=0,IF(ISNUMBER(VLOOKUP('Table Seed Map'!$A$13,SeedMap[],9,0)),VLOOKUP('Table Seed Map'!$A$13,SeedMap[],9,0)+1,1),IFERROR($AL56+1,0)))</f>
        <v>13</v>
      </c>
      <c r="AM57" s="95">
        <f>FormFields[[#This Row],[NO4]]</f>
        <v>13</v>
      </c>
      <c r="AN57" s="101">
        <f>[ID]</f>
        <v>55</v>
      </c>
      <c r="AO57" s="102"/>
      <c r="AP57" s="102"/>
      <c r="AQ57" s="102"/>
      <c r="AR57" s="102"/>
      <c r="AS57" s="102"/>
      <c r="AT57" s="95">
        <f>IF(OR(FormFields[[#This Row],[Colspan]]="",FormFields[[#This Row],[Colspan]]="colspan"),0,1)</f>
        <v>0</v>
      </c>
      <c r="AU57" s="95" t="str">
        <f>'Table Seed Map'!$A$18&amp;"-"&amp;SUM($AT$2:FormFields[[#This Row],[Exists FL]])</f>
        <v>Form Layout-30</v>
      </c>
      <c r="AV57" s="9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7" s="45" t="str">
        <f>FormFields[[#This Row],[NO8]]</f>
        <v/>
      </c>
      <c r="AX57" s="95">
        <f>[Form]</f>
        <v>11</v>
      </c>
      <c r="AY57" s="95">
        <f>[ID]</f>
        <v>55</v>
      </c>
      <c r="AZ57" s="103"/>
    </row>
    <row r="58" spans="13:52">
      <c r="M58" s="94" t="str">
        <f>'Table Seed Map'!$A$11&amp;"-"&amp;(COUNTA($Q$1:FormFields[[#This Row],[ID]])-2)</f>
        <v>Form Fields-56</v>
      </c>
      <c r="N58" s="53" t="s">
        <v>1025</v>
      </c>
      <c r="O58" s="95">
        <f>IF(FormFields[[#This Row],[Form Name]]="","id",COUNTA($N$3:FormFields[[#This Row],[Form Name]])+IF(VLOOKUP('Table Seed Map'!$A$11,SeedMap[],9,0),VLOOKUP('Table Seed Map'!$A$11,SeedMap[],9,0),0))</f>
        <v>56</v>
      </c>
      <c r="P58" s="94" t="str">
        <f>FormFields[[#This Row],[Form Name]]&amp;"/"&amp;FormFields[[#This Row],[Name]]</f>
        <v>ResourceList/AddResourceList/title</v>
      </c>
      <c r="Q58" s="45">
        <f>FormFields[[#This Row],[No]]</f>
        <v>56</v>
      </c>
      <c r="R58" s="96">
        <f>VLOOKUP(FormFields[[#This Row],[Form Name]],ResourceForms[[FormName]:[No]],2,0)</f>
        <v>11</v>
      </c>
      <c r="S58" s="57" t="s">
        <v>30</v>
      </c>
      <c r="T58" s="57" t="s">
        <v>231</v>
      </c>
      <c r="U58" s="57" t="s">
        <v>236</v>
      </c>
      <c r="V58" s="97"/>
      <c r="W58" s="97"/>
      <c r="X58" s="97"/>
      <c r="Y58" s="97"/>
      <c r="Z58" s="98" t="str">
        <f>'Table Seed Map'!$A$12&amp;"-"&amp;(COUNTIF($AB$2:FormFields[[#This Row],[Exists]],1)-1)</f>
        <v>Field Data-56</v>
      </c>
      <c r="AA58" s="60">
        <f>IF(FormFields[[#This Row],[Exists]]=1,IF(FormFields[[#This Row],[Exists]]="",$AA57,IF($AA57=0,IF(ISNUMBER(VLOOKUP('Table Seed Map'!$A$12,SeedMap[],9,0)),VLOOKUP('Table Seed Map'!$A$12,SeedMap[],9,0)+1,1),IFERROR($AA57+1,0))),$AA57)</f>
        <v>56</v>
      </c>
      <c r="AB58" s="99">
        <f>IF(AND(FormFields[[#This Row],[Attribute]]="",FormFields[[#This Row],[Relation]]=""),0,1)</f>
        <v>1</v>
      </c>
      <c r="AC58" s="99">
        <f>FormFields[[#This Row],[NO2]]</f>
        <v>56</v>
      </c>
      <c r="AD58" s="100">
        <f>[ID]</f>
        <v>56</v>
      </c>
      <c r="AE58" s="99" t="str">
        <f>[Name]</f>
        <v>title</v>
      </c>
      <c r="AF58" s="91" t="str">
        <f>IF(FormFields[[#This Row],[Rel]]="",IF(EXACT($AF57,FormFields[[#Headers],[Relation]]),"relation",""),VLOOKUP(FormFields[[#This Row],[Rel]],RelationTable[[Display]:[RELID]],2,0))</f>
        <v/>
      </c>
      <c r="AG58" s="90" t="str">
        <f>IF(FormFields[[#This Row],[Rel1]]="",IF(EXACT($AG57,FormFields[[#Headers],[R1]]),"nest_relation1",""),VLOOKUP(FormFields[[#This Row],[Rel1]],RelationTable[[Display]:[RELID]],2,0))</f>
        <v/>
      </c>
      <c r="AH58" s="91" t="str">
        <f>IF(FormFields[[#This Row],[Rel2]]="",IF(EXACT($AH57,FormFields[[#Headers],[R2]]),"nest_relation2",""),VLOOKUP(FormFields[[#This Row],[Rel2]],RelationTable[[Display]:[RELID]],2,0))</f>
        <v/>
      </c>
      <c r="AI58" s="91" t="str">
        <f>IF(FormFields[[#This Row],[Rel3]]="",IF(EXACT($AI57,FormFields[[#Headers],[R3]]),"nest_relation3",""),VLOOKUP(FormFields[[#This Row],[Rel3]],RelationTable[[Display]:[RELID]],2,0))</f>
        <v/>
      </c>
      <c r="AJ58" s="95">
        <f>IF(OR(FormFields[[#This Row],[Option Type]]="",FormFields[[#This Row],[Option Type]]="type"),0,1)</f>
        <v>0</v>
      </c>
      <c r="AK58" s="95" t="str">
        <f>'Table Seed Map'!$A$13&amp;"-"&amp;COUNTIF($AJ$2:FormFields[[#This Row],[Exists FO]],1)</f>
        <v>Field Options-13</v>
      </c>
      <c r="AL58" s="46">
        <f>IF(FormFields[[#This Row],[Exists FO]]=0,$AL57,IF($AL57=0,IF(ISNUMBER(VLOOKUP('Table Seed Map'!$A$13,SeedMap[],9,0)),VLOOKUP('Table Seed Map'!$A$13,SeedMap[],9,0)+1,1),IFERROR($AL57+1,0)))</f>
        <v>13</v>
      </c>
      <c r="AM58" s="95">
        <f>FormFields[[#This Row],[NO4]]</f>
        <v>13</v>
      </c>
      <c r="AN58" s="101">
        <f>[ID]</f>
        <v>56</v>
      </c>
      <c r="AO58" s="102"/>
      <c r="AP58" s="102"/>
      <c r="AQ58" s="102"/>
      <c r="AR58" s="102"/>
      <c r="AS58" s="102"/>
      <c r="AT58" s="95">
        <f>IF(OR(FormFields[[#This Row],[Colspan]]="",FormFields[[#This Row],[Colspan]]="colspan"),0,1)</f>
        <v>0</v>
      </c>
      <c r="AU58" s="95" t="str">
        <f>'Table Seed Map'!$A$18&amp;"-"&amp;SUM($AT$2:FormFields[[#This Row],[Exists FL]])</f>
        <v>Form Layout-30</v>
      </c>
      <c r="AV58" s="9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8" s="45" t="str">
        <f>FormFields[[#This Row],[NO8]]</f>
        <v/>
      </c>
      <c r="AX58" s="95">
        <f>[Form]</f>
        <v>11</v>
      </c>
      <c r="AY58" s="95">
        <f>[ID]</f>
        <v>56</v>
      </c>
      <c r="AZ58" s="103"/>
    </row>
    <row r="59" spans="13:52">
      <c r="M59" s="94" t="str">
        <f>'Table Seed Map'!$A$11&amp;"-"&amp;(COUNTA($Q$1:FormFields[[#This Row],[ID]])-2)</f>
        <v>Form Fields-57</v>
      </c>
      <c r="N59" s="53" t="s">
        <v>1025</v>
      </c>
      <c r="O59" s="95">
        <f>IF(FormFields[[#This Row],[Form Name]]="","id",COUNTA($N$3:FormFields[[#This Row],[Form Name]])+IF(VLOOKUP('Table Seed Map'!$A$11,SeedMap[],9,0),VLOOKUP('Table Seed Map'!$A$11,SeedMap[],9,0),0))</f>
        <v>57</v>
      </c>
      <c r="P59" s="94" t="str">
        <f>FormFields[[#This Row],[Form Name]]&amp;"/"&amp;FormFields[[#This Row],[Name]]</f>
        <v>ResourceList/AddResourceList/items_per_page</v>
      </c>
      <c r="Q59" s="45">
        <f>FormFields[[#This Row],[No]]</f>
        <v>57</v>
      </c>
      <c r="R59" s="96">
        <f>VLOOKUP(FormFields[[#This Row],[Form Name]],ResourceForms[[FormName]:[No]],2,0)</f>
        <v>11</v>
      </c>
      <c r="S59" s="57" t="s">
        <v>61</v>
      </c>
      <c r="T59" s="57" t="s">
        <v>231</v>
      </c>
      <c r="U59" s="57" t="s">
        <v>1020</v>
      </c>
      <c r="V59" s="97"/>
      <c r="W59" s="97"/>
      <c r="X59" s="97"/>
      <c r="Y59" s="97"/>
      <c r="Z59" s="98" t="str">
        <f>'Table Seed Map'!$A$12&amp;"-"&amp;(COUNTIF($AB$2:FormFields[[#This Row],[Exists]],1)-1)</f>
        <v>Field Data-57</v>
      </c>
      <c r="AA59" s="60">
        <f>IF(FormFields[[#This Row],[Exists]]=1,IF(FormFields[[#This Row],[Exists]]="",$AA58,IF($AA58=0,IF(ISNUMBER(VLOOKUP('Table Seed Map'!$A$12,SeedMap[],9,0)),VLOOKUP('Table Seed Map'!$A$12,SeedMap[],9,0)+1,1),IFERROR($AA58+1,0))),$AA58)</f>
        <v>57</v>
      </c>
      <c r="AB59" s="99">
        <f>IF(AND(FormFields[[#This Row],[Attribute]]="",FormFields[[#This Row],[Relation]]=""),0,1)</f>
        <v>1</v>
      </c>
      <c r="AC59" s="99">
        <f>FormFields[[#This Row],[NO2]]</f>
        <v>57</v>
      </c>
      <c r="AD59" s="100">
        <f>[ID]</f>
        <v>57</v>
      </c>
      <c r="AE59" s="99" t="str">
        <f>[Name]</f>
        <v>items_per_page</v>
      </c>
      <c r="AF59" s="91" t="str">
        <f>IF(FormFields[[#This Row],[Rel]]="",IF(EXACT($AF58,FormFields[[#Headers],[Relation]]),"relation",""),VLOOKUP(FormFields[[#This Row],[Rel]],RelationTable[[Display]:[RELID]],2,0))</f>
        <v/>
      </c>
      <c r="AG59" s="90" t="str">
        <f>IF(FormFields[[#This Row],[Rel1]]="",IF(EXACT($AG58,FormFields[[#Headers],[R1]]),"nest_relation1",""),VLOOKUP(FormFields[[#This Row],[Rel1]],RelationTable[[Display]:[RELID]],2,0))</f>
        <v/>
      </c>
      <c r="AH59" s="91" t="str">
        <f>IF(FormFields[[#This Row],[Rel2]]="",IF(EXACT($AH58,FormFields[[#Headers],[R2]]),"nest_relation2",""),VLOOKUP(FormFields[[#This Row],[Rel2]],RelationTable[[Display]:[RELID]],2,0))</f>
        <v/>
      </c>
      <c r="AI59" s="91" t="str">
        <f>IF(FormFields[[#This Row],[Rel3]]="",IF(EXACT($AI58,FormFields[[#Headers],[R3]]),"nest_relation3",""),VLOOKUP(FormFields[[#This Row],[Rel3]],RelationTable[[Display]:[RELID]],2,0))</f>
        <v/>
      </c>
      <c r="AJ59" s="95">
        <f>IF(OR(FormFields[[#This Row],[Option Type]]="",FormFields[[#This Row],[Option Type]]="type"),0,1)</f>
        <v>0</v>
      </c>
      <c r="AK59" s="95" t="str">
        <f>'Table Seed Map'!$A$13&amp;"-"&amp;COUNTIF($AJ$2:FormFields[[#This Row],[Exists FO]],1)</f>
        <v>Field Options-13</v>
      </c>
      <c r="AL59" s="46">
        <f>IF(FormFields[[#This Row],[Exists FO]]=0,$AL58,IF($AL58=0,IF(ISNUMBER(VLOOKUP('Table Seed Map'!$A$13,SeedMap[],9,0)),VLOOKUP('Table Seed Map'!$A$13,SeedMap[],9,0)+1,1),IFERROR($AL58+1,0)))</f>
        <v>13</v>
      </c>
      <c r="AM59" s="95">
        <f>FormFields[[#This Row],[NO4]]</f>
        <v>13</v>
      </c>
      <c r="AN59" s="101">
        <f>[ID]</f>
        <v>57</v>
      </c>
      <c r="AO59" s="102"/>
      <c r="AP59" s="102"/>
      <c r="AQ59" s="102"/>
      <c r="AR59" s="102"/>
      <c r="AS59" s="102"/>
      <c r="AT59" s="95">
        <f>IF(OR(FormFields[[#This Row],[Colspan]]="",FormFields[[#This Row],[Colspan]]="colspan"),0,1)</f>
        <v>0</v>
      </c>
      <c r="AU59" s="95" t="str">
        <f>'Table Seed Map'!$A$18&amp;"-"&amp;SUM($AT$2:FormFields[[#This Row],[Exists FL]])</f>
        <v>Form Layout-30</v>
      </c>
      <c r="AV59" s="9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9" s="45" t="str">
        <f>FormFields[[#This Row],[NO8]]</f>
        <v/>
      </c>
      <c r="AX59" s="95">
        <f>[Form]</f>
        <v>11</v>
      </c>
      <c r="AY59" s="95">
        <f>[ID]</f>
        <v>57</v>
      </c>
      <c r="AZ59" s="103"/>
    </row>
    <row r="60" spans="13:52">
      <c r="M60" s="51" t="str">
        <f>'Table Seed Map'!$A$11&amp;"-"&amp;(COUNTA($Q$1:FormFields[[#This Row],[ID]])-2)</f>
        <v>Form Fields-58</v>
      </c>
      <c r="N60" s="53" t="s">
        <v>1025</v>
      </c>
      <c r="O60" s="50">
        <f>IF(FormFields[[#This Row],[Form Name]]="","id",COUNTA($N$3:FormFields[[#This Row],[Form Name]])+IF(VLOOKUP('Table Seed Map'!$A$11,SeedMap[],9,0),VLOOKUP('Table Seed Map'!$A$11,SeedMap[],9,0),0))</f>
        <v>58</v>
      </c>
      <c r="P60" s="51" t="str">
        <f>FormFields[[#This Row],[Form Name]]&amp;"/"&amp;FormFields[[#This Row],[Name]]</f>
        <v>ResourceList/AddResourceList/description</v>
      </c>
      <c r="Q60" s="45">
        <f>FormFields[[#This Row],[No]]</f>
        <v>58</v>
      </c>
      <c r="R60" s="92">
        <f>VLOOKUP(FormFields[[#This Row],[Form Name]],ResourceForms[[FormName]:[No]],2,0)</f>
        <v>11</v>
      </c>
      <c r="S60" s="57" t="s">
        <v>28</v>
      </c>
      <c r="T60" s="57" t="s">
        <v>973</v>
      </c>
      <c r="U60" s="57" t="s">
        <v>242</v>
      </c>
      <c r="V60" s="67"/>
      <c r="W60" s="67"/>
      <c r="X60" s="67"/>
      <c r="Y60" s="67"/>
      <c r="Z60" s="68" t="str">
        <f>'Table Seed Map'!$A$12&amp;"-"&amp;(COUNTIF($AB$2:FormFields[[#This Row],[Exists]],1)-1)</f>
        <v>Field Data-58</v>
      </c>
      <c r="AA60" s="60">
        <f>IF(FormFields[[#This Row],[Exists]]=1,IF(FormFields[[#This Row],[Exists]]="",$AA59,IF($AA59=0,IF(ISNUMBER(VLOOKUP('Table Seed Map'!$A$12,SeedMap[],9,0)),VLOOKUP('Table Seed Map'!$A$12,SeedMap[],9,0)+1,1),IFERROR($AA59+1,0))),$AA59)</f>
        <v>58</v>
      </c>
      <c r="AB60" s="69">
        <f>IF(AND(FormFields[[#This Row],[Attribute]]="",FormFields[[#This Row],[Relation]]=""),0,1)</f>
        <v>1</v>
      </c>
      <c r="AC60" s="69">
        <f>FormFields[[#This Row],[NO2]]</f>
        <v>58</v>
      </c>
      <c r="AD60" s="70">
        <f>[ID]</f>
        <v>58</v>
      </c>
      <c r="AE60" s="69" t="str">
        <f>[Name]</f>
        <v>description</v>
      </c>
      <c r="AF60" s="91" t="str">
        <f>IF(FormFields[[#This Row],[Rel]]="",IF(EXACT($AF59,FormFields[[#Headers],[Relation]]),"relation",""),VLOOKUP(FormFields[[#This Row],[Rel]],RelationTable[[Display]:[RELID]],2,0))</f>
        <v/>
      </c>
      <c r="AG60" s="90" t="str">
        <f>IF(FormFields[[#This Row],[Rel1]]="",IF(EXACT($AG59,FormFields[[#Headers],[R1]]),"nest_relation1",""),VLOOKUP(FormFields[[#This Row],[Rel1]],RelationTable[[Display]:[RELID]],2,0))</f>
        <v/>
      </c>
      <c r="AH60" s="91" t="str">
        <f>IF(FormFields[[#This Row],[Rel2]]="",IF(EXACT($AH59,FormFields[[#Headers],[R2]]),"nest_relation2",""),VLOOKUP(FormFields[[#This Row],[Rel2]],RelationTable[[Display]:[RELID]],2,0))</f>
        <v/>
      </c>
      <c r="AI60" s="91" t="str">
        <f>IF(FormFields[[#This Row],[Rel3]]="",IF(EXACT($AI59,FormFields[[#Headers],[R3]]),"nest_relation3",""),VLOOKUP(FormFields[[#This Row],[Rel3]],RelationTable[[Display]:[RELID]],2,0))</f>
        <v/>
      </c>
      <c r="AJ60" s="50">
        <f>IF(OR(FormFields[[#This Row],[Option Type]]="",FormFields[[#This Row],[Option Type]]="type"),0,1)</f>
        <v>0</v>
      </c>
      <c r="AK60" s="50" t="str">
        <f>'Table Seed Map'!$A$13&amp;"-"&amp;COUNTIF($AJ$2:FormFields[[#This Row],[Exists FO]],1)</f>
        <v>Field Options-13</v>
      </c>
      <c r="AL60" s="46">
        <f>IF(FormFields[[#This Row],[Exists FO]]=0,$AL59,IF($AL59=0,IF(ISNUMBER(VLOOKUP('Table Seed Map'!$A$13,SeedMap[],9,0)),VLOOKUP('Table Seed Map'!$A$13,SeedMap[],9,0)+1,1),IFERROR($AL59+1,0)))</f>
        <v>13</v>
      </c>
      <c r="AM60" s="50">
        <f>FormFields[[#This Row],[NO4]]</f>
        <v>13</v>
      </c>
      <c r="AN60" s="39">
        <f>[ID]</f>
        <v>58</v>
      </c>
      <c r="AO60" s="73"/>
      <c r="AP60" s="73"/>
      <c r="AQ60" s="73"/>
      <c r="AR60" s="73"/>
      <c r="AS60" s="73"/>
      <c r="AT60" s="50">
        <f>IF(OR(FormFields[[#This Row],[Colspan]]="",FormFields[[#This Row],[Colspan]]="colspan"),0,1)</f>
        <v>0</v>
      </c>
      <c r="AU60" s="50" t="str">
        <f>'Table Seed Map'!$A$18&amp;"-"&amp;SUM($AT$2:FormFields[[#This Row],[Exists FL]])</f>
        <v>Form Layout-30</v>
      </c>
      <c r="AV60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0" s="45" t="str">
        <f>FormFields[[#This Row],[NO8]]</f>
        <v/>
      </c>
      <c r="AX60" s="50">
        <f>[Form]</f>
        <v>11</v>
      </c>
      <c r="AY60" s="50">
        <f>[ID]</f>
        <v>58</v>
      </c>
      <c r="AZ60" s="75"/>
    </row>
    <row r="61" spans="13:52">
      <c r="M61" s="49" t="str">
        <f>'Table Seed Map'!$A$11&amp;"-"&amp;(COUNTA($Q$1:FormFields[[#This Row],[ID]])-2)</f>
        <v>Form Fields-59</v>
      </c>
      <c r="N61" s="53" t="s">
        <v>1065</v>
      </c>
      <c r="O61" s="46">
        <f>IF(FormFields[[#This Row],[Form Name]]="","id",COUNTA($N$3:FormFields[[#This Row],[Form Name]])+IF(VLOOKUP('Table Seed Map'!$A$11,SeedMap[],9,0),VLOOKUP('Table Seed Map'!$A$11,SeedMap[],9,0),0))</f>
        <v>59</v>
      </c>
      <c r="P61" s="49" t="str">
        <f>FormFields[[#This Row],[Form Name]]&amp;"/"&amp;FormFields[[#This Row],[Name]]</f>
        <v>ResourceData/CreateDataForm/resource</v>
      </c>
      <c r="Q61" s="45">
        <f>FormFields[[#This Row],[No]]</f>
        <v>59</v>
      </c>
      <c r="R61" s="85">
        <f>VLOOKUP(FormFields[[#This Row],[Form Name]],ResourceForms[[FormName]:[No]],2,0)</f>
        <v>12</v>
      </c>
      <c r="S61" s="56" t="s">
        <v>23</v>
      </c>
      <c r="T61" s="56" t="s">
        <v>234</v>
      </c>
      <c r="U61" s="56" t="s">
        <v>992</v>
      </c>
      <c r="V61" s="64"/>
      <c r="W61" s="64"/>
      <c r="X61" s="64"/>
      <c r="Y61" s="64"/>
      <c r="Z61" s="65" t="str">
        <f>'Table Seed Map'!$A$12&amp;"-"&amp;(COUNTIF($AB$2:FormFields[[#This Row],[Exists]],1)-1)</f>
        <v>Field Data-59</v>
      </c>
      <c r="AA61" s="60">
        <f>IF(FormFields[[#This Row],[Exists]]=1,IF(FormFields[[#This Row],[Exists]]="",$AA60,IF($AA60=0,IF(ISNUMBER(VLOOKUP('Table Seed Map'!$A$12,SeedMap[],9,0)),VLOOKUP('Table Seed Map'!$A$12,SeedMap[],9,0)+1,1),IFERROR($AA60+1,0))),$AA60)</f>
        <v>59</v>
      </c>
      <c r="AB61" s="63">
        <f>IF(AND(FormFields[[#This Row],[Attribute]]="",FormFields[[#This Row],[Relation]]=""),0,1)</f>
        <v>1</v>
      </c>
      <c r="AC61" s="63">
        <f>FormFields[[#This Row],[NO2]]</f>
        <v>59</v>
      </c>
      <c r="AD61" s="66">
        <f>[ID]</f>
        <v>59</v>
      </c>
      <c r="AE61" s="63" t="str">
        <f>[Name]</f>
        <v>resource</v>
      </c>
      <c r="AF61" s="91" t="str">
        <f>IF(FormFields[[#This Row],[Rel]]="",IF(EXACT($AF60,FormFields[[#Headers],[Relation]]),"relation",""),VLOOKUP(FormFields[[#This Row],[Rel]],RelationTable[[Display]:[RELID]],2,0))</f>
        <v/>
      </c>
      <c r="AG61" s="90" t="str">
        <f>IF(FormFields[[#This Row],[Rel1]]="",IF(EXACT($AG60,FormFields[[#Headers],[R1]]),"nest_relation1",""),VLOOKUP(FormFields[[#This Row],[Rel1]],RelationTable[[Display]:[RELID]],2,0))</f>
        <v/>
      </c>
      <c r="AH61" s="91" t="str">
        <f>IF(FormFields[[#This Row],[Rel2]]="",IF(EXACT($AH60,FormFields[[#Headers],[R2]]),"nest_relation2",""),VLOOKUP(FormFields[[#This Row],[Rel2]],RelationTable[[Display]:[RELID]],2,0))</f>
        <v/>
      </c>
      <c r="AI61" s="91" t="str">
        <f>IF(FormFields[[#This Row],[Rel3]]="",IF(EXACT($AI60,FormFields[[#Headers],[R3]]),"nest_relation3",""),VLOOKUP(FormFields[[#This Row],[Rel3]],RelationTable[[Display]:[RELID]],2,0))</f>
        <v/>
      </c>
      <c r="AJ61" s="46">
        <f>IF(OR(FormFields[[#This Row],[Option Type]]="",FormFields[[#This Row],[Option Type]]="type"),0,1)</f>
        <v>1</v>
      </c>
      <c r="AK61" s="46" t="str">
        <f>'Table Seed Map'!$A$13&amp;"-"&amp;COUNTIF($AJ$2:FormFields[[#This Row],[Exists FO]],1)</f>
        <v>Field Options-14</v>
      </c>
      <c r="AL61" s="46">
        <f>IF(FormFields[[#This Row],[Exists FO]]=0,$AL60,IF($AL60=0,IF(ISNUMBER(VLOOKUP('Table Seed Map'!$A$13,SeedMap[],9,0)),VLOOKUP('Table Seed Map'!$A$13,SeedMap[],9,0)+1,1),IFERROR($AL60+1,0)))</f>
        <v>14</v>
      </c>
      <c r="AM61" s="46">
        <f>FormFields[[#This Row],[NO4]]</f>
        <v>14</v>
      </c>
      <c r="AN61" s="48">
        <f>[ID]</f>
        <v>59</v>
      </c>
      <c r="AO61" s="72" t="s">
        <v>673</v>
      </c>
      <c r="AP61" s="72"/>
      <c r="AQ61" s="72" t="s">
        <v>21</v>
      </c>
      <c r="AR61" s="72" t="s">
        <v>26</v>
      </c>
      <c r="AS61" s="72" t="s">
        <v>674</v>
      </c>
      <c r="AT61" s="46">
        <f>IF(OR(FormFields[[#This Row],[Colspan]]="",FormFields[[#This Row],[Colspan]]="colspan"),0,1)</f>
        <v>1</v>
      </c>
      <c r="AU61" s="46" t="str">
        <f>'Table Seed Map'!$A$18&amp;"-"&amp;SUM($AT$2:FormFields[[#This Row],[Exists FL]])</f>
        <v>Form Layout-31</v>
      </c>
      <c r="AV61" s="46">
        <f>IF(FormFields[[#This Row],[Exists FL]]=0,IF(FormFields[[#This Row],[Form Name]]="","id",""),SUM($AT$3:FormFields[[#This Row],[Exists FL]],IF(VLOOKUP('Table Seed Map'!$A$18,SeedMap[],9,0),VLOOKUP('Table Seed Map'!$A$18,SeedMap[],9,0),0)))</f>
        <v>31</v>
      </c>
      <c r="AW61" s="45">
        <f>FormFields[[#This Row],[NO8]]</f>
        <v>31</v>
      </c>
      <c r="AX61" s="46">
        <f>[Form]</f>
        <v>12</v>
      </c>
      <c r="AY61" s="46">
        <f>[ID]</f>
        <v>59</v>
      </c>
      <c r="AZ61" s="74">
        <v>12</v>
      </c>
    </row>
    <row r="62" spans="13:52">
      <c r="M62" s="49" t="str">
        <f>'Table Seed Map'!$A$11&amp;"-"&amp;(COUNTA($Q$1:FormFields[[#This Row],[ID]])-2)</f>
        <v>Form Fields-60</v>
      </c>
      <c r="N62" s="53" t="s">
        <v>1065</v>
      </c>
      <c r="O62" s="46">
        <f>IF(FormFields[[#This Row],[Form Name]]="","id",COUNTA($N$3:FormFields[[#This Row],[Form Name]])+IF(VLOOKUP('Table Seed Map'!$A$11,SeedMap[],9,0),VLOOKUP('Table Seed Map'!$A$11,SeedMap[],9,0),0))</f>
        <v>60</v>
      </c>
      <c r="P62" s="49" t="str">
        <f>FormFields[[#This Row],[Form Name]]&amp;"/"&amp;FormFields[[#This Row],[Name]]</f>
        <v>ResourceData/CreateDataForm/name</v>
      </c>
      <c r="Q62" s="45">
        <f>FormFields[[#This Row],[No]]</f>
        <v>60</v>
      </c>
      <c r="R62" s="85">
        <f>VLOOKUP(FormFields[[#This Row],[Form Name]],ResourceForms[[FormName]:[No]],2,0)</f>
        <v>12</v>
      </c>
      <c r="S62" s="56" t="s">
        <v>26</v>
      </c>
      <c r="T62" s="56" t="s">
        <v>231</v>
      </c>
      <c r="U62" s="56" t="s">
        <v>1</v>
      </c>
      <c r="V62" s="64"/>
      <c r="W62" s="64"/>
      <c r="X62" s="64"/>
      <c r="Y62" s="64"/>
      <c r="Z62" s="65" t="str">
        <f>'Table Seed Map'!$A$12&amp;"-"&amp;(COUNTIF($AB$2:FormFields[[#This Row],[Exists]],1)-1)</f>
        <v>Field Data-60</v>
      </c>
      <c r="AA62" s="60">
        <f>IF(FormFields[[#This Row],[Exists]]=1,IF(FormFields[[#This Row],[Exists]]="",$AA61,IF($AA61=0,IF(ISNUMBER(VLOOKUP('Table Seed Map'!$A$12,SeedMap[],9,0)),VLOOKUP('Table Seed Map'!$A$12,SeedMap[],9,0)+1,1),IFERROR($AA61+1,0))),$AA61)</f>
        <v>60</v>
      </c>
      <c r="AB62" s="63">
        <f>IF(AND(FormFields[[#This Row],[Attribute]]="",FormFields[[#This Row],[Relation]]=""),0,1)</f>
        <v>1</v>
      </c>
      <c r="AC62" s="63">
        <f>FormFields[[#This Row],[NO2]]</f>
        <v>60</v>
      </c>
      <c r="AD62" s="66">
        <f>[ID]</f>
        <v>60</v>
      </c>
      <c r="AE62" s="63" t="str">
        <f>[Name]</f>
        <v>name</v>
      </c>
      <c r="AF62" s="91" t="str">
        <f>IF(FormFields[[#This Row],[Rel]]="",IF(EXACT($AF61,FormFields[[#Headers],[Relation]]),"relation",""),VLOOKUP(FormFields[[#This Row],[Rel]],RelationTable[[Display]:[RELID]],2,0))</f>
        <v/>
      </c>
      <c r="AG62" s="90" t="str">
        <f>IF(FormFields[[#This Row],[Rel1]]="",IF(EXACT($AG61,FormFields[[#Headers],[R1]]),"nest_relation1",""),VLOOKUP(FormFields[[#This Row],[Rel1]],RelationTable[[Display]:[RELID]],2,0))</f>
        <v/>
      </c>
      <c r="AH62" s="91" t="str">
        <f>IF(FormFields[[#This Row],[Rel2]]="",IF(EXACT($AH61,FormFields[[#Headers],[R2]]),"nest_relation2",""),VLOOKUP(FormFields[[#This Row],[Rel2]],RelationTable[[Display]:[RELID]],2,0))</f>
        <v/>
      </c>
      <c r="AI62" s="91" t="str">
        <f>IF(FormFields[[#This Row],[Rel3]]="",IF(EXACT($AI61,FormFields[[#Headers],[R3]]),"nest_relation3",""),VLOOKUP(FormFields[[#This Row],[Rel3]],RelationTable[[Display]:[RELID]],2,0))</f>
        <v/>
      </c>
      <c r="AJ62" s="46">
        <f>IF(OR(FormFields[[#This Row],[Option Type]]="",FormFields[[#This Row],[Option Type]]="type"),0,1)</f>
        <v>0</v>
      </c>
      <c r="AK62" s="46" t="str">
        <f>'Table Seed Map'!$A$13&amp;"-"&amp;COUNTIF($AJ$2:FormFields[[#This Row],[Exists FO]],1)</f>
        <v>Field Options-14</v>
      </c>
      <c r="AL62" s="46">
        <f>IF(FormFields[[#This Row],[Exists FO]]=0,$AL61,IF($AL61=0,IF(ISNUMBER(VLOOKUP('Table Seed Map'!$A$13,SeedMap[],9,0)),VLOOKUP('Table Seed Map'!$A$13,SeedMap[],9,0)+1,1),IFERROR($AL61+1,0)))</f>
        <v>14</v>
      </c>
      <c r="AM62" s="46">
        <f>FormFields[[#This Row],[NO4]]</f>
        <v>14</v>
      </c>
      <c r="AN62" s="48">
        <f>[ID]</f>
        <v>60</v>
      </c>
      <c r="AO62" s="72"/>
      <c r="AP62" s="72"/>
      <c r="AQ62" s="72"/>
      <c r="AR62" s="72"/>
      <c r="AS62" s="72"/>
      <c r="AT62" s="46">
        <f>IF(OR(FormFields[[#This Row],[Colspan]]="",FormFields[[#This Row],[Colspan]]="colspan"),0,1)</f>
        <v>1</v>
      </c>
      <c r="AU62" s="46" t="str">
        <f>'Table Seed Map'!$A$18&amp;"-"&amp;SUM($AT$2:FormFields[[#This Row],[Exists FL]])</f>
        <v>Form Layout-32</v>
      </c>
      <c r="AV62" s="46">
        <f>IF(FormFields[[#This Row],[Exists FL]]=0,IF(FormFields[[#This Row],[Form Name]]="","id",""),SUM($AT$3:FormFields[[#This Row],[Exists FL]],IF(VLOOKUP('Table Seed Map'!$A$18,SeedMap[],9,0),VLOOKUP('Table Seed Map'!$A$18,SeedMap[],9,0),0)))</f>
        <v>32</v>
      </c>
      <c r="AW62" s="45">
        <f>FormFields[[#This Row],[NO8]]</f>
        <v>32</v>
      </c>
      <c r="AX62" s="46">
        <f>[Form]</f>
        <v>12</v>
      </c>
      <c r="AY62" s="46">
        <f>[ID]</f>
        <v>60</v>
      </c>
      <c r="AZ62" s="74">
        <v>6</v>
      </c>
    </row>
    <row r="63" spans="13:52">
      <c r="M63" s="49" t="str">
        <f>'Table Seed Map'!$A$11&amp;"-"&amp;(COUNTA($Q$1:FormFields[[#This Row],[ID]])-2)</f>
        <v>Form Fields-61</v>
      </c>
      <c r="N63" s="53" t="s">
        <v>1065</v>
      </c>
      <c r="O63" s="46">
        <f>IF(FormFields[[#This Row],[Form Name]]="","id",COUNTA($N$3:FormFields[[#This Row],[Form Name]])+IF(VLOOKUP('Table Seed Map'!$A$11,SeedMap[],9,0),VLOOKUP('Table Seed Map'!$A$11,SeedMap[],9,0),0))</f>
        <v>61</v>
      </c>
      <c r="P63" s="49" t="str">
        <f>FormFields[[#This Row],[Form Name]]&amp;"/"&amp;FormFields[[#This Row],[Name]]</f>
        <v>ResourceData/CreateDataForm/title_field</v>
      </c>
      <c r="Q63" s="45">
        <f>FormFields[[#This Row],[No]]</f>
        <v>61</v>
      </c>
      <c r="R63" s="85">
        <f>VLOOKUP(FormFields[[#This Row],[Form Name]],ResourceForms[[FormName]:[No]],2,0)</f>
        <v>12</v>
      </c>
      <c r="S63" s="56" t="s">
        <v>54</v>
      </c>
      <c r="T63" s="56" t="s">
        <v>231</v>
      </c>
      <c r="U63" s="56" t="s">
        <v>951</v>
      </c>
      <c r="V63" s="64"/>
      <c r="W63" s="64"/>
      <c r="X63" s="64"/>
      <c r="Y63" s="64"/>
      <c r="Z63" s="65" t="str">
        <f>'Table Seed Map'!$A$12&amp;"-"&amp;(COUNTIF($AB$2:FormFields[[#This Row],[Exists]],1)-1)</f>
        <v>Field Data-61</v>
      </c>
      <c r="AA63" s="60">
        <f>IF(FormFields[[#This Row],[Exists]]=1,IF(FormFields[[#This Row],[Exists]]="",$AA62,IF($AA62=0,IF(ISNUMBER(VLOOKUP('Table Seed Map'!$A$12,SeedMap[],9,0)),VLOOKUP('Table Seed Map'!$A$12,SeedMap[],9,0)+1,1),IFERROR($AA62+1,0))),$AA62)</f>
        <v>61</v>
      </c>
      <c r="AB63" s="63">
        <f>IF(AND(FormFields[[#This Row],[Attribute]]="",FormFields[[#This Row],[Relation]]=""),0,1)</f>
        <v>1</v>
      </c>
      <c r="AC63" s="63">
        <f>FormFields[[#This Row],[NO2]]</f>
        <v>61</v>
      </c>
      <c r="AD63" s="66">
        <f>[ID]</f>
        <v>61</v>
      </c>
      <c r="AE63" s="63" t="str">
        <f>[Name]</f>
        <v>title_field</v>
      </c>
      <c r="AF63" s="91" t="str">
        <f>IF(FormFields[[#This Row],[Rel]]="",IF(EXACT($AF62,FormFields[[#Headers],[Relation]]),"relation",""),VLOOKUP(FormFields[[#This Row],[Rel]],RelationTable[[Display]:[RELID]],2,0))</f>
        <v/>
      </c>
      <c r="AG63" s="90" t="str">
        <f>IF(FormFields[[#This Row],[Rel1]]="",IF(EXACT($AG62,FormFields[[#Headers],[R1]]),"nest_relation1",""),VLOOKUP(FormFields[[#This Row],[Rel1]],RelationTable[[Display]:[RELID]],2,0))</f>
        <v/>
      </c>
      <c r="AH63" s="91" t="str">
        <f>IF(FormFields[[#This Row],[Rel2]]="",IF(EXACT($AH62,FormFields[[#Headers],[R2]]),"nest_relation2",""),VLOOKUP(FormFields[[#This Row],[Rel2]],RelationTable[[Display]:[RELID]],2,0))</f>
        <v/>
      </c>
      <c r="AI63" s="91" t="str">
        <f>IF(FormFields[[#This Row],[Rel3]]="",IF(EXACT($AI62,FormFields[[#Headers],[R3]]),"nest_relation3",""),VLOOKUP(FormFields[[#This Row],[Rel3]],RelationTable[[Display]:[RELID]],2,0))</f>
        <v/>
      </c>
      <c r="AJ63" s="46">
        <f>IF(OR(FormFields[[#This Row],[Option Type]]="",FormFields[[#This Row],[Option Type]]="type"),0,1)</f>
        <v>0</v>
      </c>
      <c r="AK63" s="46" t="str">
        <f>'Table Seed Map'!$A$13&amp;"-"&amp;COUNTIF($AJ$2:FormFields[[#This Row],[Exists FO]],1)</f>
        <v>Field Options-14</v>
      </c>
      <c r="AL63" s="46">
        <f>IF(FormFields[[#This Row],[Exists FO]]=0,$AL62,IF($AL62=0,IF(ISNUMBER(VLOOKUP('Table Seed Map'!$A$13,SeedMap[],9,0)),VLOOKUP('Table Seed Map'!$A$13,SeedMap[],9,0)+1,1),IFERROR($AL62+1,0)))</f>
        <v>14</v>
      </c>
      <c r="AM63" s="46">
        <f>FormFields[[#This Row],[NO4]]</f>
        <v>14</v>
      </c>
      <c r="AN63" s="48">
        <f>[ID]</f>
        <v>61</v>
      </c>
      <c r="AO63" s="72"/>
      <c r="AP63" s="72"/>
      <c r="AQ63" s="72"/>
      <c r="AR63" s="72"/>
      <c r="AS63" s="72"/>
      <c r="AT63" s="46">
        <f>IF(OR(FormFields[[#This Row],[Colspan]]="",FormFields[[#This Row],[Colspan]]="colspan"),0,1)</f>
        <v>1</v>
      </c>
      <c r="AU63" s="46" t="str">
        <f>'Table Seed Map'!$A$18&amp;"-"&amp;SUM($AT$2:FormFields[[#This Row],[Exists FL]])</f>
        <v>Form Layout-33</v>
      </c>
      <c r="AV63" s="46">
        <f>IF(FormFields[[#This Row],[Exists FL]]=0,IF(FormFields[[#This Row],[Form Name]]="","id",""),SUM($AT$3:FormFields[[#This Row],[Exists FL]],IF(VLOOKUP('Table Seed Map'!$A$18,SeedMap[],9,0),VLOOKUP('Table Seed Map'!$A$18,SeedMap[],9,0),0)))</f>
        <v>33</v>
      </c>
      <c r="AW63" s="45">
        <f>FormFields[[#This Row],[NO8]]</f>
        <v>33</v>
      </c>
      <c r="AX63" s="46">
        <f>[Form]</f>
        <v>12</v>
      </c>
      <c r="AY63" s="46">
        <f>[ID]</f>
        <v>61</v>
      </c>
      <c r="AZ63" s="74">
        <v>6</v>
      </c>
    </row>
    <row r="64" spans="13:52">
      <c r="M64" s="49" t="str">
        <f>'Table Seed Map'!$A$11&amp;"-"&amp;(COUNTA($Q$1:FormFields[[#This Row],[ID]])-2)</f>
        <v>Form Fields-62</v>
      </c>
      <c r="N64" s="53" t="s">
        <v>1065</v>
      </c>
      <c r="O64" s="46">
        <f>IF(FormFields[[#This Row],[Form Name]]="","id",COUNTA($N$3:FormFields[[#This Row],[Form Name]])+IF(VLOOKUP('Table Seed Map'!$A$11,SeedMap[],9,0),VLOOKUP('Table Seed Map'!$A$11,SeedMap[],9,0),0))</f>
        <v>62</v>
      </c>
      <c r="P64" s="49" t="str">
        <f>FormFields[[#This Row],[Form Name]]&amp;"/"&amp;FormFields[[#This Row],[Name]]</f>
        <v>ResourceData/CreateDataForm/description</v>
      </c>
      <c r="Q64" s="45">
        <f>FormFields[[#This Row],[No]]</f>
        <v>62</v>
      </c>
      <c r="R64" s="85">
        <f>VLOOKUP(FormFields[[#This Row],[Form Name]],ResourceForms[[FormName]:[No]],2,0)</f>
        <v>12</v>
      </c>
      <c r="S64" s="56" t="s">
        <v>28</v>
      </c>
      <c r="T64" s="56" t="s">
        <v>973</v>
      </c>
      <c r="U64" s="56" t="s">
        <v>242</v>
      </c>
      <c r="V64" s="64"/>
      <c r="W64" s="64"/>
      <c r="X64" s="64"/>
      <c r="Y64" s="64"/>
      <c r="Z64" s="65" t="str">
        <f>'Table Seed Map'!$A$12&amp;"-"&amp;(COUNTIF($AB$2:FormFields[[#This Row],[Exists]],1)-1)</f>
        <v>Field Data-62</v>
      </c>
      <c r="AA64" s="60">
        <f>IF(FormFields[[#This Row],[Exists]]=1,IF(FormFields[[#This Row],[Exists]]="",$AA63,IF($AA63=0,IF(ISNUMBER(VLOOKUP('Table Seed Map'!$A$12,SeedMap[],9,0)),VLOOKUP('Table Seed Map'!$A$12,SeedMap[],9,0)+1,1),IFERROR($AA63+1,0))),$AA63)</f>
        <v>62</v>
      </c>
      <c r="AB64" s="63">
        <f>IF(AND(FormFields[[#This Row],[Attribute]]="",FormFields[[#This Row],[Relation]]=""),0,1)</f>
        <v>1</v>
      </c>
      <c r="AC64" s="63">
        <f>FormFields[[#This Row],[NO2]]</f>
        <v>62</v>
      </c>
      <c r="AD64" s="66">
        <f>[ID]</f>
        <v>62</v>
      </c>
      <c r="AE64" s="63" t="str">
        <f>[Name]</f>
        <v>description</v>
      </c>
      <c r="AF64" s="91" t="str">
        <f>IF(FormFields[[#This Row],[Rel]]="",IF(EXACT($AF63,FormFields[[#Headers],[Relation]]),"relation",""),VLOOKUP(FormFields[[#This Row],[Rel]],RelationTable[[Display]:[RELID]],2,0))</f>
        <v/>
      </c>
      <c r="AG64" s="90" t="str">
        <f>IF(FormFields[[#This Row],[Rel1]]="",IF(EXACT($AG63,FormFields[[#Headers],[R1]]),"nest_relation1",""),VLOOKUP(FormFields[[#This Row],[Rel1]],RelationTable[[Display]:[RELID]],2,0))</f>
        <v/>
      </c>
      <c r="AH64" s="91" t="str">
        <f>IF(FormFields[[#This Row],[Rel2]]="",IF(EXACT($AH63,FormFields[[#Headers],[R2]]),"nest_relation2",""),VLOOKUP(FormFields[[#This Row],[Rel2]],RelationTable[[Display]:[RELID]],2,0))</f>
        <v/>
      </c>
      <c r="AI64" s="91" t="str">
        <f>IF(FormFields[[#This Row],[Rel3]]="",IF(EXACT($AI63,FormFields[[#Headers],[R3]]),"nest_relation3",""),VLOOKUP(FormFields[[#This Row],[Rel3]],RelationTable[[Display]:[RELID]],2,0))</f>
        <v/>
      </c>
      <c r="AJ64" s="46">
        <f>IF(OR(FormFields[[#This Row],[Option Type]]="",FormFields[[#This Row],[Option Type]]="type"),0,1)</f>
        <v>0</v>
      </c>
      <c r="AK64" s="46" t="str">
        <f>'Table Seed Map'!$A$13&amp;"-"&amp;COUNTIF($AJ$2:FormFields[[#This Row],[Exists FO]],1)</f>
        <v>Field Options-14</v>
      </c>
      <c r="AL64" s="46">
        <f>IF(FormFields[[#This Row],[Exists FO]]=0,$AL63,IF($AL63=0,IF(ISNUMBER(VLOOKUP('Table Seed Map'!$A$13,SeedMap[],9,0)),VLOOKUP('Table Seed Map'!$A$13,SeedMap[],9,0)+1,1),IFERROR($AL63+1,0)))</f>
        <v>14</v>
      </c>
      <c r="AM64" s="46">
        <f>FormFields[[#This Row],[NO4]]</f>
        <v>14</v>
      </c>
      <c r="AN64" s="48">
        <f>[ID]</f>
        <v>62</v>
      </c>
      <c r="AO64" s="72"/>
      <c r="AP64" s="72"/>
      <c r="AQ64" s="72"/>
      <c r="AR64" s="72"/>
      <c r="AS64" s="72"/>
      <c r="AT64" s="46">
        <f>IF(OR(FormFields[[#This Row],[Colspan]]="",FormFields[[#This Row],[Colspan]]="colspan"),0,1)</f>
        <v>1</v>
      </c>
      <c r="AU64" s="46" t="str">
        <f>'Table Seed Map'!$A$18&amp;"-"&amp;SUM($AT$2:FormFields[[#This Row],[Exists FL]])</f>
        <v>Form Layout-34</v>
      </c>
      <c r="AV64" s="46">
        <f>IF(FormFields[[#This Row],[Exists FL]]=0,IF(FormFields[[#This Row],[Form Name]]="","id",""),SUM($AT$3:FormFields[[#This Row],[Exists FL]],IF(VLOOKUP('Table Seed Map'!$A$18,SeedMap[],9,0),VLOOKUP('Table Seed Map'!$A$18,SeedMap[],9,0),0)))</f>
        <v>34</v>
      </c>
      <c r="AW64" s="45">
        <f>FormFields[[#This Row],[NO8]]</f>
        <v>34</v>
      </c>
      <c r="AX64" s="46">
        <f>[Form]</f>
        <v>12</v>
      </c>
      <c r="AY64" s="46">
        <f>[ID]</f>
        <v>62</v>
      </c>
      <c r="AZ64" s="74">
        <v>12</v>
      </c>
    </row>
    <row r="65" spans="13:52">
      <c r="M65" s="49" t="str">
        <f>'Table Seed Map'!$A$11&amp;"-"&amp;(COUNTA($Q$1:FormFields[[#This Row],[ID]])-2)</f>
        <v>Form Fields-63</v>
      </c>
      <c r="N65" s="53" t="s">
        <v>1066</v>
      </c>
      <c r="O65" s="46">
        <f>IF(FormFields[[#This Row],[Form Name]]="","id",COUNTA($N$3:FormFields[[#This Row],[Form Name]])+IF(VLOOKUP('Table Seed Map'!$A$11,SeedMap[],9,0),VLOOKUP('Table Seed Map'!$A$11,SeedMap[],9,0),0))</f>
        <v>63</v>
      </c>
      <c r="P65" s="49" t="str">
        <f>FormFields[[#This Row],[Form Name]]&amp;"/"&amp;FormFields[[#This Row],[Name]]</f>
        <v>ResourceData/AddDataForm/resource</v>
      </c>
      <c r="Q65" s="45">
        <f>FormFields[[#This Row],[No]]</f>
        <v>63</v>
      </c>
      <c r="R65" s="85">
        <f>VLOOKUP(FormFields[[#This Row],[Form Name]],ResourceForms[[FormName]:[No]],2,0)</f>
        <v>13</v>
      </c>
      <c r="S65" s="56" t="s">
        <v>23</v>
      </c>
      <c r="T65" s="56" t="s">
        <v>231</v>
      </c>
      <c r="U65" s="56" t="s">
        <v>204</v>
      </c>
      <c r="V65" s="64"/>
      <c r="W65" s="64"/>
      <c r="X65" s="64"/>
      <c r="Y65" s="64"/>
      <c r="Z65" s="65" t="str">
        <f>'Table Seed Map'!$A$12&amp;"-"&amp;(COUNTIF($AB$2:FormFields[[#This Row],[Exists]],1)-1)</f>
        <v>Field Data-63</v>
      </c>
      <c r="AA65" s="60">
        <f>IF(FormFields[[#This Row],[Exists]]=1,IF(FormFields[[#This Row],[Exists]]="",$AA64,IF($AA64=0,IF(ISNUMBER(VLOOKUP('Table Seed Map'!$A$12,SeedMap[],9,0)),VLOOKUP('Table Seed Map'!$A$12,SeedMap[],9,0)+1,1),IFERROR($AA64+1,0))),$AA64)</f>
        <v>63</v>
      </c>
      <c r="AB65" s="63">
        <f>IF(AND(FormFields[[#This Row],[Attribute]]="",FormFields[[#This Row],[Relation]]=""),0,1)</f>
        <v>1</v>
      </c>
      <c r="AC65" s="63">
        <f>FormFields[[#This Row],[NO2]]</f>
        <v>63</v>
      </c>
      <c r="AD65" s="66">
        <f>[ID]</f>
        <v>63</v>
      </c>
      <c r="AE65" s="63" t="str">
        <f>[Name]</f>
        <v>resource</v>
      </c>
      <c r="AF65" s="91" t="str">
        <f>IF(FormFields[[#This Row],[Rel]]="",IF(EXACT($AF64,FormFields[[#Headers],[Relation]]),"relation",""),VLOOKUP(FormFields[[#This Row],[Rel]],RelationTable[[Display]:[RELID]],2,0))</f>
        <v/>
      </c>
      <c r="AG65" s="90" t="str">
        <f>IF(FormFields[[#This Row],[Rel1]]="",IF(EXACT($AG64,FormFields[[#Headers],[R1]]),"nest_relation1",""),VLOOKUP(FormFields[[#This Row],[Rel1]],RelationTable[[Display]:[RELID]],2,0))</f>
        <v/>
      </c>
      <c r="AH65" s="91" t="str">
        <f>IF(FormFields[[#This Row],[Rel2]]="",IF(EXACT($AH64,FormFields[[#Headers],[R2]]),"nest_relation2",""),VLOOKUP(FormFields[[#This Row],[Rel2]],RelationTable[[Display]:[RELID]],2,0))</f>
        <v/>
      </c>
      <c r="AI65" s="91" t="str">
        <f>IF(FormFields[[#This Row],[Rel3]]="",IF(EXACT($AI64,FormFields[[#Headers],[R3]]),"nest_relation3",""),VLOOKUP(FormFields[[#This Row],[Rel3]],RelationTable[[Display]:[RELID]],2,0))</f>
        <v/>
      </c>
      <c r="AJ65" s="46">
        <f>IF(OR(FormFields[[#This Row],[Option Type]]="",FormFields[[#This Row],[Option Type]]="type"),0,1)</f>
        <v>0</v>
      </c>
      <c r="AK65" s="46" t="str">
        <f>'Table Seed Map'!$A$13&amp;"-"&amp;COUNTIF($AJ$2:FormFields[[#This Row],[Exists FO]],1)</f>
        <v>Field Options-14</v>
      </c>
      <c r="AL65" s="46">
        <f>IF(FormFields[[#This Row],[Exists FO]]=0,$AL64,IF($AL64=0,IF(ISNUMBER(VLOOKUP('Table Seed Map'!$A$13,SeedMap[],9,0)),VLOOKUP('Table Seed Map'!$A$13,SeedMap[],9,0)+1,1),IFERROR($AL64+1,0)))</f>
        <v>14</v>
      </c>
      <c r="AM65" s="46">
        <f>FormFields[[#This Row],[NO4]]</f>
        <v>14</v>
      </c>
      <c r="AN65" s="48">
        <f>[ID]</f>
        <v>63</v>
      </c>
      <c r="AO65" s="72"/>
      <c r="AP65" s="72"/>
      <c r="AQ65" s="72"/>
      <c r="AR65" s="72"/>
      <c r="AS65" s="72"/>
      <c r="AT65" s="46">
        <f>IF(OR(FormFields[[#This Row],[Colspan]]="",FormFields[[#This Row],[Colspan]]="colspan"),0,1)</f>
        <v>0</v>
      </c>
      <c r="AU65" s="46" t="str">
        <f>'Table Seed Map'!$A$18&amp;"-"&amp;SUM($AT$2:FormFields[[#This Row],[Exists FL]])</f>
        <v>Form Layout-34</v>
      </c>
      <c r="AV65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5" s="45" t="str">
        <f>FormFields[[#This Row],[NO8]]</f>
        <v/>
      </c>
      <c r="AX65" s="46">
        <f>[Form]</f>
        <v>13</v>
      </c>
      <c r="AY65" s="46">
        <f>[ID]</f>
        <v>63</v>
      </c>
      <c r="AZ65" s="74"/>
    </row>
    <row r="66" spans="13:52">
      <c r="M66" s="47" t="str">
        <f>'Table Seed Map'!$A$11&amp;"-"&amp;(COUNTA($Q$1:FormFields[[#This Row],[ID]])-2)</f>
        <v>Form Fields-64</v>
      </c>
      <c r="N66" s="53" t="s">
        <v>1066</v>
      </c>
      <c r="O66" s="45">
        <f>IF(FormFields[[#This Row],[Form Name]]="","id",COUNTA($N$3:FormFields[[#This Row],[Form Name]])+IF(VLOOKUP('Table Seed Map'!$A$11,SeedMap[],9,0),VLOOKUP('Table Seed Map'!$A$11,SeedMap[],9,0),0))</f>
        <v>64</v>
      </c>
      <c r="P66" s="47" t="str">
        <f>FormFields[[#This Row],[Form Name]]&amp;"/"&amp;FormFields[[#This Row],[Name]]</f>
        <v>ResourceData/AddDataForm/name</v>
      </c>
      <c r="Q66" s="45">
        <f>FormFields[[#This Row],[No]]</f>
        <v>64</v>
      </c>
      <c r="R66" s="52">
        <f>VLOOKUP(FormFields[[#This Row],[Form Name]],ResourceForms[[FormName]:[No]],2,0)</f>
        <v>13</v>
      </c>
      <c r="S66" s="56" t="s">
        <v>26</v>
      </c>
      <c r="T66" s="56" t="s">
        <v>231</v>
      </c>
      <c r="U66" s="56" t="s">
        <v>1</v>
      </c>
      <c r="V66" s="58"/>
      <c r="W66" s="58"/>
      <c r="X66" s="58"/>
      <c r="Y66" s="58"/>
      <c r="Z66" s="59" t="str">
        <f>'Table Seed Map'!$A$12&amp;"-"&amp;(COUNTIF($AB$2:FormFields[[#This Row],[Exists]],1)-1)</f>
        <v>Field Data-64</v>
      </c>
      <c r="AA66" s="60">
        <f>IF(FormFields[[#This Row],[Exists]]=1,IF(FormFields[[#This Row],[Exists]]="",$AA65,IF($AA65=0,IF(ISNUMBER(VLOOKUP('Table Seed Map'!$A$12,SeedMap[],9,0)),VLOOKUP('Table Seed Map'!$A$12,SeedMap[],9,0)+1,1),IFERROR($AA65+1,0))),$AA65)</f>
        <v>64</v>
      </c>
      <c r="AB66" s="60">
        <f>IF(AND(FormFields[[#This Row],[Attribute]]="",FormFields[[#This Row],[Relation]]=""),0,1)</f>
        <v>1</v>
      </c>
      <c r="AC66" s="60">
        <f>FormFields[[#This Row],[NO2]]</f>
        <v>64</v>
      </c>
      <c r="AD66" s="62">
        <f>[ID]</f>
        <v>64</v>
      </c>
      <c r="AE66" s="60" t="str">
        <f>[Name]</f>
        <v>name</v>
      </c>
      <c r="AF66" s="91" t="str">
        <f>IF(FormFields[[#This Row],[Rel]]="",IF(EXACT($AF65,FormFields[[#Headers],[Relation]]),"relation",""),VLOOKUP(FormFields[[#This Row],[Rel]],RelationTable[[Display]:[RELID]],2,0))</f>
        <v/>
      </c>
      <c r="AG66" s="90" t="str">
        <f>IF(FormFields[[#This Row],[Rel1]]="",IF(EXACT($AG65,FormFields[[#Headers],[R1]]),"nest_relation1",""),VLOOKUP(FormFields[[#This Row],[Rel1]],RelationTable[[Display]:[RELID]],2,0))</f>
        <v/>
      </c>
      <c r="AH66" s="91" t="str">
        <f>IF(FormFields[[#This Row],[Rel2]]="",IF(EXACT($AH65,FormFields[[#Headers],[R2]]),"nest_relation2",""),VLOOKUP(FormFields[[#This Row],[Rel2]],RelationTable[[Display]:[RELID]],2,0))</f>
        <v/>
      </c>
      <c r="AI66" s="91" t="str">
        <f>IF(FormFields[[#This Row],[Rel3]]="",IF(EXACT($AI65,FormFields[[#Headers],[R3]]),"nest_relation3",""),VLOOKUP(FormFields[[#This Row],[Rel3]],RelationTable[[Display]:[RELID]],2,0))</f>
        <v/>
      </c>
      <c r="AJ66" s="45">
        <f>IF(OR(FormFields[[#This Row],[Option Type]]="",FormFields[[#This Row],[Option Type]]="type"),0,1)</f>
        <v>0</v>
      </c>
      <c r="AK66" s="45" t="str">
        <f>'Table Seed Map'!$A$13&amp;"-"&amp;COUNTIF($AJ$2:FormFields[[#This Row],[Exists FO]],1)</f>
        <v>Field Options-14</v>
      </c>
      <c r="AL66" s="46">
        <f>IF(FormFields[[#This Row],[Exists FO]]=0,$AL65,IF($AL65=0,IF(ISNUMBER(VLOOKUP('Table Seed Map'!$A$13,SeedMap[],9,0)),VLOOKUP('Table Seed Map'!$A$13,SeedMap[],9,0)+1,1),IFERROR($AL65+1,0)))</f>
        <v>14</v>
      </c>
      <c r="AM66" s="45">
        <f>FormFields[[#This Row],[NO4]]</f>
        <v>14</v>
      </c>
      <c r="AN66" s="38">
        <f>[ID]</f>
        <v>64</v>
      </c>
      <c r="AO66" s="71"/>
      <c r="AP66" s="71"/>
      <c r="AQ66" s="71"/>
      <c r="AR66" s="71"/>
      <c r="AS66" s="71"/>
      <c r="AT66" s="45">
        <f>IF(OR(FormFields[[#This Row],[Colspan]]="",FormFields[[#This Row],[Colspan]]="colspan"),0,1)</f>
        <v>0</v>
      </c>
      <c r="AU66" s="45" t="str">
        <f>'Table Seed Map'!$A$18&amp;"-"&amp;SUM($AT$2:FormFields[[#This Row],[Exists FL]])</f>
        <v>Form Layout-34</v>
      </c>
      <c r="AV66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6" s="45" t="str">
        <f>FormFields[[#This Row],[NO8]]</f>
        <v/>
      </c>
      <c r="AX66" s="45">
        <f>[Form]</f>
        <v>13</v>
      </c>
      <c r="AY66" s="45">
        <f>[ID]</f>
        <v>64</v>
      </c>
      <c r="AZ66" s="61"/>
    </row>
    <row r="67" spans="13:52">
      <c r="M67" s="47" t="str">
        <f>'Table Seed Map'!$A$11&amp;"-"&amp;(COUNTA($Q$1:FormFields[[#This Row],[ID]])-2)</f>
        <v>Form Fields-65</v>
      </c>
      <c r="N67" s="53" t="s">
        <v>1066</v>
      </c>
      <c r="O67" s="45">
        <f>IF(FormFields[[#This Row],[Form Name]]="","id",COUNTA($N$3:FormFields[[#This Row],[Form Name]])+IF(VLOOKUP('Table Seed Map'!$A$11,SeedMap[],9,0),VLOOKUP('Table Seed Map'!$A$11,SeedMap[],9,0),0))</f>
        <v>65</v>
      </c>
      <c r="P67" s="47" t="str">
        <f>FormFields[[#This Row],[Form Name]]&amp;"/"&amp;FormFields[[#This Row],[Name]]</f>
        <v>ResourceData/AddDataForm/title_field</v>
      </c>
      <c r="Q67" s="45">
        <f>FormFields[[#This Row],[No]]</f>
        <v>65</v>
      </c>
      <c r="R67" s="52">
        <f>VLOOKUP(FormFields[[#This Row],[Form Name]],ResourceForms[[FormName]:[No]],2,0)</f>
        <v>13</v>
      </c>
      <c r="S67" s="56" t="s">
        <v>54</v>
      </c>
      <c r="T67" s="56" t="s">
        <v>231</v>
      </c>
      <c r="U67" s="56" t="s">
        <v>951</v>
      </c>
      <c r="V67" s="58"/>
      <c r="W67" s="58"/>
      <c r="X67" s="58"/>
      <c r="Y67" s="58"/>
      <c r="Z67" s="59" t="str">
        <f>'Table Seed Map'!$A$12&amp;"-"&amp;(COUNTIF($AB$2:FormFields[[#This Row],[Exists]],1)-1)</f>
        <v>Field Data-65</v>
      </c>
      <c r="AA67" s="60">
        <f>IF(FormFields[[#This Row],[Exists]]=1,IF(FormFields[[#This Row],[Exists]]="",$AA66,IF($AA66=0,IF(ISNUMBER(VLOOKUP('Table Seed Map'!$A$12,SeedMap[],9,0)),VLOOKUP('Table Seed Map'!$A$12,SeedMap[],9,0)+1,1),IFERROR($AA66+1,0))),$AA66)</f>
        <v>65</v>
      </c>
      <c r="AB67" s="60">
        <f>IF(AND(FormFields[[#This Row],[Attribute]]="",FormFields[[#This Row],[Relation]]=""),0,1)</f>
        <v>1</v>
      </c>
      <c r="AC67" s="60">
        <f>FormFields[[#This Row],[NO2]]</f>
        <v>65</v>
      </c>
      <c r="AD67" s="62">
        <f>[ID]</f>
        <v>65</v>
      </c>
      <c r="AE67" s="60" t="str">
        <f>[Name]</f>
        <v>title_field</v>
      </c>
      <c r="AF67" s="91" t="str">
        <f>IF(FormFields[[#This Row],[Rel]]="",IF(EXACT($AF66,FormFields[[#Headers],[Relation]]),"relation",""),VLOOKUP(FormFields[[#This Row],[Rel]],RelationTable[[Display]:[RELID]],2,0))</f>
        <v/>
      </c>
      <c r="AG67" s="90" t="str">
        <f>IF(FormFields[[#This Row],[Rel1]]="",IF(EXACT($AG66,FormFields[[#Headers],[R1]]),"nest_relation1",""),VLOOKUP(FormFields[[#This Row],[Rel1]],RelationTable[[Display]:[RELID]],2,0))</f>
        <v/>
      </c>
      <c r="AH67" s="91" t="str">
        <f>IF(FormFields[[#This Row],[Rel2]]="",IF(EXACT($AH66,FormFields[[#Headers],[R2]]),"nest_relation2",""),VLOOKUP(FormFields[[#This Row],[Rel2]],RelationTable[[Display]:[RELID]],2,0))</f>
        <v/>
      </c>
      <c r="AI67" s="91" t="str">
        <f>IF(FormFields[[#This Row],[Rel3]]="",IF(EXACT($AI66,FormFields[[#Headers],[R3]]),"nest_relation3",""),VLOOKUP(FormFields[[#This Row],[Rel3]],RelationTable[[Display]:[RELID]],2,0))</f>
        <v/>
      </c>
      <c r="AJ67" s="45">
        <f>IF(OR(FormFields[[#This Row],[Option Type]]="",FormFields[[#This Row],[Option Type]]="type"),0,1)</f>
        <v>0</v>
      </c>
      <c r="AK67" s="45" t="str">
        <f>'Table Seed Map'!$A$13&amp;"-"&amp;COUNTIF($AJ$2:FormFields[[#This Row],[Exists FO]],1)</f>
        <v>Field Options-14</v>
      </c>
      <c r="AL67" s="46">
        <f>IF(FormFields[[#This Row],[Exists FO]]=0,$AL66,IF($AL66=0,IF(ISNUMBER(VLOOKUP('Table Seed Map'!$A$13,SeedMap[],9,0)),VLOOKUP('Table Seed Map'!$A$13,SeedMap[],9,0)+1,1),IFERROR($AL66+1,0)))</f>
        <v>14</v>
      </c>
      <c r="AM67" s="45">
        <f>FormFields[[#This Row],[NO4]]</f>
        <v>14</v>
      </c>
      <c r="AN67" s="38">
        <f>[ID]</f>
        <v>65</v>
      </c>
      <c r="AO67" s="71"/>
      <c r="AP67" s="71"/>
      <c r="AQ67" s="71"/>
      <c r="AR67" s="71"/>
      <c r="AS67" s="71"/>
      <c r="AT67" s="45">
        <f>IF(OR(FormFields[[#This Row],[Colspan]]="",FormFields[[#This Row],[Colspan]]="colspan"),0,1)</f>
        <v>0</v>
      </c>
      <c r="AU67" s="45" t="str">
        <f>'Table Seed Map'!$A$18&amp;"-"&amp;SUM($AT$2:FormFields[[#This Row],[Exists FL]])</f>
        <v>Form Layout-34</v>
      </c>
      <c r="AV67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7" s="45" t="str">
        <f>FormFields[[#This Row],[NO8]]</f>
        <v/>
      </c>
      <c r="AX67" s="45">
        <f>[Form]</f>
        <v>13</v>
      </c>
      <c r="AY67" s="45">
        <f>[ID]</f>
        <v>65</v>
      </c>
      <c r="AZ67" s="61"/>
    </row>
    <row r="68" spans="13:52">
      <c r="M68" s="47" t="str">
        <f>'Table Seed Map'!$A$11&amp;"-"&amp;(COUNTA($Q$1:FormFields[[#This Row],[ID]])-2)</f>
        <v>Form Fields-66</v>
      </c>
      <c r="N68" s="53" t="s">
        <v>1066</v>
      </c>
      <c r="O68" s="45">
        <f>IF(FormFields[[#This Row],[Form Name]]="","id",COUNTA($N$3:FormFields[[#This Row],[Form Name]])+IF(VLOOKUP('Table Seed Map'!$A$11,SeedMap[],9,0),VLOOKUP('Table Seed Map'!$A$11,SeedMap[],9,0),0))</f>
        <v>66</v>
      </c>
      <c r="P68" s="47" t="str">
        <f>FormFields[[#This Row],[Form Name]]&amp;"/"&amp;FormFields[[#This Row],[Name]]</f>
        <v>ResourceData/AddDataForm/description</v>
      </c>
      <c r="Q68" s="45">
        <f>FormFields[[#This Row],[No]]</f>
        <v>66</v>
      </c>
      <c r="R68" s="52">
        <f>VLOOKUP(FormFields[[#This Row],[Form Name]],ResourceForms[[FormName]:[No]],2,0)</f>
        <v>13</v>
      </c>
      <c r="S68" s="56" t="s">
        <v>28</v>
      </c>
      <c r="T68" s="56" t="s">
        <v>973</v>
      </c>
      <c r="U68" s="56" t="s">
        <v>242</v>
      </c>
      <c r="V68" s="58"/>
      <c r="W68" s="58"/>
      <c r="X68" s="58"/>
      <c r="Y68" s="58"/>
      <c r="Z68" s="59" t="str">
        <f>'Table Seed Map'!$A$12&amp;"-"&amp;(COUNTIF($AB$2:FormFields[[#This Row],[Exists]],1)-1)</f>
        <v>Field Data-66</v>
      </c>
      <c r="AA68" s="60">
        <f>IF(FormFields[[#This Row],[Exists]]=1,IF(FormFields[[#This Row],[Exists]]="",$AA67,IF($AA67=0,IF(ISNUMBER(VLOOKUP('Table Seed Map'!$A$12,SeedMap[],9,0)),VLOOKUP('Table Seed Map'!$A$12,SeedMap[],9,0)+1,1),IFERROR($AA67+1,0))),$AA67)</f>
        <v>66</v>
      </c>
      <c r="AB68" s="60">
        <f>IF(AND(FormFields[[#This Row],[Attribute]]="",FormFields[[#This Row],[Relation]]=""),0,1)</f>
        <v>1</v>
      </c>
      <c r="AC68" s="60">
        <f>FormFields[[#This Row],[NO2]]</f>
        <v>66</v>
      </c>
      <c r="AD68" s="62">
        <f>[ID]</f>
        <v>66</v>
      </c>
      <c r="AE68" s="60" t="str">
        <f>[Name]</f>
        <v>description</v>
      </c>
      <c r="AF68" s="91" t="str">
        <f>IF(FormFields[[#This Row],[Rel]]="",IF(EXACT($AF67,FormFields[[#Headers],[Relation]]),"relation",""),VLOOKUP(FormFields[[#This Row],[Rel]],RelationTable[[Display]:[RELID]],2,0))</f>
        <v/>
      </c>
      <c r="AG68" s="90" t="str">
        <f>IF(FormFields[[#This Row],[Rel1]]="",IF(EXACT($AG67,FormFields[[#Headers],[R1]]),"nest_relation1",""),VLOOKUP(FormFields[[#This Row],[Rel1]],RelationTable[[Display]:[RELID]],2,0))</f>
        <v/>
      </c>
      <c r="AH68" s="91" t="str">
        <f>IF(FormFields[[#This Row],[Rel2]]="",IF(EXACT($AH67,FormFields[[#Headers],[R2]]),"nest_relation2",""),VLOOKUP(FormFields[[#This Row],[Rel2]],RelationTable[[Display]:[RELID]],2,0))</f>
        <v/>
      </c>
      <c r="AI68" s="91" t="str">
        <f>IF(FormFields[[#This Row],[Rel3]]="",IF(EXACT($AI67,FormFields[[#Headers],[R3]]),"nest_relation3",""),VLOOKUP(FormFields[[#This Row],[Rel3]],RelationTable[[Display]:[RELID]],2,0))</f>
        <v/>
      </c>
      <c r="AJ68" s="45">
        <f>IF(OR(FormFields[[#This Row],[Option Type]]="",FormFields[[#This Row],[Option Type]]="type"),0,1)</f>
        <v>0</v>
      </c>
      <c r="AK68" s="45" t="str">
        <f>'Table Seed Map'!$A$13&amp;"-"&amp;COUNTIF($AJ$2:FormFields[[#This Row],[Exists FO]],1)</f>
        <v>Field Options-14</v>
      </c>
      <c r="AL68" s="46">
        <f>IF(FormFields[[#This Row],[Exists FO]]=0,$AL67,IF($AL67=0,IF(ISNUMBER(VLOOKUP('Table Seed Map'!$A$13,SeedMap[],9,0)),VLOOKUP('Table Seed Map'!$A$13,SeedMap[],9,0)+1,1),IFERROR($AL67+1,0)))</f>
        <v>14</v>
      </c>
      <c r="AM68" s="45">
        <f>FormFields[[#This Row],[NO4]]</f>
        <v>14</v>
      </c>
      <c r="AN68" s="38">
        <f>[ID]</f>
        <v>66</v>
      </c>
      <c r="AO68" s="71"/>
      <c r="AP68" s="71"/>
      <c r="AQ68" s="71"/>
      <c r="AR68" s="71"/>
      <c r="AS68" s="71"/>
      <c r="AT68" s="45">
        <f>IF(OR(FormFields[[#This Row],[Colspan]]="",FormFields[[#This Row],[Colspan]]="colspan"),0,1)</f>
        <v>0</v>
      </c>
      <c r="AU68" s="45" t="str">
        <f>'Table Seed Map'!$A$18&amp;"-"&amp;SUM($AT$2:FormFields[[#This Row],[Exists FL]])</f>
        <v>Form Layout-34</v>
      </c>
      <c r="AV68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8" s="45" t="str">
        <f>FormFields[[#This Row],[NO8]]</f>
        <v/>
      </c>
      <c r="AX68" s="45">
        <f>[Form]</f>
        <v>13</v>
      </c>
      <c r="AY68" s="45">
        <f>[ID]</f>
        <v>66</v>
      </c>
      <c r="AZ68" s="61"/>
    </row>
  </sheetData>
  <dataValidations count="10">
    <dataValidation type="list" allowBlank="1" showInputMessage="1" showErrorMessage="1" sqref="CQ2:CW2 BV2:BV4 V2:Y68">
      <formula1>Relations</formula1>
    </dataValidation>
    <dataValidation type="list" allowBlank="1" showInputMessage="1" showErrorMessage="1" sqref="CF2 BT2:BU4 N2:N68">
      <formula1>FormNames</formula1>
    </dataValidation>
    <dataValidation type="list" allowBlank="1" showInputMessage="1" showErrorMessage="1" sqref="BB2:BB6 BW2:BW4 BI2 CZ2:CZ11 DL2:DL3">
      <formula1>FieldDisplayNames</formula1>
    </dataValidation>
    <dataValidation type="list" allowBlank="1" showInputMessage="1" showErrorMessage="1" sqref="DJ2:DJ11">
      <formula1>"ignore_null,Yes,No"</formula1>
    </dataValidation>
    <dataValidation type="list" allowBlank="1" showInputMessage="1" showErrorMessage="1" sqref="DF2:DF11 DU2:DU3">
      <formula1>"operator,=,&lt;,&gt;,&lt;=,&gt;=,&lt;&gt;,In,NotIn,like"</formula1>
    </dataValidation>
    <dataValidation type="list" allowBlank="1" showInputMessage="1" showErrorMessage="1" sqref="DP2:DP3">
      <formula1>"type,disabled-enabled,enabled-disabled,hidden-visible,visible-hidden,readonly-editable,editable-readonly"</formula1>
    </dataValidation>
    <dataValidation type="list" allowBlank="1" showInputMessage="1" showErrorMessage="1" sqref="DR2:DR3">
      <formula1>"alter_on,not null,value,null"</formula1>
    </dataValidation>
    <dataValidation type="list" allowBlank="1" showInputMessage="1" showErrorMessage="1" sqref="AS3:AS10">
      <formula1>"Yes,No"</formula1>
    </dataValidation>
    <dataValidation type="list" allowBlank="1" showInputMessage="1" showErrorMessage="1" sqref="AO3:AO10">
      <formula1>"List,Enum,Foreign,Method"</formula1>
    </dataValidation>
    <dataValidation type="list" allowBlank="1" showInputMessage="1" showErrorMessage="1" sqref="D2:D15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Framework 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Helper-ResourceForm</vt:lpstr>
      <vt:lpstr>Migration Renamer</vt:lpstr>
      <vt:lpstr>Helper-ResourceAction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asasd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2018-12-28T11:34:32Z</dcterms:modified>
</cp:coreProperties>
</file>