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E8" i="9"/>
  <c r="AE7"/>
  <c r="AE3"/>
  <c r="AV23" i="28"/>
  <c r="AZ23"/>
  <c r="BA23"/>
  <c r="BB23"/>
  <c r="O60" i="9"/>
  <c r="Q60" s="1"/>
  <c r="P60"/>
  <c r="AE60"/>
  <c r="AJ60"/>
  <c r="AT60"/>
  <c r="AV60" s="1"/>
  <c r="AW60" s="1"/>
  <c r="O54"/>
  <c r="Q54" s="1"/>
  <c r="P54"/>
  <c r="AE54"/>
  <c r="AJ54"/>
  <c r="AT54"/>
  <c r="C61" i="3"/>
  <c r="D61"/>
  <c r="E61"/>
  <c r="K61" s="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DZ3" i="9"/>
  <c r="EA3"/>
  <c r="EG3"/>
  <c r="EH3"/>
  <c r="EI3"/>
  <c r="EJ3"/>
  <c r="EK3"/>
  <c r="EA2"/>
  <c r="EK2"/>
  <c r="EJ2"/>
  <c r="EI2"/>
  <c r="EH2"/>
  <c r="EG2"/>
  <c r="EF2"/>
  <c r="ED2"/>
  <c r="EC2"/>
  <c r="EB2"/>
  <c r="DN2"/>
  <c r="DN3"/>
  <c r="DZ2"/>
  <c r="H19" i="21"/>
  <c r="J19"/>
  <c r="C416" i="3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19" i="21"/>
  <c r="AF36" i="27"/>
  <c r="AJ36"/>
  <c r="B52"/>
  <c r="D52"/>
  <c r="M52" s="1"/>
  <c r="L52"/>
  <c r="Q52"/>
  <c r="R52"/>
  <c r="S52"/>
  <c r="AV97" i="28"/>
  <c r="AZ97"/>
  <c r="BA97"/>
  <c r="BB97"/>
  <c r="AV96"/>
  <c r="AZ96"/>
  <c r="BA96"/>
  <c r="BB96"/>
  <c r="AV95"/>
  <c r="BA95"/>
  <c r="BB95"/>
  <c r="A27"/>
  <c r="C27"/>
  <c r="D27"/>
  <c r="K27" s="1"/>
  <c r="DA14" i="9"/>
  <c r="DB14"/>
  <c r="AF35" i="27"/>
  <c r="AJ35"/>
  <c r="B51"/>
  <c r="D51"/>
  <c r="M51" s="1"/>
  <c r="L51"/>
  <c r="Q51"/>
  <c r="R51"/>
  <c r="S51"/>
  <c r="O80" i="9"/>
  <c r="Q80" s="1"/>
  <c r="P80"/>
  <c r="AE80"/>
  <c r="AJ80"/>
  <c r="AT80"/>
  <c r="O79"/>
  <c r="Q79" s="1"/>
  <c r="P79"/>
  <c r="AE79"/>
  <c r="AJ79"/>
  <c r="AT79"/>
  <c r="O78"/>
  <c r="Q78" s="1"/>
  <c r="P78"/>
  <c r="AE78"/>
  <c r="AJ78"/>
  <c r="AT78"/>
  <c r="O77"/>
  <c r="Q77" s="1"/>
  <c r="P77"/>
  <c r="AE77"/>
  <c r="AJ77"/>
  <c r="AT77"/>
  <c r="B18"/>
  <c r="DA12"/>
  <c r="DB12"/>
  <c r="DA7"/>
  <c r="DB7"/>
  <c r="AF34" i="27"/>
  <c r="AJ34"/>
  <c r="B50"/>
  <c r="D50"/>
  <c r="M50" s="1"/>
  <c r="L50"/>
  <c r="Q50"/>
  <c r="R50"/>
  <c r="S50"/>
  <c r="AF33"/>
  <c r="AJ33"/>
  <c r="B49"/>
  <c r="D49"/>
  <c r="M49" s="1"/>
  <c r="L49"/>
  <c r="Q49"/>
  <c r="R49"/>
  <c r="S49"/>
  <c r="AV94" i="28"/>
  <c r="AZ94"/>
  <c r="BA94"/>
  <c r="BB94"/>
  <c r="AV93"/>
  <c r="AZ93"/>
  <c r="BA93"/>
  <c r="BB93"/>
  <c r="A26"/>
  <c r="C26"/>
  <c r="D26"/>
  <c r="K26" s="1"/>
  <c r="B48" i="27"/>
  <c r="D48"/>
  <c r="M48" s="1"/>
  <c r="L48"/>
  <c r="P48"/>
  <c r="Q48"/>
  <c r="R48"/>
  <c r="S48"/>
  <c r="B47"/>
  <c r="D47"/>
  <c r="M47" s="1"/>
  <c r="L47"/>
  <c r="P47"/>
  <c r="Q47"/>
  <c r="R47"/>
  <c r="S47"/>
  <c r="BJ5" i="9"/>
  <c r="BJ6"/>
  <c r="O75"/>
  <c r="Q75" s="1"/>
  <c r="O76"/>
  <c r="Q76" s="1"/>
  <c r="P75"/>
  <c r="P76"/>
  <c r="AE75"/>
  <c r="AE76"/>
  <c r="AJ75"/>
  <c r="AJ76"/>
  <c r="AT75"/>
  <c r="AT76"/>
  <c r="O74"/>
  <c r="Q74" s="1"/>
  <c r="AN74" s="1"/>
  <c r="P74"/>
  <c r="AE74"/>
  <c r="AJ74"/>
  <c r="AT74"/>
  <c r="B17"/>
  <c r="AV92" i="28"/>
  <c r="BA92"/>
  <c r="BB92"/>
  <c r="B46" i="27"/>
  <c r="D46"/>
  <c r="M46" s="1"/>
  <c r="L46"/>
  <c r="P46"/>
  <c r="Q46"/>
  <c r="R46"/>
  <c r="S46"/>
  <c r="AV91" i="28"/>
  <c r="AZ91"/>
  <c r="BA91"/>
  <c r="BB91"/>
  <c r="AV90"/>
  <c r="AZ90"/>
  <c r="BA90"/>
  <c r="BB90"/>
  <c r="A25"/>
  <c r="C25"/>
  <c r="D25"/>
  <c r="K25" s="1"/>
  <c r="B45" i="27"/>
  <c r="D45"/>
  <c r="M45" s="1"/>
  <c r="L45"/>
  <c r="P45"/>
  <c r="Q45"/>
  <c r="R45"/>
  <c r="S45"/>
  <c r="BJ4" i="9"/>
  <c r="BJ3"/>
  <c r="O73"/>
  <c r="Q73" s="1"/>
  <c r="AN73" s="1"/>
  <c r="P73"/>
  <c r="AE73"/>
  <c r="AJ73"/>
  <c r="AT73"/>
  <c r="O72"/>
  <c r="Q72" s="1"/>
  <c r="P72"/>
  <c r="AE72"/>
  <c r="AJ72"/>
  <c r="AT72"/>
  <c r="O71"/>
  <c r="Q71" s="1"/>
  <c r="AN71" s="1"/>
  <c r="P71"/>
  <c r="AE71"/>
  <c r="AJ71"/>
  <c r="AT71"/>
  <c r="B16"/>
  <c r="A55" i="24"/>
  <c r="C55"/>
  <c r="A54"/>
  <c r="C54"/>
  <c r="A53"/>
  <c r="C53"/>
  <c r="M2" i="14"/>
  <c r="A52" i="24"/>
  <c r="C52"/>
  <c r="AF32" i="27"/>
  <c r="AJ32"/>
  <c r="B44"/>
  <c r="D44"/>
  <c r="M44" s="1"/>
  <c r="L44"/>
  <c r="Q44"/>
  <c r="R44"/>
  <c r="S44"/>
  <c r="DA13" i="9"/>
  <c r="DB13"/>
  <c r="AF31" i="27"/>
  <c r="AJ31"/>
  <c r="AF30"/>
  <c r="AJ30"/>
  <c r="AF29"/>
  <c r="AJ29"/>
  <c r="AF28"/>
  <c r="AJ28"/>
  <c r="AF27"/>
  <c r="AJ27"/>
  <c r="B41"/>
  <c r="B42"/>
  <c r="B43"/>
  <c r="D41"/>
  <c r="Y41" s="1"/>
  <c r="D42"/>
  <c r="Y42" s="1"/>
  <c r="D43"/>
  <c r="M43" s="1"/>
  <c r="L41"/>
  <c r="L42"/>
  <c r="L43"/>
  <c r="Q41"/>
  <c r="Q42"/>
  <c r="Q43"/>
  <c r="R41"/>
  <c r="R42"/>
  <c r="R43"/>
  <c r="S41"/>
  <c r="S42"/>
  <c r="S43"/>
  <c r="B40"/>
  <c r="D40"/>
  <c r="M40" s="1"/>
  <c r="L40"/>
  <c r="Q40"/>
  <c r="R40"/>
  <c r="S40"/>
  <c r="B39"/>
  <c r="D39"/>
  <c r="M39" s="1"/>
  <c r="L39"/>
  <c r="Q39"/>
  <c r="R39"/>
  <c r="S39"/>
  <c r="AV89" i="28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V67"/>
  <c r="AV66"/>
  <c r="AV65"/>
  <c r="A24"/>
  <c r="C24"/>
  <c r="D24"/>
  <c r="K24" s="1"/>
  <c r="A23"/>
  <c r="C23"/>
  <c r="D23"/>
  <c r="K23" s="1"/>
  <c r="A22"/>
  <c r="C22"/>
  <c r="D22"/>
  <c r="K22" s="1"/>
  <c r="A21"/>
  <c r="C21"/>
  <c r="D21"/>
  <c r="K21" s="1"/>
  <c r="A20"/>
  <c r="C20"/>
  <c r="D20"/>
  <c r="K20" s="1"/>
  <c r="AF26" i="27"/>
  <c r="AJ26"/>
  <c r="AF25"/>
  <c r="AJ25"/>
  <c r="B38"/>
  <c r="D38"/>
  <c r="M38" s="1"/>
  <c r="L38"/>
  <c r="Q38"/>
  <c r="R38"/>
  <c r="S38"/>
  <c r="B37"/>
  <c r="D37"/>
  <c r="Y37" s="1"/>
  <c r="L37"/>
  <c r="Q37"/>
  <c r="R37"/>
  <c r="S37"/>
  <c r="AF24"/>
  <c r="AJ24"/>
  <c r="A78" i="19"/>
  <c r="B78"/>
  <c r="C78"/>
  <c r="B36" i="27"/>
  <c r="D36"/>
  <c r="M36" s="1"/>
  <c r="L36"/>
  <c r="Q36"/>
  <c r="R36"/>
  <c r="S36"/>
  <c r="AV64" i="28"/>
  <c r="AV63"/>
  <c r="A19"/>
  <c r="C19"/>
  <c r="D19"/>
  <c r="K19" s="1"/>
  <c r="AF23" i="27"/>
  <c r="AJ23"/>
  <c r="B35"/>
  <c r="D35"/>
  <c r="M35" s="1"/>
  <c r="L35"/>
  <c r="Q35"/>
  <c r="R35"/>
  <c r="S35"/>
  <c r="AV14" i="28"/>
  <c r="AF22" i="27"/>
  <c r="AJ22"/>
  <c r="AF21"/>
  <c r="AJ21"/>
  <c r="AF20"/>
  <c r="AJ20"/>
  <c r="B34"/>
  <c r="D34"/>
  <c r="M34" s="1"/>
  <c r="L34"/>
  <c r="Q34"/>
  <c r="R34"/>
  <c r="S34"/>
  <c r="B33"/>
  <c r="D33"/>
  <c r="Y33" s="1"/>
  <c r="L33"/>
  <c r="Q33"/>
  <c r="R33"/>
  <c r="S33"/>
  <c r="B32"/>
  <c r="D32"/>
  <c r="Y32" s="1"/>
  <c r="L32"/>
  <c r="Q32"/>
  <c r="R32"/>
  <c r="S32"/>
  <c r="AV62" i="28"/>
  <c r="AV61"/>
  <c r="AV60"/>
  <c r="AV59"/>
  <c r="AV58"/>
  <c r="AV57"/>
  <c r="AV56"/>
  <c r="AV55"/>
  <c r="AV54"/>
  <c r="AV53"/>
  <c r="A18"/>
  <c r="C18"/>
  <c r="D18"/>
  <c r="K18" s="1"/>
  <c r="A17"/>
  <c r="C17"/>
  <c r="D17"/>
  <c r="K17" s="1"/>
  <c r="A16"/>
  <c r="C16"/>
  <c r="D16"/>
  <c r="K16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19" i="27"/>
  <c r="AJ19"/>
  <c r="AF18"/>
  <c r="AJ18"/>
  <c r="AF17"/>
  <c r="AJ17"/>
  <c r="AF16"/>
  <c r="AJ16"/>
  <c r="B31"/>
  <c r="D31"/>
  <c r="Y31" s="1"/>
  <c r="L31"/>
  <c r="Q31"/>
  <c r="R31"/>
  <c r="S31"/>
  <c r="B30"/>
  <c r="D30"/>
  <c r="M30" s="1"/>
  <c r="L30"/>
  <c r="Q30"/>
  <c r="R30"/>
  <c r="S30"/>
  <c r="B29"/>
  <c r="D29"/>
  <c r="M29" s="1"/>
  <c r="L29"/>
  <c r="Q29"/>
  <c r="R29"/>
  <c r="S29"/>
  <c r="B28"/>
  <c r="D28"/>
  <c r="M28" s="1"/>
  <c r="L28"/>
  <c r="Q28"/>
  <c r="R28"/>
  <c r="S28"/>
  <c r="AV52" i="28"/>
  <c r="AV51"/>
  <c r="C71" i="19"/>
  <c r="AV50" i="28"/>
  <c r="C69" i="19"/>
  <c r="AV49" i="28"/>
  <c r="AV48"/>
  <c r="AV47"/>
  <c r="AV46"/>
  <c r="AV45"/>
  <c r="AV44"/>
  <c r="AV43"/>
  <c r="AV42"/>
  <c r="AV41"/>
  <c r="C70" i="19"/>
  <c r="C68"/>
  <c r="C67"/>
  <c r="C66"/>
  <c r="C65"/>
  <c r="C64"/>
  <c r="C63"/>
  <c r="A15" i="28"/>
  <c r="C15"/>
  <c r="D15"/>
  <c r="K15" s="1"/>
  <c r="A14"/>
  <c r="C14"/>
  <c r="D14"/>
  <c r="K14" s="1"/>
  <c r="A13"/>
  <c r="C13"/>
  <c r="D13"/>
  <c r="K13" s="1"/>
  <c r="A12"/>
  <c r="C12"/>
  <c r="D12"/>
  <c r="K12" s="1"/>
  <c r="AF15" i="27"/>
  <c r="AJ15"/>
  <c r="B27"/>
  <c r="D27"/>
  <c r="M27" s="1"/>
  <c r="L27"/>
  <c r="Q27"/>
  <c r="R27"/>
  <c r="S27"/>
  <c r="AV33" i="28"/>
  <c r="AV2"/>
  <c r="AV3"/>
  <c r="AV4"/>
  <c r="AV5"/>
  <c r="AV6"/>
  <c r="AV7"/>
  <c r="AV8"/>
  <c r="AV9"/>
  <c r="AV10"/>
  <c r="AV11"/>
  <c r="AV12"/>
  <c r="AV13"/>
  <c r="AV15"/>
  <c r="AV16"/>
  <c r="AV17"/>
  <c r="AV18"/>
  <c r="AV19"/>
  <c r="AV20"/>
  <c r="AV21"/>
  <c r="AV22"/>
  <c r="AV24"/>
  <c r="AV25"/>
  <c r="AV26"/>
  <c r="AV27"/>
  <c r="AV28"/>
  <c r="AV29"/>
  <c r="AV30"/>
  <c r="AV31"/>
  <c r="AV32"/>
  <c r="AV34"/>
  <c r="AV35"/>
  <c r="AV36"/>
  <c r="AV37"/>
  <c r="AV38"/>
  <c r="AV39"/>
  <c r="AV40"/>
  <c r="A11"/>
  <c r="C11"/>
  <c r="D11"/>
  <c r="K11" s="1"/>
  <c r="C62" i="19"/>
  <c r="AF14" i="27"/>
  <c r="AJ14"/>
  <c r="B26"/>
  <c r="D26"/>
  <c r="M26" s="1"/>
  <c r="L26"/>
  <c r="Q26"/>
  <c r="R26"/>
  <c r="S26"/>
  <c r="C61" i="19"/>
  <c r="C60"/>
  <c r="A10" i="28"/>
  <c r="C10"/>
  <c r="D10"/>
  <c r="K10" s="1"/>
  <c r="AF13" i="27"/>
  <c r="AJ13"/>
  <c r="B25"/>
  <c r="D25"/>
  <c r="Y25" s="1"/>
  <c r="L25"/>
  <c r="Q25"/>
  <c r="R25"/>
  <c r="S25"/>
  <c r="A9" i="28"/>
  <c r="C9"/>
  <c r="D9"/>
  <c r="K9" s="1"/>
  <c r="AF12" i="27"/>
  <c r="AJ12"/>
  <c r="AF11"/>
  <c r="AJ11"/>
  <c r="AF10"/>
  <c r="AJ10"/>
  <c r="AF9"/>
  <c r="AJ9"/>
  <c r="B24"/>
  <c r="D24"/>
  <c r="M24" s="1"/>
  <c r="L24"/>
  <c r="Q24"/>
  <c r="R24"/>
  <c r="S24"/>
  <c r="B23"/>
  <c r="D23"/>
  <c r="M23" s="1"/>
  <c r="L23"/>
  <c r="Q23"/>
  <c r="R23"/>
  <c r="S23"/>
  <c r="B22"/>
  <c r="D22"/>
  <c r="M22" s="1"/>
  <c r="L22"/>
  <c r="Q22"/>
  <c r="R22"/>
  <c r="S22"/>
  <c r="B21"/>
  <c r="D21"/>
  <c r="Y21" s="1"/>
  <c r="L21"/>
  <c r="Q21"/>
  <c r="R21"/>
  <c r="S21"/>
  <c r="B19"/>
  <c r="D19"/>
  <c r="Y19" s="1"/>
  <c r="L19"/>
  <c r="P19"/>
  <c r="Q19"/>
  <c r="R19"/>
  <c r="S19"/>
  <c r="B16"/>
  <c r="D16"/>
  <c r="Y16" s="1"/>
  <c r="L16"/>
  <c r="P16"/>
  <c r="Q16"/>
  <c r="R16"/>
  <c r="S16"/>
  <c r="B13"/>
  <c r="D13"/>
  <c r="M13" s="1"/>
  <c r="L13"/>
  <c r="P13"/>
  <c r="Q13"/>
  <c r="R13"/>
  <c r="S13"/>
  <c r="B11"/>
  <c r="D11"/>
  <c r="Y11" s="1"/>
  <c r="L11"/>
  <c r="P11"/>
  <c r="Q11"/>
  <c r="R11"/>
  <c r="S11"/>
  <c r="C13" i="19"/>
  <c r="D2" i="28"/>
  <c r="D3"/>
  <c r="D4"/>
  <c r="D5"/>
  <c r="K5" s="1"/>
  <c r="D6"/>
  <c r="K6" s="1"/>
  <c r="D7"/>
  <c r="K7" s="1"/>
  <c r="D8"/>
  <c r="K8" s="1"/>
  <c r="A8"/>
  <c r="C8"/>
  <c r="A7"/>
  <c r="C7"/>
  <c r="A6"/>
  <c r="C6"/>
  <c r="A5"/>
  <c r="C5"/>
  <c r="DA11" i="9"/>
  <c r="DB11"/>
  <c r="DA10"/>
  <c r="DB10"/>
  <c r="DA9"/>
  <c r="DB9"/>
  <c r="DA8"/>
  <c r="DB8"/>
  <c r="DA6"/>
  <c r="DB6"/>
  <c r="DA5"/>
  <c r="DB5"/>
  <c r="DM2"/>
  <c r="DM3"/>
  <c r="DB2"/>
  <c r="DB3"/>
  <c r="DB4"/>
  <c r="DA2"/>
  <c r="DA3"/>
  <c r="DA4"/>
  <c r="L2" i="27"/>
  <c r="L3"/>
  <c r="L4"/>
  <c r="L5"/>
  <c r="L6"/>
  <c r="L7"/>
  <c r="L8"/>
  <c r="L9"/>
  <c r="L10"/>
  <c r="L12"/>
  <c r="L14"/>
  <c r="L15"/>
  <c r="L17"/>
  <c r="L18"/>
  <c r="L20"/>
  <c r="B9"/>
  <c r="B10"/>
  <c r="D9"/>
  <c r="Y9" s="1"/>
  <c r="D10"/>
  <c r="M10" s="1"/>
  <c r="P9"/>
  <c r="Q9"/>
  <c r="Q10"/>
  <c r="R9"/>
  <c r="R10"/>
  <c r="S9"/>
  <c r="S10"/>
  <c r="AF6"/>
  <c r="AJ6"/>
  <c r="AJ2"/>
  <c r="AJ3"/>
  <c r="AJ4"/>
  <c r="AJ5"/>
  <c r="AJ7"/>
  <c r="AJ8"/>
  <c r="AF2"/>
  <c r="AF3"/>
  <c r="AF4"/>
  <c r="AF5"/>
  <c r="AF7"/>
  <c r="AF8"/>
  <c r="D2"/>
  <c r="D3"/>
  <c r="D4"/>
  <c r="D5"/>
  <c r="D6"/>
  <c r="D7"/>
  <c r="D8"/>
  <c r="D12"/>
  <c r="D14"/>
  <c r="D15"/>
  <c r="D17"/>
  <c r="D18"/>
  <c r="M18" s="1"/>
  <c r="D20"/>
  <c r="M20" s="1"/>
  <c r="O27" i="9"/>
  <c r="Q27" s="1"/>
  <c r="O28"/>
  <c r="Q28" s="1"/>
  <c r="O29"/>
  <c r="Q29" s="1"/>
  <c r="O30"/>
  <c r="Q30" s="1"/>
  <c r="AN30" s="1"/>
  <c r="O31"/>
  <c r="Q31" s="1"/>
  <c r="O32"/>
  <c r="Q32" s="1"/>
  <c r="O33"/>
  <c r="Q33" s="1"/>
  <c r="O34"/>
  <c r="Q34" s="1"/>
  <c r="P27"/>
  <c r="P28"/>
  <c r="P29"/>
  <c r="P30"/>
  <c r="P31"/>
  <c r="P32"/>
  <c r="P33"/>
  <c r="P34"/>
  <c r="AE27"/>
  <c r="AE28"/>
  <c r="AE29"/>
  <c r="AE30"/>
  <c r="AE31"/>
  <c r="AE32"/>
  <c r="AE33"/>
  <c r="AE34"/>
  <c r="AJ27"/>
  <c r="AJ28"/>
  <c r="AJ29"/>
  <c r="AJ30"/>
  <c r="AJ31"/>
  <c r="AJ32"/>
  <c r="AJ33"/>
  <c r="AJ34"/>
  <c r="AT27"/>
  <c r="AV27" s="1"/>
  <c r="AW27" s="1"/>
  <c r="AT28"/>
  <c r="AV28" s="1"/>
  <c r="AW28" s="1"/>
  <c r="AT29"/>
  <c r="AV29" s="1"/>
  <c r="AW29" s="1"/>
  <c r="AT30"/>
  <c r="AV30" s="1"/>
  <c r="AW30" s="1"/>
  <c r="AT31"/>
  <c r="AV31" s="1"/>
  <c r="AW31" s="1"/>
  <c r="AT32"/>
  <c r="AV32" s="1"/>
  <c r="AW32" s="1"/>
  <c r="AT33"/>
  <c r="AV33" s="1"/>
  <c r="AW33" s="1"/>
  <c r="AT34"/>
  <c r="AV34" s="1"/>
  <c r="AW34" s="1"/>
  <c r="O19"/>
  <c r="Q19" s="1"/>
  <c r="O20"/>
  <c r="Q20" s="1"/>
  <c r="O21"/>
  <c r="Q21" s="1"/>
  <c r="O22"/>
  <c r="Q22" s="1"/>
  <c r="O23"/>
  <c r="Q23" s="1"/>
  <c r="AD23" s="1"/>
  <c r="O24"/>
  <c r="Q24" s="1"/>
  <c r="O25"/>
  <c r="Q25" s="1"/>
  <c r="O26"/>
  <c r="Q26" s="1"/>
  <c r="AD26" s="1"/>
  <c r="P19"/>
  <c r="P20"/>
  <c r="P21"/>
  <c r="P22"/>
  <c r="P23"/>
  <c r="P24"/>
  <c r="P25"/>
  <c r="P26"/>
  <c r="AE19"/>
  <c r="AE20"/>
  <c r="AE21"/>
  <c r="AE22"/>
  <c r="AE23"/>
  <c r="AE24"/>
  <c r="AE25"/>
  <c r="AE26"/>
  <c r="AJ19"/>
  <c r="AJ20"/>
  <c r="AJ21"/>
  <c r="AJ22"/>
  <c r="AJ23"/>
  <c r="AJ24"/>
  <c r="AJ25"/>
  <c r="AJ26"/>
  <c r="AT19"/>
  <c r="AT20"/>
  <c r="AT21"/>
  <c r="AT22"/>
  <c r="AT23"/>
  <c r="AT24"/>
  <c r="AT25"/>
  <c r="AT26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5"/>
  <c r="Q55" s="1"/>
  <c r="O56"/>
  <c r="Q56" s="1"/>
  <c r="O57"/>
  <c r="Q57" s="1"/>
  <c r="O58"/>
  <c r="Q58" s="1"/>
  <c r="O59"/>
  <c r="Q59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O69"/>
  <c r="Q69" s="1"/>
  <c r="O70"/>
  <c r="Q70" s="1"/>
  <c r="C2"/>
  <c r="B8"/>
  <c r="B7"/>
  <c r="B20" i="27"/>
  <c r="Q20"/>
  <c r="R20"/>
  <c r="S20"/>
  <c r="B18"/>
  <c r="P18"/>
  <c r="Q18"/>
  <c r="R18"/>
  <c r="S18"/>
  <c r="P68" i="9"/>
  <c r="P69"/>
  <c r="P70"/>
  <c r="AE68"/>
  <c r="AE69"/>
  <c r="AE70"/>
  <c r="AJ68"/>
  <c r="AJ69"/>
  <c r="AJ70"/>
  <c r="AT68"/>
  <c r="AV68" s="1"/>
  <c r="AW68" s="1"/>
  <c r="AT69"/>
  <c r="AV69" s="1"/>
  <c r="AW69" s="1"/>
  <c r="AT70"/>
  <c r="AV70" s="1"/>
  <c r="AW70" s="1"/>
  <c r="P67"/>
  <c r="AE67"/>
  <c r="AJ67"/>
  <c r="AT67"/>
  <c r="AV67" s="1"/>
  <c r="AW67" s="1"/>
  <c r="P66"/>
  <c r="AE66"/>
  <c r="AJ66"/>
  <c r="AT66"/>
  <c r="P65"/>
  <c r="AE65"/>
  <c r="AJ65"/>
  <c r="AT65"/>
  <c r="P64"/>
  <c r="AE64"/>
  <c r="AJ64"/>
  <c r="AT64"/>
  <c r="P63"/>
  <c r="AE63"/>
  <c r="AJ63"/>
  <c r="AT63"/>
  <c r="B15"/>
  <c r="B14"/>
  <c r="S2" i="27"/>
  <c r="S3"/>
  <c r="S4"/>
  <c r="S5"/>
  <c r="S6"/>
  <c r="S7"/>
  <c r="S8"/>
  <c r="S12"/>
  <c r="S14"/>
  <c r="S15"/>
  <c r="S17"/>
  <c r="R2"/>
  <c r="R3"/>
  <c r="R4"/>
  <c r="R5"/>
  <c r="R6"/>
  <c r="R7"/>
  <c r="R8"/>
  <c r="R12"/>
  <c r="R14"/>
  <c r="R15"/>
  <c r="R17"/>
  <c r="Q2"/>
  <c r="Q3"/>
  <c r="Q4"/>
  <c r="Q5"/>
  <c r="Q6"/>
  <c r="Q7"/>
  <c r="Q8"/>
  <c r="Q12"/>
  <c r="Q14"/>
  <c r="Q15"/>
  <c r="Q17"/>
  <c r="P2"/>
  <c r="P3"/>
  <c r="P4"/>
  <c r="P7"/>
  <c r="P8"/>
  <c r="P12"/>
  <c r="P15"/>
  <c r="O2"/>
  <c r="J2" i="31"/>
  <c r="J3" s="1"/>
  <c r="J4" s="1"/>
  <c r="AT23" i="28" l="1"/>
  <c r="M60" i="9"/>
  <c r="AD60"/>
  <c r="AN60"/>
  <c r="AY60"/>
  <c r="AN54"/>
  <c r="AD54"/>
  <c r="AY54"/>
  <c r="M54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49" i="27"/>
  <c r="AT97" i="28"/>
  <c r="Y48" i="27"/>
  <c r="Y45"/>
  <c r="Y52"/>
  <c r="Y50"/>
  <c r="AT96" i="28"/>
  <c r="AT95"/>
  <c r="Y51" i="27"/>
  <c r="AN80" i="9"/>
  <c r="AY80"/>
  <c r="AD80"/>
  <c r="M80"/>
  <c r="AN79"/>
  <c r="AD79"/>
  <c r="AY79"/>
  <c r="M79"/>
  <c r="AN78"/>
  <c r="AD78"/>
  <c r="AY78"/>
  <c r="M78"/>
  <c r="M77"/>
  <c r="AD77"/>
  <c r="AN77"/>
  <c r="AY77"/>
  <c r="AT94" i="28"/>
  <c r="AT93"/>
  <c r="AT92"/>
  <c r="Y47" i="27"/>
  <c r="M76" i="9"/>
  <c r="AD75"/>
  <c r="AN75"/>
  <c r="AY75"/>
  <c r="AN76"/>
  <c r="AD76"/>
  <c r="AY76"/>
  <c r="M75"/>
  <c r="M74"/>
  <c r="AY74"/>
  <c r="AD74"/>
  <c r="Y46" i="27"/>
  <c r="AT91" i="28"/>
  <c r="AT90"/>
  <c r="AD72" i="9"/>
  <c r="AN72"/>
  <c r="M73"/>
  <c r="M72"/>
  <c r="AY73"/>
  <c r="AD73"/>
  <c r="AY72"/>
  <c r="M71"/>
  <c r="AY71"/>
  <c r="AD71"/>
  <c r="Y44" i="27"/>
  <c r="D78" i="19"/>
  <c r="N78" s="1"/>
  <c r="Y43" i="27"/>
  <c r="M42"/>
  <c r="M41"/>
  <c r="Y40"/>
  <c r="Y39"/>
  <c r="AT89" i="28"/>
  <c r="AT88"/>
  <c r="AT87"/>
  <c r="AT86"/>
  <c r="AT85"/>
  <c r="AT84"/>
  <c r="AT83"/>
  <c r="AT82"/>
  <c r="AT80"/>
  <c r="AT81"/>
  <c r="AT79"/>
  <c r="AT78"/>
  <c r="AT77"/>
  <c r="AT76"/>
  <c r="AT75"/>
  <c r="AT74"/>
  <c r="AT73"/>
  <c r="AT72"/>
  <c r="AT71"/>
  <c r="AT70"/>
  <c r="AT69"/>
  <c r="AT68"/>
  <c r="AT67"/>
  <c r="AT66"/>
  <c r="AT65"/>
  <c r="Y38" i="27"/>
  <c r="M37"/>
  <c r="G78" i="19"/>
  <c r="D73"/>
  <c r="N73" s="1"/>
  <c r="Y36" i="27"/>
  <c r="AT64" i="28"/>
  <c r="AT63"/>
  <c r="Y35" i="27"/>
  <c r="Y34"/>
  <c r="AT14" i="28"/>
  <c r="M21" i="27"/>
  <c r="M33"/>
  <c r="Y30"/>
  <c r="M32"/>
  <c r="AT61" i="28"/>
  <c r="AT62"/>
  <c r="AT60"/>
  <c r="AT59"/>
  <c r="AT58"/>
  <c r="AT57"/>
  <c r="AT56"/>
  <c r="AT55"/>
  <c r="AT54"/>
  <c r="AT53"/>
  <c r="AT52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28" i="27"/>
  <c r="M31"/>
  <c r="Y26"/>
  <c r="Y29"/>
  <c r="AT51" i="28"/>
  <c r="AT50"/>
  <c r="AT49"/>
  <c r="D69" i="19"/>
  <c r="N69" s="1"/>
  <c r="G69"/>
  <c r="AT48" i="28"/>
  <c r="AT47"/>
  <c r="AT46"/>
  <c r="AT45"/>
  <c r="AT44"/>
  <c r="AT43"/>
  <c r="AT42"/>
  <c r="AT41"/>
  <c r="D65" i="19"/>
  <c r="N65" s="1"/>
  <c r="G65"/>
  <c r="G70"/>
  <c r="D68"/>
  <c r="N68" s="1"/>
  <c r="G68"/>
  <c r="D67"/>
  <c r="N67" s="1"/>
  <c r="G67"/>
  <c r="G66"/>
  <c r="D64"/>
  <c r="N64" s="1"/>
  <c r="D63"/>
  <c r="N63" s="1"/>
  <c r="Y22" i="27"/>
  <c r="Y23"/>
  <c r="AT33" i="28"/>
  <c r="Y27" i="27"/>
  <c r="G62" i="19"/>
  <c r="G61"/>
  <c r="D60"/>
  <c r="N60" s="1"/>
  <c r="M25" i="27"/>
  <c r="Y24"/>
  <c r="M19"/>
  <c r="M16"/>
  <c r="Y13"/>
  <c r="M11"/>
  <c r="H2" i="19"/>
  <c r="G2"/>
  <c r="G3"/>
  <c r="AD33" i="9"/>
  <c r="AN33"/>
  <c r="AD27"/>
  <c r="AY27"/>
  <c r="AD28"/>
  <c r="AY28"/>
  <c r="AN28"/>
  <c r="AN32"/>
  <c r="AD32"/>
  <c r="AY32"/>
  <c r="AY30"/>
  <c r="AY33"/>
  <c r="M9" i="27"/>
  <c r="Y10"/>
  <c r="AN29" i="9"/>
  <c r="AY29"/>
  <c r="AD29"/>
  <c r="AY31"/>
  <c r="AN31"/>
  <c r="AD31"/>
  <c r="AD30"/>
  <c r="AN27"/>
  <c r="AN34"/>
  <c r="AD34"/>
  <c r="AY34"/>
  <c r="M33"/>
  <c r="M32"/>
  <c r="M29"/>
  <c r="M31"/>
  <c r="M30"/>
  <c r="M34"/>
  <c r="M28"/>
  <c r="M27"/>
  <c r="AN26"/>
  <c r="AY26"/>
  <c r="AN23"/>
  <c r="AY23"/>
  <c r="AD22"/>
  <c r="AY22"/>
  <c r="AN22"/>
  <c r="AD20"/>
  <c r="AY20"/>
  <c r="AN20"/>
  <c r="AY19"/>
  <c r="AN19"/>
  <c r="M22"/>
  <c r="AN21"/>
  <c r="AY21"/>
  <c r="AD21"/>
  <c r="AD24"/>
  <c r="AN24"/>
  <c r="AY24"/>
  <c r="M24"/>
  <c r="AN25"/>
  <c r="AY25"/>
  <c r="AD25"/>
  <c r="M25"/>
  <c r="M26"/>
  <c r="M19"/>
  <c r="AD19"/>
  <c r="M20"/>
  <c r="M21"/>
  <c r="M23"/>
  <c r="Y20" i="27"/>
  <c r="Y18"/>
  <c r="J5" i="31"/>
  <c r="B17" i="27"/>
  <c r="B15"/>
  <c r="P58" i="9"/>
  <c r="P59"/>
  <c r="P61"/>
  <c r="P62"/>
  <c r="AE58"/>
  <c r="AE59"/>
  <c r="AE61"/>
  <c r="AE62"/>
  <c r="AJ58"/>
  <c r="AJ59"/>
  <c r="AJ61"/>
  <c r="AJ62"/>
  <c r="AT58"/>
  <c r="AV58" s="1"/>
  <c r="AW58" s="1"/>
  <c r="AT59"/>
  <c r="AV59" s="1"/>
  <c r="AW59" s="1"/>
  <c r="AT61"/>
  <c r="AV61" s="1"/>
  <c r="AW61" s="1"/>
  <c r="AT62"/>
  <c r="AV62" s="1"/>
  <c r="AW62" s="1"/>
  <c r="P57"/>
  <c r="AE57"/>
  <c r="AJ57"/>
  <c r="AT57"/>
  <c r="AV57" s="1"/>
  <c r="AW57" s="1"/>
  <c r="B13"/>
  <c r="P56"/>
  <c r="AE56"/>
  <c r="AJ56"/>
  <c r="AT56"/>
  <c r="P55"/>
  <c r="AE55"/>
  <c r="AJ55"/>
  <c r="AT55"/>
  <c r="P53"/>
  <c r="AE53"/>
  <c r="AJ53"/>
  <c r="AT53"/>
  <c r="P52"/>
  <c r="AE52"/>
  <c r="AJ52"/>
  <c r="AT52"/>
  <c r="P51"/>
  <c r="AE51"/>
  <c r="AJ51"/>
  <c r="AT51"/>
  <c r="B12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BS4"/>
  <c r="P50"/>
  <c r="AE50"/>
  <c r="AJ50"/>
  <c r="AT50"/>
  <c r="AV50" s="1"/>
  <c r="AW50" s="1"/>
  <c r="P49"/>
  <c r="AE49"/>
  <c r="AJ49"/>
  <c r="AT49"/>
  <c r="AV49" s="1"/>
  <c r="AW49" s="1"/>
  <c r="P48"/>
  <c r="AE48"/>
  <c r="AJ48"/>
  <c r="AT48"/>
  <c r="AV48" s="1"/>
  <c r="AW48" s="1"/>
  <c r="P47"/>
  <c r="AE47"/>
  <c r="AJ47"/>
  <c r="AT47"/>
  <c r="AV47" s="1"/>
  <c r="AW47" s="1"/>
  <c r="P46"/>
  <c r="AE46"/>
  <c r="AJ46"/>
  <c r="AT46"/>
  <c r="AV46" s="1"/>
  <c r="AW46" s="1"/>
  <c r="P45"/>
  <c r="AE45"/>
  <c r="AJ45"/>
  <c r="AT45"/>
  <c r="AV45" s="1"/>
  <c r="AW45" s="1"/>
  <c r="B11"/>
  <c r="P44"/>
  <c r="AE44"/>
  <c r="AJ44"/>
  <c r="AT44"/>
  <c r="AV44" s="1"/>
  <c r="AW44" s="1"/>
  <c r="P41"/>
  <c r="P42"/>
  <c r="P43"/>
  <c r="AE41"/>
  <c r="AE42"/>
  <c r="AE43"/>
  <c r="AJ41"/>
  <c r="AJ42"/>
  <c r="AJ43"/>
  <c r="AT41"/>
  <c r="AV41" s="1"/>
  <c r="AW41" s="1"/>
  <c r="AT42"/>
  <c r="AV42" s="1"/>
  <c r="AW42" s="1"/>
  <c r="AT43"/>
  <c r="AV43" s="1"/>
  <c r="AW43" s="1"/>
  <c r="P40"/>
  <c r="AE40"/>
  <c r="AJ40"/>
  <c r="AT40"/>
  <c r="AV40" s="1"/>
  <c r="AW40" s="1"/>
  <c r="B10"/>
  <c r="AL2" i="27"/>
  <c r="AH2"/>
  <c r="B14"/>
  <c r="B12"/>
  <c r="P39" i="9"/>
  <c r="AE39"/>
  <c r="AJ39"/>
  <c r="AT39"/>
  <c r="P38"/>
  <c r="AE38"/>
  <c r="AJ38"/>
  <c r="AT38"/>
  <c r="P37"/>
  <c r="AE37"/>
  <c r="AJ37"/>
  <c r="AT37"/>
  <c r="P36"/>
  <c r="AE36"/>
  <c r="AJ36"/>
  <c r="AT36"/>
  <c r="P35"/>
  <c r="AE35"/>
  <c r="AJ35"/>
  <c r="AT35"/>
  <c r="B9"/>
  <c r="B8" i="27"/>
  <c r="A4" i="28"/>
  <c r="C4"/>
  <c r="AW96" s="1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7" i="27"/>
  <c r="AB36" s="1"/>
  <c r="AK36" s="1"/>
  <c r="P18" i="9"/>
  <c r="AE18"/>
  <c r="AJ18"/>
  <c r="AT18"/>
  <c r="P17"/>
  <c r="AE17"/>
  <c r="AJ17"/>
  <c r="AT17"/>
  <c r="P16"/>
  <c r="AE16"/>
  <c r="AJ16"/>
  <c r="AT16"/>
  <c r="P15"/>
  <c r="AE15"/>
  <c r="AJ15"/>
  <c r="AT15"/>
  <c r="P14"/>
  <c r="AE14"/>
  <c r="AJ14"/>
  <c r="AT14"/>
  <c r="P13"/>
  <c r="AE13"/>
  <c r="AJ13"/>
  <c r="AT13"/>
  <c r="P12"/>
  <c r="AE12"/>
  <c r="AJ12"/>
  <c r="AT12"/>
  <c r="P11"/>
  <c r="AE11"/>
  <c r="AJ11"/>
  <c r="AT11"/>
  <c r="B6"/>
  <c r="AQ2" i="27"/>
  <c r="AP2"/>
  <c r="AO2"/>
  <c r="AS2" i="29"/>
  <c r="AR2"/>
  <c r="AP2"/>
  <c r="AH2"/>
  <c r="AG2" s="1"/>
  <c r="X2"/>
  <c r="Y2"/>
  <c r="U2"/>
  <c r="T2"/>
  <c r="D2"/>
  <c r="D3" s="1"/>
  <c r="J3" s="1"/>
  <c r="EC3" i="9" s="1"/>
  <c r="A2" i="29"/>
  <c r="A3"/>
  <c r="C3"/>
  <c r="AV2"/>
  <c r="C2"/>
  <c r="BB2" i="28"/>
  <c r="BA2"/>
  <c r="AZ2"/>
  <c r="AN2"/>
  <c r="AM2"/>
  <c r="AL2"/>
  <c r="AK2"/>
  <c r="AH2"/>
  <c r="Y2"/>
  <c r="Z2"/>
  <c r="U2"/>
  <c r="V2"/>
  <c r="R2" i="19"/>
  <c r="R3"/>
  <c r="R4"/>
  <c r="A2" i="28"/>
  <c r="A3"/>
  <c r="C2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4"/>
  <c r="B5"/>
  <c r="B6"/>
  <c r="K2"/>
  <c r="A2"/>
  <c r="M6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3"/>
  <c r="AV3" s="1"/>
  <c r="AW3" s="1"/>
  <c r="AT4"/>
  <c r="AT5"/>
  <c r="AT6"/>
  <c r="AT7"/>
  <c r="AV7" s="1"/>
  <c r="AW7" s="1"/>
  <c r="AT8"/>
  <c r="AT9"/>
  <c r="AV9" s="1"/>
  <c r="AW9" s="1"/>
  <c r="AT10"/>
  <c r="AV10" s="1"/>
  <c r="AW10" s="1"/>
  <c r="AJ2"/>
  <c r="AJ3"/>
  <c r="AL3" s="1"/>
  <c r="AJ4"/>
  <c r="AJ5"/>
  <c r="AJ6"/>
  <c r="AJ7"/>
  <c r="AJ8"/>
  <c r="AJ9"/>
  <c r="AJ10"/>
  <c r="AE5"/>
  <c r="AE10"/>
  <c r="P2"/>
  <c r="P3"/>
  <c r="P4"/>
  <c r="P5"/>
  <c r="P6"/>
  <c r="P7"/>
  <c r="P8"/>
  <c r="P9"/>
  <c r="P10"/>
  <c r="B2"/>
  <c r="B3"/>
  <c r="B4"/>
  <c r="B5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4" i="31"/>
  <c r="E3"/>
  <c r="AW23" i="28" l="1"/>
  <c r="AW95"/>
  <c r="AV54" i="9"/>
  <c r="AW54" s="1"/>
  <c r="AU54"/>
  <c r="AU60"/>
  <c r="AK60"/>
  <c r="AK54"/>
  <c r="ED3"/>
  <c r="AV77"/>
  <c r="AW77" s="1"/>
  <c r="DC14"/>
  <c r="AV79"/>
  <c r="AW79" s="1"/>
  <c r="AV80"/>
  <c r="AW80" s="1"/>
  <c r="AV78"/>
  <c r="AW78" s="1"/>
  <c r="AL30" i="27"/>
  <c r="AL15"/>
  <c r="AL13"/>
  <c r="AL28"/>
  <c r="AL18"/>
  <c r="AL31"/>
  <c r="AL23"/>
  <c r="AL24"/>
  <c r="AL16"/>
  <c r="AL8"/>
  <c r="AL33"/>
  <c r="AL22"/>
  <c r="AL11"/>
  <c r="AL34"/>
  <c r="AL25"/>
  <c r="AL20"/>
  <c r="AL9"/>
  <c r="AL35"/>
  <c r="AL12"/>
  <c r="AL6"/>
  <c r="AL36"/>
  <c r="AL29"/>
  <c r="AL19"/>
  <c r="AL32"/>
  <c r="AL26"/>
  <c r="AL21"/>
  <c r="AL14"/>
  <c r="AL10"/>
  <c r="AL27"/>
  <c r="AL17"/>
  <c r="AL7"/>
  <c r="AH36"/>
  <c r="N30" i="28"/>
  <c r="AC30" s="1"/>
  <c r="AL3" i="27"/>
  <c r="AW97" i="28"/>
  <c r="AL4" i="27"/>
  <c r="AL5"/>
  <c r="AG36"/>
  <c r="AB34"/>
  <c r="AK34" s="1"/>
  <c r="AB35"/>
  <c r="AH34"/>
  <c r="AH33"/>
  <c r="AH35"/>
  <c r="AK80" i="9"/>
  <c r="AU80"/>
  <c r="AK78"/>
  <c r="AK79"/>
  <c r="AU79"/>
  <c r="AU78"/>
  <c r="AU77"/>
  <c r="AK77"/>
  <c r="AV74"/>
  <c r="AW74" s="1"/>
  <c r="DC12"/>
  <c r="AV75"/>
  <c r="AW75" s="1"/>
  <c r="AV76"/>
  <c r="AW76" s="1"/>
  <c r="DC7"/>
  <c r="BL6"/>
  <c r="BL5"/>
  <c r="AV72"/>
  <c r="AW72" s="1"/>
  <c r="AB33" i="27"/>
  <c r="AW93" i="28"/>
  <c r="AW94"/>
  <c r="AW85"/>
  <c r="N29"/>
  <c r="AW90"/>
  <c r="AW92"/>
  <c r="AW91"/>
  <c r="AW77"/>
  <c r="AU76" i="9"/>
  <c r="AU75"/>
  <c r="AK76"/>
  <c r="AK75"/>
  <c r="BL4"/>
  <c r="AK74"/>
  <c r="AV71"/>
  <c r="AW71" s="1"/>
  <c r="AV73"/>
  <c r="AW73" s="1"/>
  <c r="AU74"/>
  <c r="BL3"/>
  <c r="AW87" i="28"/>
  <c r="AW89"/>
  <c r="AW83"/>
  <c r="AW74"/>
  <c r="AW70"/>
  <c r="AW76"/>
  <c r="AW71"/>
  <c r="AW73"/>
  <c r="AW67"/>
  <c r="AW79"/>
  <c r="AW81"/>
  <c r="AW75"/>
  <c r="AW66"/>
  <c r="AH28" i="27"/>
  <c r="AH30"/>
  <c r="AW78" i="28"/>
  <c r="AW84"/>
  <c r="AW86"/>
  <c r="AW80"/>
  <c r="AH32" i="27"/>
  <c r="AW68" i="28"/>
  <c r="AW72"/>
  <c r="AH27" i="27"/>
  <c r="AH29"/>
  <c r="AW88" i="28"/>
  <c r="AW69"/>
  <c r="AW82"/>
  <c r="AW65"/>
  <c r="AH31" i="27"/>
  <c r="BA88" i="28"/>
  <c r="BA86"/>
  <c r="BA84"/>
  <c r="BA82"/>
  <c r="BA80"/>
  <c r="BA78"/>
  <c r="BA76"/>
  <c r="BA74"/>
  <c r="BA72"/>
  <c r="BA70"/>
  <c r="BA68"/>
  <c r="BA66"/>
  <c r="BB83"/>
  <c r="BB77"/>
  <c r="BB73"/>
  <c r="BB69"/>
  <c r="BB65"/>
  <c r="BA85"/>
  <c r="BA79"/>
  <c r="BA73"/>
  <c r="BA67"/>
  <c r="AZ85"/>
  <c r="AZ81"/>
  <c r="AZ75"/>
  <c r="AZ69"/>
  <c r="BB86"/>
  <c r="BB78"/>
  <c r="BB72"/>
  <c r="BB66"/>
  <c r="AZ88"/>
  <c r="AZ86"/>
  <c r="AZ84"/>
  <c r="AZ82"/>
  <c r="AZ80"/>
  <c r="AZ78"/>
  <c r="AZ76"/>
  <c r="AZ74"/>
  <c r="AZ72"/>
  <c r="AZ70"/>
  <c r="AZ68"/>
  <c r="AZ66"/>
  <c r="BA89"/>
  <c r="BA83"/>
  <c r="BA77"/>
  <c r="BA71"/>
  <c r="BA65"/>
  <c r="AZ87"/>
  <c r="AZ79"/>
  <c r="AZ73"/>
  <c r="AZ67"/>
  <c r="BB88"/>
  <c r="BB82"/>
  <c r="BB76"/>
  <c r="BB70"/>
  <c r="BB89"/>
  <c r="BB87"/>
  <c r="BB85"/>
  <c r="BB81"/>
  <c r="BB79"/>
  <c r="BB75"/>
  <c r="BB71"/>
  <c r="BB67"/>
  <c r="BA87"/>
  <c r="BA81"/>
  <c r="BA75"/>
  <c r="BA69"/>
  <c r="AZ89"/>
  <c r="AZ83"/>
  <c r="AZ77"/>
  <c r="AZ71"/>
  <c r="AZ65"/>
  <c r="BB84"/>
  <c r="BB80"/>
  <c r="BB74"/>
  <c r="BB68"/>
  <c r="AA23"/>
  <c r="AU73" i="9"/>
  <c r="AK73"/>
  <c r="AU72"/>
  <c r="AK72"/>
  <c r="AU71"/>
  <c r="AK71"/>
  <c r="E2" i="28"/>
  <c r="AB32" i="27"/>
  <c r="DC13" i="9"/>
  <c r="AB28" i="27"/>
  <c r="AK28" s="1"/>
  <c r="AB31"/>
  <c r="AB30"/>
  <c r="AB27"/>
  <c r="AB29"/>
  <c r="DC6" i="9"/>
  <c r="DC11"/>
  <c r="DC8"/>
  <c r="DC10"/>
  <c r="DC5"/>
  <c r="DC9"/>
  <c r="AB26" i="27"/>
  <c r="AB25"/>
  <c r="AW64" i="28"/>
  <c r="AH26" i="27"/>
  <c r="AH24"/>
  <c r="AH25"/>
  <c r="AW63" i="28"/>
  <c r="AB24" i="27"/>
  <c r="AZ63" i="28"/>
  <c r="BA62"/>
  <c r="BA60"/>
  <c r="BA58"/>
  <c r="BA56"/>
  <c r="BA54"/>
  <c r="AA24"/>
  <c r="BB14"/>
  <c r="AZ62"/>
  <c r="AZ60"/>
  <c r="AZ58"/>
  <c r="AZ56"/>
  <c r="AZ54"/>
  <c r="AA25"/>
  <c r="BA61"/>
  <c r="BA57"/>
  <c r="BA53"/>
  <c r="BB54"/>
  <c r="BA14"/>
  <c r="AA27"/>
  <c r="BB64"/>
  <c r="BB61"/>
  <c r="BB59"/>
  <c r="BB57"/>
  <c r="BB55"/>
  <c r="BB53"/>
  <c r="BA64"/>
  <c r="BA59"/>
  <c r="BA55"/>
  <c r="AZ64"/>
  <c r="AZ59"/>
  <c r="AZ57"/>
  <c r="AZ55"/>
  <c r="AZ53"/>
  <c r="BB63"/>
  <c r="BA63"/>
  <c r="BB62"/>
  <c r="BB60"/>
  <c r="BB58"/>
  <c r="BB56"/>
  <c r="AA26"/>
  <c r="AA28"/>
  <c r="AB23" i="27"/>
  <c r="AH23"/>
  <c r="AB21"/>
  <c r="AB22"/>
  <c r="AB20"/>
  <c r="AW14" i="28"/>
  <c r="AH21" i="27"/>
  <c r="AW57" i="28"/>
  <c r="N28"/>
  <c r="AW61"/>
  <c r="AW62"/>
  <c r="AW54"/>
  <c r="N25"/>
  <c r="AW59"/>
  <c r="N26"/>
  <c r="AW58"/>
  <c r="N5"/>
  <c r="AH20" i="27"/>
  <c r="AW56" i="28"/>
  <c r="AW53"/>
  <c r="AH22" i="27"/>
  <c r="N23" i="28"/>
  <c r="AW55"/>
  <c r="AW60"/>
  <c r="N27"/>
  <c r="N24"/>
  <c r="AB17" i="27"/>
  <c r="AB18"/>
  <c r="AB16"/>
  <c r="AB19"/>
  <c r="AH16"/>
  <c r="N22" i="28"/>
  <c r="W22" s="1"/>
  <c r="U22" s="1"/>
  <c r="N18"/>
  <c r="W18" s="1"/>
  <c r="U18" s="1"/>
  <c r="N15"/>
  <c r="AB15" s="1"/>
  <c r="N20"/>
  <c r="AC20" s="1"/>
  <c r="AH17" i="27"/>
  <c r="AW44" i="28"/>
  <c r="AW51"/>
  <c r="AW46"/>
  <c r="AW42"/>
  <c r="N19"/>
  <c r="AB19" s="1"/>
  <c r="N16"/>
  <c r="W16" s="1"/>
  <c r="U16" s="1"/>
  <c r="AW49"/>
  <c r="AW41"/>
  <c r="AH18" i="27"/>
  <c r="N17" i="28"/>
  <c r="W17" s="1"/>
  <c r="U17" s="1"/>
  <c r="AW50"/>
  <c r="N21"/>
  <c r="W21" s="1"/>
  <c r="U21" s="1"/>
  <c r="AW48"/>
  <c r="AH19" i="27"/>
  <c r="AW45" i="28"/>
  <c r="N14"/>
  <c r="W14" s="1"/>
  <c r="U14" s="1"/>
  <c r="AW52"/>
  <c r="AW47"/>
  <c r="AW43"/>
  <c r="AZ52"/>
  <c r="BA51"/>
  <c r="BB51"/>
  <c r="AA22"/>
  <c r="AZ51"/>
  <c r="AA21"/>
  <c r="BB52"/>
  <c r="BA52"/>
  <c r="AB15" i="27"/>
  <c r="AG15" s="1"/>
  <c r="AB14"/>
  <c r="AG14" s="1"/>
  <c r="BB50" i="28"/>
  <c r="BA50"/>
  <c r="AZ50"/>
  <c r="AA20"/>
  <c r="AZ48"/>
  <c r="BA45"/>
  <c r="BB42"/>
  <c r="BB47"/>
  <c r="AZ45"/>
  <c r="BA42"/>
  <c r="BA47"/>
  <c r="BB44"/>
  <c r="AZ42"/>
  <c r="BB49"/>
  <c r="AZ47"/>
  <c r="BA44"/>
  <c r="BB41"/>
  <c r="BA49"/>
  <c r="BB46"/>
  <c r="AZ44"/>
  <c r="BA41"/>
  <c r="BA48"/>
  <c r="AZ43"/>
  <c r="AZ49"/>
  <c r="BA46"/>
  <c r="BB43"/>
  <c r="AZ41"/>
  <c r="BB48"/>
  <c r="AZ46"/>
  <c r="BA43"/>
  <c r="BB45"/>
  <c r="AA19"/>
  <c r="AA18"/>
  <c r="AA17"/>
  <c r="AA16"/>
  <c r="AA15"/>
  <c r="AA14"/>
  <c r="BA38"/>
  <c r="BB33"/>
  <c r="BA39"/>
  <c r="AA13"/>
  <c r="BB40"/>
  <c r="BA36"/>
  <c r="BA40"/>
  <c r="BB37"/>
  <c r="BA37"/>
  <c r="BB38"/>
  <c r="BB39"/>
  <c r="AZ39"/>
  <c r="BB36"/>
  <c r="AZ38"/>
  <c r="AZ40"/>
  <c r="AZ33"/>
  <c r="AH15" i="27"/>
  <c r="AW33" i="28"/>
  <c r="N13"/>
  <c r="AW38"/>
  <c r="N12"/>
  <c r="AW37"/>
  <c r="AW39"/>
  <c r="AW40"/>
  <c r="AW36"/>
  <c r="N11"/>
  <c r="N10"/>
  <c r="AD10" s="1"/>
  <c r="AW34"/>
  <c r="AH14" i="27"/>
  <c r="AW35" i="28"/>
  <c r="AB13" i="27"/>
  <c r="AA10" i="28"/>
  <c r="BA34"/>
  <c r="AZ31"/>
  <c r="BB29"/>
  <c r="BB24"/>
  <c r="BA20"/>
  <c r="AZ17"/>
  <c r="BB15"/>
  <c r="BB30"/>
  <c r="BA21"/>
  <c r="BB31"/>
  <c r="BB26"/>
  <c r="BA22"/>
  <c r="BB17"/>
  <c r="AZ34"/>
  <c r="BB32"/>
  <c r="BA29"/>
  <c r="BB27"/>
  <c r="BA24"/>
  <c r="BB18"/>
  <c r="BA15"/>
  <c r="AZ32"/>
  <c r="BB25"/>
  <c r="BA32"/>
  <c r="BA27"/>
  <c r="AZ24"/>
  <c r="BB21"/>
  <c r="BA18"/>
  <c r="AZ15"/>
  <c r="BB16"/>
  <c r="AZ35"/>
  <c r="AZ30"/>
  <c r="BA28"/>
  <c r="AZ25"/>
  <c r="BB22"/>
  <c r="BA19"/>
  <c r="BB34"/>
  <c r="BA31"/>
  <c r="BA26"/>
  <c r="AZ22"/>
  <c r="BB20"/>
  <c r="BA17"/>
  <c r="BB35"/>
  <c r="AZ27"/>
  <c r="AZ18"/>
  <c r="BA35"/>
  <c r="BA30"/>
  <c r="BB28"/>
  <c r="BA25"/>
  <c r="AZ21"/>
  <c r="BB19"/>
  <c r="BA16"/>
  <c r="AZ28"/>
  <c r="AZ19"/>
  <c r="AH13" i="27"/>
  <c r="AB11"/>
  <c r="AB9"/>
  <c r="AB12"/>
  <c r="AB10"/>
  <c r="AW10" i="28"/>
  <c r="AW11"/>
  <c r="AW9"/>
  <c r="AW29"/>
  <c r="AW31"/>
  <c r="AW32"/>
  <c r="AW30"/>
  <c r="N9"/>
  <c r="AW12"/>
  <c r="AH11" i="27"/>
  <c r="N6" i="28"/>
  <c r="AW18"/>
  <c r="N8"/>
  <c r="AW21"/>
  <c r="N7"/>
  <c r="AW27"/>
  <c r="AW25"/>
  <c r="AW20"/>
  <c r="AH10" i="27"/>
  <c r="AW28" i="28"/>
  <c r="AW26"/>
  <c r="AW24"/>
  <c r="AW19"/>
  <c r="AW15"/>
  <c r="N4"/>
  <c r="AW22"/>
  <c r="AH12" i="27"/>
  <c r="AW17" i="28"/>
  <c r="AH9" i="27"/>
  <c r="AW16" i="28"/>
  <c r="AW13"/>
  <c r="G4" i="19"/>
  <c r="BB12" i="28"/>
  <c r="BB10"/>
  <c r="BA12"/>
  <c r="BA10"/>
  <c r="AZ12"/>
  <c r="BB11"/>
  <c r="BB9"/>
  <c r="BB13"/>
  <c r="BA13"/>
  <c r="BA11"/>
  <c r="BA9"/>
  <c r="AZ13"/>
  <c r="AZ11"/>
  <c r="AZ9"/>
  <c r="AH7" i="27"/>
  <c r="DO3" i="9"/>
  <c r="DO2"/>
  <c r="AH6" i="27"/>
  <c r="AH8"/>
  <c r="AH5"/>
  <c r="DC2" i="9"/>
  <c r="DC4"/>
  <c r="DC3"/>
  <c r="AV4"/>
  <c r="AW4" s="1"/>
  <c r="AV5"/>
  <c r="AW5" s="1"/>
  <c r="AU7"/>
  <c r="AU4"/>
  <c r="AU6"/>
  <c r="AU5"/>
  <c r="AV2"/>
  <c r="AW2" s="1"/>
  <c r="AU3"/>
  <c r="AU2"/>
  <c r="AV6"/>
  <c r="AW6" s="1"/>
  <c r="AV14"/>
  <c r="AW14" s="1"/>
  <c r="AV22"/>
  <c r="AW22" s="1"/>
  <c r="AV38"/>
  <c r="AW38" s="1"/>
  <c r="AV55"/>
  <c r="AW55" s="1"/>
  <c r="AV64"/>
  <c r="AW64" s="1"/>
  <c r="AU15"/>
  <c r="AU23"/>
  <c r="AU31"/>
  <c r="AU39"/>
  <c r="AU47"/>
  <c r="AU56"/>
  <c r="AU65"/>
  <c r="AV35"/>
  <c r="AW35" s="1"/>
  <c r="AU20"/>
  <c r="AU36"/>
  <c r="AU62"/>
  <c r="AV26"/>
  <c r="AW26" s="1"/>
  <c r="AU51"/>
  <c r="AV23"/>
  <c r="AW23" s="1"/>
  <c r="AU24"/>
  <c r="AU66"/>
  <c r="AV13"/>
  <c r="AW13" s="1"/>
  <c r="AV21"/>
  <c r="AW21" s="1"/>
  <c r="AV37"/>
  <c r="AW37" s="1"/>
  <c r="AV53"/>
  <c r="AW53" s="1"/>
  <c r="AV63"/>
  <c r="AW63" s="1"/>
  <c r="AU14"/>
  <c r="AU22"/>
  <c r="AU30"/>
  <c r="AU38"/>
  <c r="AU46"/>
  <c r="AU55"/>
  <c r="AU64"/>
  <c r="AV19"/>
  <c r="AW19" s="1"/>
  <c r="AU12"/>
  <c r="AU28"/>
  <c r="AU44"/>
  <c r="AU70"/>
  <c r="AU11"/>
  <c r="AU19"/>
  <c r="AU27"/>
  <c r="AU43"/>
  <c r="AU61"/>
  <c r="AV39"/>
  <c r="AW39" s="1"/>
  <c r="AU40"/>
  <c r="AV12"/>
  <c r="AW12" s="1"/>
  <c r="AV20"/>
  <c r="AW20" s="1"/>
  <c r="AV36"/>
  <c r="AW36" s="1"/>
  <c r="AV52"/>
  <c r="AW52" s="1"/>
  <c r="AU13"/>
  <c r="AU21"/>
  <c r="AU29"/>
  <c r="AU37"/>
  <c r="AU45"/>
  <c r="AU53"/>
  <c r="AU63"/>
  <c r="AV11"/>
  <c r="AW11" s="1"/>
  <c r="AV51"/>
  <c r="AW51" s="1"/>
  <c r="AU52"/>
  <c r="AV18"/>
  <c r="AW18" s="1"/>
  <c r="AU35"/>
  <c r="AU69"/>
  <c r="AV65"/>
  <c r="AW65" s="1"/>
  <c r="AU48"/>
  <c r="AV17"/>
  <c r="AW17" s="1"/>
  <c r="AV25"/>
  <c r="AW25" s="1"/>
  <c r="AU10"/>
  <c r="AU18"/>
  <c r="AU26"/>
  <c r="AU34"/>
  <c r="AU42"/>
  <c r="AU50"/>
  <c r="AU59"/>
  <c r="AU68"/>
  <c r="AV8"/>
  <c r="AW8" s="1"/>
  <c r="AV16"/>
  <c r="AW16" s="1"/>
  <c r="AV24"/>
  <c r="AW24" s="1"/>
  <c r="AV66"/>
  <c r="AW66" s="1"/>
  <c r="AU9"/>
  <c r="AU17"/>
  <c r="AU25"/>
  <c r="AU33"/>
  <c r="AU41"/>
  <c r="AU49"/>
  <c r="AU58"/>
  <c r="AU67"/>
  <c r="AV15"/>
  <c r="AW15" s="1"/>
  <c r="AV56"/>
  <c r="AW56" s="1"/>
  <c r="AU8"/>
  <c r="AU16"/>
  <c r="AU32"/>
  <c r="AU57"/>
  <c r="AB8" i="27"/>
  <c r="AB6"/>
  <c r="AK33" i="9"/>
  <c r="AK29"/>
  <c r="AK32"/>
  <c r="AK30"/>
  <c r="AK31"/>
  <c r="AK28"/>
  <c r="AK27"/>
  <c r="AK34"/>
  <c r="AG19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H19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K24"/>
  <c r="AK23"/>
  <c r="AK22"/>
  <c r="AK21"/>
  <c r="AK25"/>
  <c r="AK20"/>
  <c r="AK19"/>
  <c r="AK26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K69"/>
  <c r="AK68"/>
  <c r="AK70"/>
  <c r="AK67"/>
  <c r="AK66"/>
  <c r="AK65"/>
  <c r="AK64"/>
  <c r="AK58"/>
  <c r="AK61"/>
  <c r="AK63"/>
  <c r="J6" i="31"/>
  <c r="AK59" i="9"/>
  <c r="AK62"/>
  <c r="AK57"/>
  <c r="AK56"/>
  <c r="AK55"/>
  <c r="AK53"/>
  <c r="AK52"/>
  <c r="AK51"/>
  <c r="AK50"/>
  <c r="AH4" i="27"/>
  <c r="AH3"/>
  <c r="AB2" i="9"/>
  <c r="AK49"/>
  <c r="AK48"/>
  <c r="AK47"/>
  <c r="AK45"/>
  <c r="AK46"/>
  <c r="AK44"/>
  <c r="AK43"/>
  <c r="AK41"/>
  <c r="AK42"/>
  <c r="AK40"/>
  <c r="AK38"/>
  <c r="AI2" i="27"/>
  <c r="AE2"/>
  <c r="Y6"/>
  <c r="Y2"/>
  <c r="Y3"/>
  <c r="Y4"/>
  <c r="Y5"/>
  <c r="BA8" i="28"/>
  <c r="AZ8"/>
  <c r="AZ6"/>
  <c r="AZ4"/>
  <c r="AA2"/>
  <c r="BB3"/>
  <c r="BB8"/>
  <c r="BB4"/>
  <c r="AZ7"/>
  <c r="BB5"/>
  <c r="BA7"/>
  <c r="AZ3"/>
  <c r="BB7"/>
  <c r="AD2"/>
  <c r="BA3"/>
  <c r="BA6"/>
  <c r="AC2"/>
  <c r="BA4"/>
  <c r="BB6"/>
  <c r="AB2"/>
  <c r="BA5"/>
  <c r="AK39" i="9"/>
  <c r="AK37"/>
  <c r="AK36"/>
  <c r="AK35"/>
  <c r="K2" i="28"/>
  <c r="K3"/>
  <c r="AW8"/>
  <c r="AW6"/>
  <c r="K4"/>
  <c r="AW7"/>
  <c r="J2" i="29"/>
  <c r="Y7" i="27"/>
  <c r="AK18" i="9"/>
  <c r="AK16"/>
  <c r="AK17"/>
  <c r="AK15"/>
  <c r="AK14"/>
  <c r="AK12"/>
  <c r="AK13"/>
  <c r="AK11"/>
  <c r="BY2"/>
  <c r="BZ2"/>
  <c r="M3" i="29"/>
  <c r="Y3" s="1"/>
  <c r="AI2"/>
  <c r="AE2"/>
  <c r="V2"/>
  <c r="Z2"/>
  <c r="AC2"/>
  <c r="AB2"/>
  <c r="AA2"/>
  <c r="AW5" i="28"/>
  <c r="F5" i="9"/>
  <c r="E2" i="29"/>
  <c r="E3"/>
  <c r="AW4" i="28"/>
  <c r="AW3"/>
  <c r="AT2"/>
  <c r="AW2"/>
  <c r="AF2"/>
  <c r="AI2"/>
  <c r="W2"/>
  <c r="N3"/>
  <c r="E3"/>
  <c r="CH2" i="9"/>
  <c r="T3" i="19"/>
  <c r="T4"/>
  <c r="AB4" i="27"/>
  <c r="AB3"/>
  <c r="M3"/>
  <c r="M5"/>
  <c r="M4"/>
  <c r="E4"/>
  <c r="E3"/>
  <c r="E5"/>
  <c r="E6"/>
  <c r="BE6" i="9"/>
  <c r="AL4"/>
  <c r="AL5" s="1"/>
  <c r="AL6" s="1"/>
  <c r="AL7" s="1"/>
  <c r="AL8" s="1"/>
  <c r="AL9" s="1"/>
  <c r="AL10" s="1"/>
  <c r="AL11" s="1"/>
  <c r="AM3"/>
  <c r="AK10"/>
  <c r="AK9"/>
  <c r="AK3"/>
  <c r="AK2"/>
  <c r="AK4"/>
  <c r="AK6"/>
  <c r="AK7"/>
  <c r="AK8"/>
  <c r="AK5"/>
  <c r="AB3"/>
  <c r="BE3"/>
  <c r="BE5"/>
  <c r="M2"/>
  <c r="F4"/>
  <c r="F3"/>
  <c r="D2" i="19"/>
  <c r="N2" s="1"/>
  <c r="D3" i="14"/>
  <c r="M3" s="1"/>
  <c r="C4"/>
  <c r="B4" i="25"/>
  <c r="E3"/>
  <c r="E2"/>
  <c r="AE9" i="9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4" i="9"/>
  <c r="AE6"/>
  <c r="AA2" l="1"/>
  <c r="AA3"/>
  <c r="AG55"/>
  <c r="AG56" s="1"/>
  <c r="AG57" s="1"/>
  <c r="AG58" s="1"/>
  <c r="AG59" s="1"/>
  <c r="AG54"/>
  <c r="AH55"/>
  <c r="AH56" s="1"/>
  <c r="AH57" s="1"/>
  <c r="AH58" s="1"/>
  <c r="AH59" s="1"/>
  <c r="AH54"/>
  <c r="AI55"/>
  <c r="AI56" s="1"/>
  <c r="AI57" s="1"/>
  <c r="AI58" s="1"/>
  <c r="AI59" s="1"/>
  <c r="AI54"/>
  <c r="AI32" i="27"/>
  <c r="AI33"/>
  <c r="AI5"/>
  <c r="AI35"/>
  <c r="AI26"/>
  <c r="AI3"/>
  <c r="AI11"/>
  <c r="AI8"/>
  <c r="AI12"/>
  <c r="AI18"/>
  <c r="AI22"/>
  <c r="AI25"/>
  <c r="AI27"/>
  <c r="AI34"/>
  <c r="AI10"/>
  <c r="AI19"/>
  <c r="AI21"/>
  <c r="AI36"/>
  <c r="W30" i="28"/>
  <c r="U30" s="1"/>
  <c r="AI13" i="27"/>
  <c r="AI16"/>
  <c r="AI4"/>
  <c r="AI15"/>
  <c r="AI31"/>
  <c r="AB30" i="28"/>
  <c r="AI9" i="27"/>
  <c r="AI20"/>
  <c r="AI23"/>
  <c r="AI14"/>
  <c r="AI17"/>
  <c r="AI24"/>
  <c r="AI30"/>
  <c r="AI7"/>
  <c r="AI29"/>
  <c r="Z30" i="28"/>
  <c r="AD30"/>
  <c r="AI6" i="27"/>
  <c r="AI28"/>
  <c r="V30" i="28"/>
  <c r="AE36" i="27"/>
  <c r="C5" i="14"/>
  <c r="E46" i="27"/>
  <c r="F16" i="9"/>
  <c r="E25" i="28"/>
  <c r="E49" i="27"/>
  <c r="E45"/>
  <c r="AK35"/>
  <c r="AG35"/>
  <c r="AG34"/>
  <c r="AE35"/>
  <c r="AE34"/>
  <c r="AE33"/>
  <c r="AK33"/>
  <c r="AG33"/>
  <c r="Z29" i="28"/>
  <c r="AB29"/>
  <c r="W29"/>
  <c r="U29" s="1"/>
  <c r="AC29"/>
  <c r="V29"/>
  <c r="AD29"/>
  <c r="H3" i="19"/>
  <c r="AE32" i="27"/>
  <c r="AK32"/>
  <c r="AG32"/>
  <c r="AG28"/>
  <c r="AK30"/>
  <c r="AG30"/>
  <c r="AK27"/>
  <c r="AG27"/>
  <c r="AK29"/>
  <c r="AG29"/>
  <c r="AK31"/>
  <c r="AG31"/>
  <c r="AE29"/>
  <c r="AE31"/>
  <c r="AE30"/>
  <c r="AE28"/>
  <c r="AE27"/>
  <c r="AK26"/>
  <c r="AG26"/>
  <c r="AK25"/>
  <c r="AG25"/>
  <c r="AE26"/>
  <c r="AE25"/>
  <c r="AK24"/>
  <c r="AG24"/>
  <c r="AE24"/>
  <c r="AK23"/>
  <c r="AG23"/>
  <c r="AE23"/>
  <c r="AK21"/>
  <c r="AG21"/>
  <c r="AK22"/>
  <c r="AG22"/>
  <c r="AK20"/>
  <c r="AG20"/>
  <c r="Z26" i="28"/>
  <c r="AD26"/>
  <c r="W26"/>
  <c r="U26" s="1"/>
  <c r="AC26"/>
  <c r="AB26"/>
  <c r="V26"/>
  <c r="Z27"/>
  <c r="AC27"/>
  <c r="AB27"/>
  <c r="AD27"/>
  <c r="W27"/>
  <c r="U27" s="1"/>
  <c r="V27"/>
  <c r="V5"/>
  <c r="AD5"/>
  <c r="W5"/>
  <c r="U5" s="1"/>
  <c r="AC5"/>
  <c r="AB5"/>
  <c r="Z5"/>
  <c r="Z28"/>
  <c r="AC28"/>
  <c r="V28"/>
  <c r="W28"/>
  <c r="U28" s="1"/>
  <c r="AD28"/>
  <c r="AB28"/>
  <c r="Z24"/>
  <c r="AD24"/>
  <c r="V24"/>
  <c r="W24"/>
  <c r="U24" s="1"/>
  <c r="AC24"/>
  <c r="AB24"/>
  <c r="Z25"/>
  <c r="AC25"/>
  <c r="AD25"/>
  <c r="V25"/>
  <c r="W25"/>
  <c r="U25" s="1"/>
  <c r="AB25"/>
  <c r="Z23"/>
  <c r="AC23"/>
  <c r="AB23"/>
  <c r="W23"/>
  <c r="U23" s="1"/>
  <c r="AD23"/>
  <c r="V23"/>
  <c r="AE21" i="27"/>
  <c r="AE22"/>
  <c r="AE20"/>
  <c r="AK18"/>
  <c r="AG18"/>
  <c r="AK19"/>
  <c r="AG19"/>
  <c r="AK16"/>
  <c r="AG16"/>
  <c r="AK17"/>
  <c r="AG17"/>
  <c r="AB17" i="28"/>
  <c r="AC19"/>
  <c r="AD17"/>
  <c r="AC17"/>
  <c r="AC14"/>
  <c r="AB14"/>
  <c r="AD14"/>
  <c r="AD20"/>
  <c r="AC16"/>
  <c r="AC15"/>
  <c r="AD15"/>
  <c r="AC22"/>
  <c r="V21"/>
  <c r="Z21"/>
  <c r="Z18"/>
  <c r="V18"/>
  <c r="Z20"/>
  <c r="V20"/>
  <c r="Z14"/>
  <c r="V14"/>
  <c r="AD22"/>
  <c r="AD16"/>
  <c r="AB20"/>
  <c r="V19"/>
  <c r="Z19"/>
  <c r="Z15"/>
  <c r="V15"/>
  <c r="AB22"/>
  <c r="AD18"/>
  <c r="AE19" i="27"/>
  <c r="AB18" i="28"/>
  <c r="W20"/>
  <c r="U20" s="1"/>
  <c r="W15"/>
  <c r="U15" s="1"/>
  <c r="AB21"/>
  <c r="Z22"/>
  <c r="V22"/>
  <c r="Z16"/>
  <c r="V16"/>
  <c r="Z17"/>
  <c r="V17"/>
  <c r="AD21"/>
  <c r="AB16"/>
  <c r="AD19"/>
  <c r="AC18"/>
  <c r="W19"/>
  <c r="U19" s="1"/>
  <c r="AC21"/>
  <c r="AE18" i="27"/>
  <c r="AE17"/>
  <c r="AE16"/>
  <c r="AK15"/>
  <c r="AK14"/>
  <c r="AE15"/>
  <c r="AC10" i="28"/>
  <c r="Z12"/>
  <c r="AB12"/>
  <c r="AC12"/>
  <c r="V12"/>
  <c r="AD12"/>
  <c r="W12"/>
  <c r="U12" s="1"/>
  <c r="Z13"/>
  <c r="W13"/>
  <c r="U13" s="1"/>
  <c r="V13"/>
  <c r="AC13"/>
  <c r="AB13"/>
  <c r="AD13"/>
  <c r="Z11"/>
  <c r="W11"/>
  <c r="U11" s="1"/>
  <c r="V11"/>
  <c r="AD11"/>
  <c r="AB11"/>
  <c r="AC11"/>
  <c r="Z10"/>
  <c r="V10"/>
  <c r="W10"/>
  <c r="U10" s="1"/>
  <c r="AE14" i="27"/>
  <c r="AK13"/>
  <c r="AG13"/>
  <c r="AE13"/>
  <c r="AK11"/>
  <c r="AG11"/>
  <c r="AK12"/>
  <c r="AG12"/>
  <c r="AK10"/>
  <c r="AG10"/>
  <c r="AK9"/>
  <c r="AG9"/>
  <c r="Z9" i="28"/>
  <c r="W9"/>
  <c r="U9" s="1"/>
  <c r="AD9"/>
  <c r="V9"/>
  <c r="AB9"/>
  <c r="AC9"/>
  <c r="Z8"/>
  <c r="AC8"/>
  <c r="AD8"/>
  <c r="AB8"/>
  <c r="W8"/>
  <c r="U8" s="1"/>
  <c r="V8"/>
  <c r="Z6"/>
  <c r="AD6"/>
  <c r="AC6"/>
  <c r="AB6"/>
  <c r="W6"/>
  <c r="U6" s="1"/>
  <c r="V6"/>
  <c r="AE11" i="27"/>
  <c r="Z7" i="28"/>
  <c r="W7"/>
  <c r="U7" s="1"/>
  <c r="AC7"/>
  <c r="V7"/>
  <c r="AD7"/>
  <c r="AB7"/>
  <c r="AE12" i="27"/>
  <c r="Z4" i="28"/>
  <c r="AD4"/>
  <c r="W4"/>
  <c r="U4" s="1"/>
  <c r="AC4"/>
  <c r="V4"/>
  <c r="AB4"/>
  <c r="AE10" i="27"/>
  <c r="AE9"/>
  <c r="X2" i="28"/>
  <c r="T2"/>
  <c r="G5" i="19"/>
  <c r="D3"/>
  <c r="EF3" i="9" s="1"/>
  <c r="AT7" i="28"/>
  <c r="AT6"/>
  <c r="AT9"/>
  <c r="AT3"/>
  <c r="AT8"/>
  <c r="AT5"/>
  <c r="AT4"/>
  <c r="AE6" i="27"/>
  <c r="AK8"/>
  <c r="AG8"/>
  <c r="AK6"/>
  <c r="AG6"/>
  <c r="AE8"/>
  <c r="C3" i="9"/>
  <c r="C5"/>
  <c r="C4"/>
  <c r="R8" s="1"/>
  <c r="J7" i="31"/>
  <c r="AE5" i="27"/>
  <c r="AE3"/>
  <c r="AE7"/>
  <c r="Z2" i="9"/>
  <c r="AE4" i="27"/>
  <c r="Z3" i="9"/>
  <c r="M7" i="27"/>
  <c r="Y8"/>
  <c r="M11" i="9"/>
  <c r="AM11"/>
  <c r="AL12"/>
  <c r="A3"/>
  <c r="U3" i="29"/>
  <c r="S2"/>
  <c r="W2"/>
  <c r="AB3"/>
  <c r="AC3"/>
  <c r="V3"/>
  <c r="T3" s="1"/>
  <c r="AA3"/>
  <c r="Z3" i="28"/>
  <c r="AD3"/>
  <c r="V3"/>
  <c r="AB3"/>
  <c r="AC3"/>
  <c r="W3"/>
  <c r="T3" s="1"/>
  <c r="BE4" i="9"/>
  <c r="AK3" i="27"/>
  <c r="AG3"/>
  <c r="AK4"/>
  <c r="AG4"/>
  <c r="K5"/>
  <c r="K6"/>
  <c r="K4"/>
  <c r="K3"/>
  <c r="A4"/>
  <c r="A3"/>
  <c r="A5"/>
  <c r="A6"/>
  <c r="AM4" i="9"/>
  <c r="AD3"/>
  <c r="M3"/>
  <c r="A5"/>
  <c r="A4"/>
  <c r="D4" i="14"/>
  <c r="AY3" i="9"/>
  <c r="AY4"/>
  <c r="AN3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8"/>
  <c r="J39"/>
  <c r="J40"/>
  <c r="J41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AG61" i="9" l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60"/>
  <c r="AH6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60"/>
  <c r="AI6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60"/>
  <c r="C6" i="14"/>
  <c r="E52" i="27"/>
  <c r="E48"/>
  <c r="E47"/>
  <c r="F17" i="9"/>
  <c r="E51" i="27"/>
  <c r="E50"/>
  <c r="E26" i="28"/>
  <c r="I12" i="1"/>
  <c r="D11" i="21"/>
  <c r="F21" i="1"/>
  <c r="I18"/>
  <c r="D15" i="21"/>
  <c r="I21" i="1"/>
  <c r="D22" i="21"/>
  <c r="I11" i="1"/>
  <c r="D10" i="21"/>
  <c r="D5" i="14"/>
  <c r="H6" i="19" s="1"/>
  <c r="M4" i="14"/>
  <c r="T30" i="28"/>
  <c r="T29"/>
  <c r="H5" i="19"/>
  <c r="H4"/>
  <c r="T5" i="28"/>
  <c r="T28"/>
  <c r="T27"/>
  <c r="T26"/>
  <c r="T25"/>
  <c r="T24"/>
  <c r="T23"/>
  <c r="Z3" i="29"/>
  <c r="X3" s="1"/>
  <c r="T22" i="28"/>
  <c r="T21"/>
  <c r="T20"/>
  <c r="T19"/>
  <c r="T18"/>
  <c r="T17"/>
  <c r="T16"/>
  <c r="T15"/>
  <c r="T14"/>
  <c r="T13"/>
  <c r="T12"/>
  <c r="T11"/>
  <c r="T10"/>
  <c r="T9"/>
  <c r="T8"/>
  <c r="T6"/>
  <c r="T7"/>
  <c r="T4"/>
  <c r="G6" i="19"/>
  <c r="AA3" i="28"/>
  <c r="N3" i="19"/>
  <c r="AZ5" i="28"/>
  <c r="AF9" i="9"/>
  <c r="AF10" s="1"/>
  <c r="AF11" s="1"/>
  <c r="AF4"/>
  <c r="AF5" s="1"/>
  <c r="AB5" s="1"/>
  <c r="D4" i="19"/>
  <c r="D5"/>
  <c r="AT10" i="28"/>
  <c r="AC3" i="9"/>
  <c r="R9"/>
  <c r="R7"/>
  <c r="E3"/>
  <c r="K3" s="1"/>
  <c r="R5"/>
  <c r="AX5" s="1"/>
  <c r="R4"/>
  <c r="AX4" s="1"/>
  <c r="R6"/>
  <c r="AX6" s="1"/>
  <c r="R3"/>
  <c r="AX3" s="1"/>
  <c r="E4"/>
  <c r="EB3" s="1"/>
  <c r="J8" i="31"/>
  <c r="M8" i="27"/>
  <c r="Y12"/>
  <c r="R10" i="9"/>
  <c r="AN11"/>
  <c r="AY11"/>
  <c r="AD11"/>
  <c r="AM12"/>
  <c r="AL13"/>
  <c r="S3" i="29"/>
  <c r="U3" i="28"/>
  <c r="AM5" i="9"/>
  <c r="E5"/>
  <c r="K5" s="1"/>
  <c r="M4"/>
  <c r="AN4"/>
  <c r="AD4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K4" i="9" l="1"/>
  <c r="E14" i="27"/>
  <c r="E7"/>
  <c r="E4" i="28"/>
  <c r="E21" i="27"/>
  <c r="E8"/>
  <c r="E22"/>
  <c r="C7" i="14"/>
  <c r="E23" i="27"/>
  <c r="E24"/>
  <c r="F6" i="9"/>
  <c r="D6" i="14"/>
  <c r="H8" i="19" s="1"/>
  <c r="M5" i="14"/>
  <c r="H7" i="19"/>
  <c r="N5"/>
  <c r="AA29" i="28"/>
  <c r="AZ92"/>
  <c r="W3" i="29"/>
  <c r="N4" i="19"/>
  <c r="X3" i="28"/>
  <c r="G7" i="19"/>
  <c r="AB4" i="9"/>
  <c r="AB9"/>
  <c r="AB10"/>
  <c r="Y3" i="28"/>
  <c r="AF6" i="9"/>
  <c r="AF7" s="1"/>
  <c r="AT11" i="28"/>
  <c r="AF12" i="9"/>
  <c r="AB11"/>
  <c r="J9" i="31"/>
  <c r="M12" i="27"/>
  <c r="AN12" i="9"/>
  <c r="AY12"/>
  <c r="AD12"/>
  <c r="M12"/>
  <c r="AM13"/>
  <c r="AL14"/>
  <c r="AM6"/>
  <c r="AY5"/>
  <c r="M5"/>
  <c r="D6" i="19"/>
  <c r="AX10" i="9"/>
  <c r="AN5"/>
  <c r="AD5"/>
  <c r="C395" i="3"/>
  <c r="D395"/>
  <c r="E395"/>
  <c r="F395"/>
  <c r="G395"/>
  <c r="H395"/>
  <c r="I395"/>
  <c r="J395"/>
  <c r="AA5" i="9" l="1"/>
  <c r="AC5" s="1"/>
  <c r="AA7"/>
  <c r="AA4"/>
  <c r="H47" i="19"/>
  <c r="M13"/>
  <c r="H29"/>
  <c r="A6" i="9"/>
  <c r="C6"/>
  <c r="A7" i="27"/>
  <c r="K8"/>
  <c r="A8"/>
  <c r="K7"/>
  <c r="M6" i="14"/>
  <c r="H24" i="19"/>
  <c r="H56"/>
  <c r="H16"/>
  <c r="H9"/>
  <c r="H57"/>
  <c r="C8" i="14"/>
  <c r="C9" s="1"/>
  <c r="C10" s="1"/>
  <c r="F18" i="9"/>
  <c r="E27" i="28"/>
  <c r="D7" i="14"/>
  <c r="Z4" i="9"/>
  <c r="N6" i="19"/>
  <c r="AT12" i="28"/>
  <c r="G8" i="19"/>
  <c r="Z5" i="9"/>
  <c r="AB6"/>
  <c r="Z6" s="1"/>
  <c r="AF13"/>
  <c r="AB12"/>
  <c r="AF8"/>
  <c r="AB8" s="1"/>
  <c r="AB7"/>
  <c r="J10" i="31"/>
  <c r="Y15" i="27"/>
  <c r="M15"/>
  <c r="M13" i="9"/>
  <c r="M14" i="27"/>
  <c r="Y14"/>
  <c r="AB5"/>
  <c r="AN13" i="9"/>
  <c r="AY13"/>
  <c r="AD13"/>
  <c r="AM14"/>
  <c r="AL15"/>
  <c r="AM7"/>
  <c r="M6"/>
  <c r="D7" i="19"/>
  <c r="AX7" i="9"/>
  <c r="AX9"/>
  <c r="AX8"/>
  <c r="AY6"/>
  <c r="AN6"/>
  <c r="AD6"/>
  <c r="K395" i="3"/>
  <c r="C394"/>
  <c r="D394"/>
  <c r="E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E387"/>
  <c r="E388"/>
  <c r="E389"/>
  <c r="E390"/>
  <c r="E391"/>
  <c r="E392"/>
  <c r="E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E386"/>
  <c r="F386"/>
  <c r="G386"/>
  <c r="H386"/>
  <c r="I386"/>
  <c r="J386"/>
  <c r="C385"/>
  <c r="D385"/>
  <c r="E385"/>
  <c r="F385"/>
  <c r="G385"/>
  <c r="H385"/>
  <c r="I385"/>
  <c r="J385"/>
  <c r="AA10" i="9" l="1"/>
  <c r="AA9"/>
  <c r="AA8"/>
  <c r="AA12"/>
  <c r="AA6"/>
  <c r="AA11"/>
  <c r="D8" i="14"/>
  <c r="M73" i="19" s="1"/>
  <c r="M7" i="14"/>
  <c r="H15" i="19"/>
  <c r="R17" i="9"/>
  <c r="AX17" s="1"/>
  <c r="R18"/>
  <c r="AX18" s="1"/>
  <c r="R11"/>
  <c r="AX11" s="1"/>
  <c r="E6"/>
  <c r="K6" s="1"/>
  <c r="R12"/>
  <c r="AX12" s="1"/>
  <c r="R15"/>
  <c r="AX15" s="1"/>
  <c r="R14"/>
  <c r="AX14" s="1"/>
  <c r="R16"/>
  <c r="AX16" s="1"/>
  <c r="R13"/>
  <c r="AX13" s="1"/>
  <c r="E6" i="28"/>
  <c r="E12" i="27"/>
  <c r="C11" i="14"/>
  <c r="E25" i="27"/>
  <c r="E27"/>
  <c r="F9" i="9"/>
  <c r="E13" i="27"/>
  <c r="E26"/>
  <c r="F10" i="9"/>
  <c r="N7" i="19"/>
  <c r="AT31" i="28"/>
  <c r="AT32"/>
  <c r="AT29"/>
  <c r="AT30"/>
  <c r="AT25"/>
  <c r="AT28"/>
  <c r="AT27"/>
  <c r="AT21"/>
  <c r="AT26"/>
  <c r="AT22"/>
  <c r="AT24"/>
  <c r="AT19"/>
  <c r="AT20"/>
  <c r="AT13"/>
  <c r="AT16"/>
  <c r="AT15"/>
  <c r="AT17"/>
  <c r="AT18"/>
  <c r="G9" i="19"/>
  <c r="AC4" i="9"/>
  <c r="AC6"/>
  <c r="Z7"/>
  <c r="Z10"/>
  <c r="AF14"/>
  <c r="AB13"/>
  <c r="Z11"/>
  <c r="Z9"/>
  <c r="Z12"/>
  <c r="Z8"/>
  <c r="J11" i="31"/>
  <c r="M17" i="27"/>
  <c r="Y17"/>
  <c r="AB7"/>
  <c r="AG5"/>
  <c r="AK5"/>
  <c r="AN14" i="9"/>
  <c r="AY14"/>
  <c r="AD14"/>
  <c r="M14"/>
  <c r="AM15"/>
  <c r="AL16"/>
  <c r="AM8"/>
  <c r="M7"/>
  <c r="D8" i="19"/>
  <c r="AY7" i="9"/>
  <c r="AN7"/>
  <c r="AD7"/>
  <c r="K394" i="3"/>
  <c r="K393"/>
  <c r="K392"/>
  <c r="K391"/>
  <c r="K390"/>
  <c r="K389"/>
  <c r="K388"/>
  <c r="K387"/>
  <c r="K386"/>
  <c r="K385"/>
  <c r="A2" i="26"/>
  <c r="AA13" i="9" l="1"/>
  <c r="D9" i="14"/>
  <c r="M8"/>
  <c r="E41" i="27"/>
  <c r="F11" i="9"/>
  <c r="E9" i="28"/>
  <c r="C12" i="14"/>
  <c r="E39" i="27"/>
  <c r="E43"/>
  <c r="E40"/>
  <c r="E42"/>
  <c r="D11" i="14"/>
  <c r="M71" i="19"/>
  <c r="M64"/>
  <c r="H34"/>
  <c r="H35"/>
  <c r="M69"/>
  <c r="M74"/>
  <c r="H39"/>
  <c r="M65"/>
  <c r="N8"/>
  <c r="AT39" i="28"/>
  <c r="AT40"/>
  <c r="AT37"/>
  <c r="AT38"/>
  <c r="AT36"/>
  <c r="AT34"/>
  <c r="AT35"/>
  <c r="G10" i="19"/>
  <c r="AC12" i="9"/>
  <c r="AF15"/>
  <c r="AB14"/>
  <c r="AA14" s="1"/>
  <c r="Z13"/>
  <c r="J12" i="31"/>
  <c r="AG7" i="27"/>
  <c r="AK7"/>
  <c r="M15" i="9"/>
  <c r="AD15"/>
  <c r="AN15"/>
  <c r="AY15"/>
  <c r="AM16"/>
  <c r="AL17"/>
  <c r="AM9"/>
  <c r="AM10"/>
  <c r="M8"/>
  <c r="D9" i="19"/>
  <c r="AN8" i="9"/>
  <c r="M9"/>
  <c r="AD8"/>
  <c r="AY8"/>
  <c r="A3" i="26"/>
  <c r="A4" s="1"/>
  <c r="A5" s="1"/>
  <c r="M67" i="19" l="1"/>
  <c r="M11" i="14"/>
  <c r="D10"/>
  <c r="H23" i="19" s="1"/>
  <c r="M9" i="14"/>
  <c r="C13"/>
  <c r="D12"/>
  <c r="M12" s="1"/>
  <c r="H40" i="19"/>
  <c r="M76"/>
  <c r="Z14" i="9"/>
  <c r="N9" i="19"/>
  <c r="G11"/>
  <c r="AC8" i="9"/>
  <c r="AC11"/>
  <c r="AC7"/>
  <c r="AF16"/>
  <c r="AB15"/>
  <c r="J13" i="31"/>
  <c r="M16" i="9"/>
  <c r="AY16"/>
  <c r="AN16"/>
  <c r="AD16"/>
  <c r="AM17"/>
  <c r="AL18"/>
  <c r="AL19" s="1"/>
  <c r="AC10"/>
  <c r="AC9"/>
  <c r="D10" i="19"/>
  <c r="AD9" i="9"/>
  <c r="AN9"/>
  <c r="AY9"/>
  <c r="A6" i="26"/>
  <c r="AA16" i="9" l="1"/>
  <c r="AA15"/>
  <c r="H58" i="19"/>
  <c r="M62"/>
  <c r="M61"/>
  <c r="H46"/>
  <c r="M60"/>
  <c r="H17"/>
  <c r="H20"/>
  <c r="H22"/>
  <c r="E20" i="28"/>
  <c r="C14" i="14"/>
  <c r="D13"/>
  <c r="M13" s="1"/>
  <c r="H51" i="19"/>
  <c r="H21"/>
  <c r="H19"/>
  <c r="M10" i="14"/>
  <c r="H25" i="19"/>
  <c r="H44"/>
  <c r="H18"/>
  <c r="AZ14" i="28"/>
  <c r="AA5"/>
  <c r="G12" i="19"/>
  <c r="AC13" i="9"/>
  <c r="Z15"/>
  <c r="AC14"/>
  <c r="AF34"/>
  <c r="AF35" s="1"/>
  <c r="N10" i="19"/>
  <c r="AF24" i="9"/>
  <c r="AB24" s="1"/>
  <c r="AF25"/>
  <c r="AB25" s="1"/>
  <c r="AF17"/>
  <c r="AB16"/>
  <c r="AF26"/>
  <c r="AF27" s="1"/>
  <c r="AB27" s="1"/>
  <c r="AL20"/>
  <c r="AM19"/>
  <c r="AD18"/>
  <c r="J14" i="31"/>
  <c r="AM18" i="9"/>
  <c r="AN17"/>
  <c r="AY17"/>
  <c r="AD17"/>
  <c r="M17"/>
  <c r="M10"/>
  <c r="AY10"/>
  <c r="D11" i="19"/>
  <c r="AN10" i="9"/>
  <c r="AD10"/>
  <c r="A7" i="26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38"/>
  <c r="D338"/>
  <c r="E338"/>
  <c r="F338"/>
  <c r="G338"/>
  <c r="H338"/>
  <c r="I338"/>
  <c r="J338"/>
  <c r="C37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6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C331"/>
  <c r="D331"/>
  <c r="E331"/>
  <c r="F331"/>
  <c r="G331"/>
  <c r="H331"/>
  <c r="I331"/>
  <c r="J331"/>
  <c r="C332"/>
  <c r="D332"/>
  <c r="E332"/>
  <c r="F332"/>
  <c r="G332"/>
  <c r="H332"/>
  <c r="I332"/>
  <c r="J332"/>
  <c r="C334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38" i="1"/>
  <c r="H38" s="1"/>
  <c r="C38"/>
  <c r="E38" s="1"/>
  <c r="D38"/>
  <c r="C310" i="3"/>
  <c r="D310"/>
  <c r="E310"/>
  <c r="F310"/>
  <c r="G310"/>
  <c r="H310"/>
  <c r="I310"/>
  <c r="J310"/>
  <c r="C305"/>
  <c r="D305"/>
  <c r="E305"/>
  <c r="F305"/>
  <c r="G305"/>
  <c r="H305"/>
  <c r="I305"/>
  <c r="J305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252"/>
  <c r="D252"/>
  <c r="E252"/>
  <c r="F252"/>
  <c r="G252"/>
  <c r="H252"/>
  <c r="I252"/>
  <c r="J252"/>
  <c r="C256"/>
  <c r="D256"/>
  <c r="E256"/>
  <c r="F256"/>
  <c r="G256"/>
  <c r="H256"/>
  <c r="I256"/>
  <c r="J256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E21" i="28" l="1"/>
  <c r="C15" i="14"/>
  <c r="D14"/>
  <c r="M14" s="1"/>
  <c r="N11" i="19"/>
  <c r="G14"/>
  <c r="G13"/>
  <c r="D13"/>
  <c r="AB26" i="9"/>
  <c r="AF28"/>
  <c r="AF29" s="1"/>
  <c r="AF18"/>
  <c r="AB17"/>
  <c r="AA17" s="1"/>
  <c r="AC15"/>
  <c r="AF36"/>
  <c r="AB35"/>
  <c r="Z16"/>
  <c r="AL21"/>
  <c r="AM20"/>
  <c r="M18"/>
  <c r="AN18"/>
  <c r="AY18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0" i="21" s="1"/>
  <c r="D43" i="1"/>
  <c r="D44"/>
  <c r="D45"/>
  <c r="H41" i="21"/>
  <c r="C221" i="3"/>
  <c r="D221"/>
  <c r="E221"/>
  <c r="F221"/>
  <c r="G221"/>
  <c r="H221"/>
  <c r="I221"/>
  <c r="J221"/>
  <c r="C211"/>
  <c r="D211"/>
  <c r="E211"/>
  <c r="F211"/>
  <c r="G211"/>
  <c r="H211"/>
  <c r="I211"/>
  <c r="J211"/>
  <c r="H3" i="21"/>
  <c r="H4"/>
  <c r="H5"/>
  <c r="H6"/>
  <c r="H7"/>
  <c r="H9"/>
  <c r="H23"/>
  <c r="H24"/>
  <c r="H25"/>
  <c r="H26"/>
  <c r="H27"/>
  <c r="H37"/>
  <c r="H38"/>
  <c r="H39"/>
  <c r="H40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T4" i="25"/>
  <c r="S4"/>
  <c r="B7"/>
  <c r="B6"/>
  <c r="S3"/>
  <c r="S2"/>
  <c r="S1"/>
  <c r="C16" i="14" l="1"/>
  <c r="E22" i="28"/>
  <c r="D15" i="14"/>
  <c r="M15" s="1"/>
  <c r="N12" i="19"/>
  <c r="N13"/>
  <c r="AZ10" i="28"/>
  <c r="AA4"/>
  <c r="G15" i="19"/>
  <c r="AB28" i="9"/>
  <c r="Z17"/>
  <c r="AC16"/>
  <c r="AF19"/>
  <c r="AB18"/>
  <c r="AF37"/>
  <c r="AB36"/>
  <c r="AF30"/>
  <c r="AB29"/>
  <c r="AL22"/>
  <c r="AM21"/>
  <c r="AD35"/>
  <c r="AY35"/>
  <c r="AN35"/>
  <c r="M35"/>
  <c r="J16" i="31"/>
  <c r="D14" i="19"/>
  <c r="C41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E245"/>
  <c r="E246"/>
  <c r="F245"/>
  <c r="F246"/>
  <c r="G245"/>
  <c r="G246"/>
  <c r="H245"/>
  <c r="H246"/>
  <c r="I245"/>
  <c r="I246"/>
  <c r="J245"/>
  <c r="J246"/>
  <c r="C37"/>
  <c r="D37"/>
  <c r="E37"/>
  <c r="F37"/>
  <c r="G37"/>
  <c r="H37"/>
  <c r="I37"/>
  <c r="J37"/>
  <c r="C63"/>
  <c r="D63"/>
  <c r="E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E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8"/>
  <c r="C26"/>
  <c r="C39"/>
  <c r="C27"/>
  <c r="C143" i="3"/>
  <c r="D143"/>
  <c r="E143"/>
  <c r="F143"/>
  <c r="G143"/>
  <c r="H143"/>
  <c r="I143"/>
  <c r="J143"/>
  <c r="C130"/>
  <c r="D130"/>
  <c r="E130"/>
  <c r="F130"/>
  <c r="G130"/>
  <c r="H130"/>
  <c r="I130"/>
  <c r="J130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5" i="1"/>
  <c r="E4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2"/>
  <c r="D142"/>
  <c r="E142"/>
  <c r="F142"/>
  <c r="G142"/>
  <c r="H142"/>
  <c r="I142"/>
  <c r="J142"/>
  <c r="C141"/>
  <c r="D141"/>
  <c r="E141"/>
  <c r="F141"/>
  <c r="G141"/>
  <c r="H141"/>
  <c r="I141"/>
  <c r="J141"/>
  <c r="C137"/>
  <c r="D137"/>
  <c r="E137"/>
  <c r="F137"/>
  <c r="G137"/>
  <c r="H137"/>
  <c r="I137"/>
  <c r="J137"/>
  <c r="C126"/>
  <c r="D126"/>
  <c r="E126"/>
  <c r="F126"/>
  <c r="G126"/>
  <c r="H126"/>
  <c r="I126"/>
  <c r="J126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3"/>
  <c r="D123"/>
  <c r="E123"/>
  <c r="F123"/>
  <c r="G123"/>
  <c r="H123"/>
  <c r="I123"/>
  <c r="J123"/>
  <c r="C125"/>
  <c r="D125"/>
  <c r="E125"/>
  <c r="F125"/>
  <c r="G125"/>
  <c r="H125"/>
  <c r="I125"/>
  <c r="J125"/>
  <c r="C124"/>
  <c r="D124"/>
  <c r="E124"/>
  <c r="F124"/>
  <c r="G124"/>
  <c r="H124"/>
  <c r="I124"/>
  <c r="J124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0"/>
  <c r="C81"/>
  <c r="D80"/>
  <c r="D81"/>
  <c r="E80"/>
  <c r="E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E75"/>
  <c r="E76"/>
  <c r="E77"/>
  <c r="E78"/>
  <c r="E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67"/>
  <c r="D67"/>
  <c r="E67"/>
  <c r="F67"/>
  <c r="G67"/>
  <c r="H67"/>
  <c r="I67"/>
  <c r="J67"/>
  <c r="C70"/>
  <c r="C71"/>
  <c r="C72"/>
  <c r="C73"/>
  <c r="C74"/>
  <c r="D70"/>
  <c r="D71"/>
  <c r="D72"/>
  <c r="D73"/>
  <c r="D74"/>
  <c r="E70"/>
  <c r="E71"/>
  <c r="E72"/>
  <c r="E73"/>
  <c r="E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E69"/>
  <c r="F69"/>
  <c r="G69"/>
  <c r="H69"/>
  <c r="I69"/>
  <c r="J69"/>
  <c r="C68"/>
  <c r="D68"/>
  <c r="E68"/>
  <c r="F68"/>
  <c r="G68"/>
  <c r="H68"/>
  <c r="I68"/>
  <c r="J68"/>
  <c r="C49"/>
  <c r="D49"/>
  <c r="E49"/>
  <c r="F49"/>
  <c r="G49"/>
  <c r="H49"/>
  <c r="I49"/>
  <c r="J49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2"/>
  <c r="D62"/>
  <c r="E62"/>
  <c r="F62"/>
  <c r="G62"/>
  <c r="H62"/>
  <c r="I62"/>
  <c r="J62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18" i="9" l="1"/>
  <c r="AA18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E23" i="28"/>
  <c r="C17" i="14"/>
  <c r="D16"/>
  <c r="M16" s="1"/>
  <c r="G29" i="1"/>
  <c r="D30" i="21"/>
  <c r="Y5" i="28"/>
  <c r="X5"/>
  <c r="N14" i="19"/>
  <c r="Y4" i="28"/>
  <c r="X4"/>
  <c r="G16" i="19"/>
  <c r="AF20" i="9"/>
  <c r="AB19"/>
  <c r="AA19" s="1"/>
  <c r="AF38"/>
  <c r="AB37"/>
  <c r="AC17"/>
  <c r="AF31"/>
  <c r="AB30"/>
  <c r="AM22"/>
  <c r="AL23"/>
  <c r="M36"/>
  <c r="AN36"/>
  <c r="AD36"/>
  <c r="AY36"/>
  <c r="M37"/>
  <c r="J17" i="31"/>
  <c r="D15" i="19"/>
  <c r="G41" i="1"/>
  <c r="G43"/>
  <c r="A10" i="26"/>
  <c r="G35" i="1"/>
  <c r="M4" i="19"/>
  <c r="H6" i="1"/>
  <c r="F42"/>
  <c r="G28"/>
  <c r="D40" i="21"/>
  <c r="G40" i="1"/>
  <c r="D41" i="21"/>
  <c r="G36" i="1"/>
  <c r="D24" i="21"/>
  <c r="D39"/>
  <c r="G22" i="1"/>
  <c r="G7"/>
  <c r="D6" i="21"/>
  <c r="G23" i="1"/>
  <c r="D9" i="21"/>
  <c r="G6" i="1"/>
  <c r="D5" i="21"/>
  <c r="D38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E24" i="28"/>
  <c r="C18" i="14"/>
  <c r="D17"/>
  <c r="M17" s="1"/>
  <c r="AZ95" i="28"/>
  <c r="AA30"/>
  <c r="N15" i="19"/>
  <c r="G17"/>
  <c r="AB20" i="9"/>
  <c r="AF21"/>
  <c r="AC19"/>
  <c r="AC18"/>
  <c r="Z19"/>
  <c r="AF39"/>
  <c r="AB38"/>
  <c r="AF32"/>
  <c r="AB31"/>
  <c r="AL24"/>
  <c r="AM23"/>
  <c r="AY37"/>
  <c r="AD37"/>
  <c r="AN37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A20" i="9" l="1"/>
  <c r="AC20" s="1"/>
  <c r="G9" i="26"/>
  <c r="H9" s="1"/>
  <c r="E10" i="28"/>
  <c r="C19" i="14"/>
  <c r="D18"/>
  <c r="M18" s="1"/>
  <c r="N16" i="19"/>
  <c r="G18"/>
  <c r="Z20" i="9"/>
  <c r="AB21"/>
  <c r="AF22"/>
  <c r="AF40"/>
  <c r="AB39"/>
  <c r="AF33"/>
  <c r="AB32"/>
  <c r="AL25"/>
  <c r="AM24"/>
  <c r="AD38"/>
  <c r="AN38"/>
  <c r="AY38"/>
  <c r="M38"/>
  <c r="J19" i="31"/>
  <c r="D17" i="19"/>
  <c r="F10" i="26"/>
  <c r="A12"/>
  <c r="AA21" i="9" l="1"/>
  <c r="AC21" s="1"/>
  <c r="G10" i="26"/>
  <c r="H10" s="1"/>
  <c r="C20" i="14"/>
  <c r="C21" s="1"/>
  <c r="C22" s="1"/>
  <c r="E11" i="28"/>
  <c r="D19" i="14"/>
  <c r="G19" i="19"/>
  <c r="AF41" i="9"/>
  <c r="AB40"/>
  <c r="Z21"/>
  <c r="AB22"/>
  <c r="AA37" s="1"/>
  <c r="AF23"/>
  <c r="AB23" s="1"/>
  <c r="CA4"/>
  <c r="N17" i="19"/>
  <c r="CA3" i="9"/>
  <c r="AB34"/>
  <c r="AB33"/>
  <c r="AM25"/>
  <c r="AL26"/>
  <c r="AL27" s="1"/>
  <c r="M39"/>
  <c r="M40"/>
  <c r="AN39"/>
  <c r="AY39"/>
  <c r="AD39"/>
  <c r="J20" i="31"/>
  <c r="D18" i="19"/>
  <c r="F11" i="26"/>
  <c r="A13"/>
  <c r="AA25" i="9" l="1"/>
  <c r="AA39"/>
  <c r="AA28"/>
  <c r="AA36"/>
  <c r="AA35"/>
  <c r="AA34"/>
  <c r="AA40"/>
  <c r="AA22"/>
  <c r="AC22" s="1"/>
  <c r="AA30"/>
  <c r="AA29"/>
  <c r="AA38"/>
  <c r="AA31"/>
  <c r="AA26"/>
  <c r="AA23"/>
  <c r="AA27"/>
  <c r="AA24"/>
  <c r="AA33"/>
  <c r="AA32"/>
  <c r="G11" i="26"/>
  <c r="H11" s="1"/>
  <c r="D20" i="14"/>
  <c r="M19"/>
  <c r="E16" i="27"/>
  <c r="E17"/>
  <c r="E30"/>
  <c r="E7" i="28"/>
  <c r="E15" i="27"/>
  <c r="E44"/>
  <c r="F12" i="9"/>
  <c r="C23" i="14"/>
  <c r="E28" i="27"/>
  <c r="E31"/>
  <c r="E29"/>
  <c r="F13" i="9"/>
  <c r="N18" i="19"/>
  <c r="G20"/>
  <c r="Z23" i="9"/>
  <c r="Z32"/>
  <c r="Z25"/>
  <c r="AF42"/>
  <c r="AB41"/>
  <c r="Z29"/>
  <c r="Z28"/>
  <c r="Z24"/>
  <c r="Z27"/>
  <c r="Z30"/>
  <c r="Z22"/>
  <c r="Z31"/>
  <c r="Z26"/>
  <c r="Z38"/>
  <c r="Z34"/>
  <c r="AL28"/>
  <c r="AM27"/>
  <c r="Z33"/>
  <c r="Z36"/>
  <c r="Z39"/>
  <c r="Z35"/>
  <c r="Z37"/>
  <c r="Z40"/>
  <c r="AM26"/>
  <c r="AD40"/>
  <c r="AY40"/>
  <c r="AN40"/>
  <c r="M41"/>
  <c r="J21" i="31"/>
  <c r="D19" i="19"/>
  <c r="M58"/>
  <c r="F12" i="26"/>
  <c r="A14"/>
  <c r="Z41" i="9" l="1"/>
  <c r="AA41"/>
  <c r="G12" i="26"/>
  <c r="H12" s="1"/>
  <c r="D21" i="14"/>
  <c r="M20"/>
  <c r="E12" i="28"/>
  <c r="C24" i="14"/>
  <c r="N19" i="19"/>
  <c r="G21"/>
  <c r="AF43" i="9"/>
  <c r="AB42"/>
  <c r="AA42" s="1"/>
  <c r="AL29"/>
  <c r="AM28"/>
  <c r="AY41"/>
  <c r="AD41"/>
  <c r="AN41"/>
  <c r="J22" i="31"/>
  <c r="D20" i="19"/>
  <c r="F13" i="26"/>
  <c r="A15"/>
  <c r="G13" l="1"/>
  <c r="H13" s="1"/>
  <c r="D24" i="14"/>
  <c r="M24" s="1"/>
  <c r="C25"/>
  <c r="E13" i="28"/>
  <c r="D22" i="14"/>
  <c r="M21"/>
  <c r="N20" i="19"/>
  <c r="G22"/>
  <c r="AF44" i="9"/>
  <c r="AB43"/>
  <c r="Z42"/>
  <c r="AC23"/>
  <c r="AL30"/>
  <c r="AM29"/>
  <c r="AN42"/>
  <c r="AY42"/>
  <c r="AD42"/>
  <c r="M42"/>
  <c r="J23" i="31"/>
  <c r="D21" i="19"/>
  <c r="F14" i="26"/>
  <c r="A16"/>
  <c r="Z43" i="9" l="1"/>
  <c r="AA43"/>
  <c r="G14" i="26"/>
  <c r="H14" s="1"/>
  <c r="D23" i="14"/>
  <c r="M23" s="1"/>
  <c r="M22"/>
  <c r="D25"/>
  <c r="M25" s="1"/>
  <c r="C26"/>
  <c r="E14" i="28"/>
  <c r="N21" i="19"/>
  <c r="AA6" i="28"/>
  <c r="AZ16"/>
  <c r="G23" i="19"/>
  <c r="AC24" i="9"/>
  <c r="AF45"/>
  <c r="AB44"/>
  <c r="AL31"/>
  <c r="AM30"/>
  <c r="AN43"/>
  <c r="AD43"/>
  <c r="AY43"/>
  <c r="M43"/>
  <c r="J24" i="31"/>
  <c r="D22" i="19"/>
  <c r="F15" i="26"/>
  <c r="A17"/>
  <c r="Z44" i="9" l="1"/>
  <c r="AA44"/>
  <c r="G15" i="26"/>
  <c r="H15" s="1"/>
  <c r="E15" i="28"/>
  <c r="C27" i="14"/>
  <c r="D26"/>
  <c r="M26" s="1"/>
  <c r="N22" i="19"/>
  <c r="Y6" i="28"/>
  <c r="X6"/>
  <c r="G24" i="19"/>
  <c r="AC25" i="9"/>
  <c r="AF46"/>
  <c r="AB45"/>
  <c r="AL32"/>
  <c r="AM31"/>
  <c r="AY44"/>
  <c r="AD44"/>
  <c r="AN44"/>
  <c r="M44"/>
  <c r="J25" i="31"/>
  <c r="D23" i="19"/>
  <c r="M56"/>
  <c r="F16" i="26"/>
  <c r="A18"/>
  <c r="M7" i="19"/>
  <c r="Z45" i="9" l="1"/>
  <c r="AA45"/>
  <c r="G16" i="26"/>
  <c r="H16" s="1"/>
  <c r="E19" i="27"/>
  <c r="E18"/>
  <c r="E8" i="28"/>
  <c r="E35" i="27"/>
  <c r="E33"/>
  <c r="F14" i="9"/>
  <c r="C28" i="14"/>
  <c r="E20" i="27"/>
  <c r="E32"/>
  <c r="F15" i="9"/>
  <c r="E34" i="27"/>
  <c r="D27" i="14"/>
  <c r="G25" i="19"/>
  <c r="AC26" i="9"/>
  <c r="AF47"/>
  <c r="AB46"/>
  <c r="AF50"/>
  <c r="AF49"/>
  <c r="AB49" s="1"/>
  <c r="N23" i="19"/>
  <c r="AL33" i="9"/>
  <c r="AM32"/>
  <c r="AY45"/>
  <c r="AD45"/>
  <c r="CB4"/>
  <c r="AN45"/>
  <c r="CB3"/>
  <c r="M45"/>
  <c r="J26" i="31"/>
  <c r="D24" i="19"/>
  <c r="M55"/>
  <c r="F17" i="26"/>
  <c r="A19"/>
  <c r="M16" i="19"/>
  <c r="M44"/>
  <c r="AA49" i="9" l="1"/>
  <c r="Z46"/>
  <c r="AA46"/>
  <c r="G17" i="26"/>
  <c r="H17" s="1"/>
  <c r="D28" i="14"/>
  <c r="M28" s="1"/>
  <c r="M27"/>
  <c r="E16" i="28"/>
  <c r="C29" i="14"/>
  <c r="N24" i="19"/>
  <c r="G26"/>
  <c r="AC27" i="9"/>
  <c r="AF51"/>
  <c r="AB50"/>
  <c r="AA50" s="1"/>
  <c r="AF48"/>
  <c r="AB48" s="1"/>
  <c r="AA48" s="1"/>
  <c r="AB47"/>
  <c r="AA47" s="1"/>
  <c r="AM33"/>
  <c r="AL34"/>
  <c r="AD46"/>
  <c r="AY46"/>
  <c r="AN46"/>
  <c r="M46"/>
  <c r="J27" i="31"/>
  <c r="D25" i="19"/>
  <c r="F18" i="26"/>
  <c r="A20"/>
  <c r="M17" i="19"/>
  <c r="G18" i="26" l="1"/>
  <c r="H18" s="1"/>
  <c r="D29" i="14"/>
  <c r="M29" s="1"/>
  <c r="E17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0" i="9"/>
  <c r="AF52"/>
  <c r="AB51"/>
  <c r="AA51" s="1"/>
  <c r="Z48"/>
  <c r="AC28"/>
  <c r="Z47"/>
  <c r="Z49"/>
  <c r="AM34"/>
  <c r="AL35"/>
  <c r="AD47"/>
  <c r="AN47"/>
  <c r="AY47"/>
  <c r="M47"/>
  <c r="J28" i="31"/>
  <c r="D26" i="19"/>
  <c r="F19" i="26"/>
  <c r="A21"/>
  <c r="M18" i="19"/>
  <c r="G19" i="26" l="1"/>
  <c r="H19" s="1"/>
  <c r="C31" i="14"/>
  <c r="C32" s="1"/>
  <c r="D30"/>
  <c r="H37" i="19" s="1"/>
  <c r="E18" i="28"/>
  <c r="H75" i="19"/>
  <c r="H76"/>
  <c r="N26"/>
  <c r="G28"/>
  <c r="AF53" i="9"/>
  <c r="AF54" s="1"/>
  <c r="AB54" s="1"/>
  <c r="AB52"/>
  <c r="AA52" s="1"/>
  <c r="Z51"/>
  <c r="AC29"/>
  <c r="AL36"/>
  <c r="AM35"/>
  <c r="AD48"/>
  <c r="AY48"/>
  <c r="AN48"/>
  <c r="M48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AA54" i="9" l="1"/>
  <c r="Z54"/>
  <c r="G20" i="26"/>
  <c r="H20" s="1"/>
  <c r="D31" i="14"/>
  <c r="H38" i="19" s="1"/>
  <c r="M30" i="14"/>
  <c r="H77" i="19"/>
  <c r="E38" i="27"/>
  <c r="E11"/>
  <c r="E10"/>
  <c r="E9"/>
  <c r="F8" i="9"/>
  <c r="E36" i="27"/>
  <c r="E37"/>
  <c r="E5" i="28"/>
  <c r="F7" i="9"/>
  <c r="C33" i="14"/>
  <c r="H59" i="19"/>
  <c r="N27"/>
  <c r="AA7" i="28"/>
  <c r="AZ20"/>
  <c r="G29" i="19"/>
  <c r="AC30" i="9"/>
  <c r="AF55"/>
  <c r="AB53"/>
  <c r="Z52"/>
  <c r="AL37"/>
  <c r="AM36"/>
  <c r="AY49"/>
  <c r="AD49"/>
  <c r="AN49"/>
  <c r="M49"/>
  <c r="J30" i="31"/>
  <c r="D28" i="19"/>
  <c r="M45"/>
  <c r="M51"/>
  <c r="F21" i="26"/>
  <c r="A23"/>
  <c r="Z53" i="9" l="1"/>
  <c r="AA53"/>
  <c r="G21" i="26"/>
  <c r="H21" s="1"/>
  <c r="C16" i="9"/>
  <c r="C14"/>
  <c r="C10"/>
  <c r="C11"/>
  <c r="C13"/>
  <c r="R60" s="1"/>
  <c r="AX60" s="1"/>
  <c r="A10"/>
  <c r="C9"/>
  <c r="A16"/>
  <c r="A8"/>
  <c r="A11"/>
  <c r="C8"/>
  <c r="A18"/>
  <c r="A14"/>
  <c r="A9"/>
  <c r="C18"/>
  <c r="A7"/>
  <c r="A12"/>
  <c r="C7"/>
  <c r="A17"/>
  <c r="A15"/>
  <c r="C12"/>
  <c r="R54" s="1"/>
  <c r="AX54" s="1"/>
  <c r="C17"/>
  <c r="A13"/>
  <c r="C15"/>
  <c r="C34" i="14"/>
  <c r="D33"/>
  <c r="D32"/>
  <c r="M32" s="1"/>
  <c r="M31"/>
  <c r="A51" i="27"/>
  <c r="A48"/>
  <c r="K41"/>
  <c r="A14"/>
  <c r="K19"/>
  <c r="A12"/>
  <c r="A20"/>
  <c r="K20"/>
  <c r="A9"/>
  <c r="A28"/>
  <c r="K39"/>
  <c r="A52"/>
  <c r="K23"/>
  <c r="A38"/>
  <c r="K27"/>
  <c r="A41"/>
  <c r="K50"/>
  <c r="A26"/>
  <c r="A42"/>
  <c r="A43"/>
  <c r="A21"/>
  <c r="K47"/>
  <c r="K26"/>
  <c r="K29"/>
  <c r="K14"/>
  <c r="K37"/>
  <c r="K52"/>
  <c r="A47"/>
  <c r="K15"/>
  <c r="K22"/>
  <c r="A23"/>
  <c r="K24"/>
  <c r="K16"/>
  <c r="A24"/>
  <c r="A32"/>
  <c r="K42"/>
  <c r="K9"/>
  <c r="A40"/>
  <c r="K36"/>
  <c r="A11"/>
  <c r="A18"/>
  <c r="K44"/>
  <c r="K45"/>
  <c r="A27"/>
  <c r="A37"/>
  <c r="K21"/>
  <c r="A45"/>
  <c r="A10"/>
  <c r="A25"/>
  <c r="K51"/>
  <c r="A46"/>
  <c r="K13"/>
  <c r="A35"/>
  <c r="K31"/>
  <c r="K32"/>
  <c r="A22"/>
  <c r="K28"/>
  <c r="A36"/>
  <c r="A44"/>
  <c r="K10"/>
  <c r="K46"/>
  <c r="K40"/>
  <c r="K17"/>
  <c r="A15"/>
  <c r="A31"/>
  <c r="A17"/>
  <c r="A49"/>
  <c r="K34"/>
  <c r="K33"/>
  <c r="A29"/>
  <c r="K48"/>
  <c r="A39"/>
  <c r="K43"/>
  <c r="A33"/>
  <c r="K49"/>
  <c r="K30"/>
  <c r="A16"/>
  <c r="K18"/>
  <c r="A19"/>
  <c r="K35"/>
  <c r="K12"/>
  <c r="A13"/>
  <c r="K11"/>
  <c r="K25"/>
  <c r="A30"/>
  <c r="A50"/>
  <c r="A34"/>
  <c r="K38"/>
  <c r="N28" i="19"/>
  <c r="Y7" i="28"/>
  <c r="X7"/>
  <c r="G30" i="19"/>
  <c r="AC31" i="9"/>
  <c r="AF56"/>
  <c r="AB55"/>
  <c r="AL38"/>
  <c r="AM37"/>
  <c r="AY50"/>
  <c r="AN50"/>
  <c r="AD50"/>
  <c r="M50"/>
  <c r="J31" i="31"/>
  <c r="D29" i="19"/>
  <c r="M57"/>
  <c r="F22" i="26"/>
  <c r="A24"/>
  <c r="E2" i="31"/>
  <c r="Z55" i="9" l="1"/>
  <c r="AA55"/>
  <c r="G22" i="26"/>
  <c r="H22" s="1"/>
  <c r="H13" i="19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19" i="9"/>
  <c r="AX19" s="1"/>
  <c r="E7"/>
  <c r="K7" s="1"/>
  <c r="R22"/>
  <c r="AX22" s="1"/>
  <c r="R21"/>
  <c r="AX21" s="1"/>
  <c r="R20"/>
  <c r="AX20" s="1"/>
  <c r="R25"/>
  <c r="AX25" s="1"/>
  <c r="R24"/>
  <c r="AX24" s="1"/>
  <c r="R26"/>
  <c r="AX26" s="1"/>
  <c r="R23"/>
  <c r="AX23" s="1"/>
  <c r="R65"/>
  <c r="AX65" s="1"/>
  <c r="R66"/>
  <c r="AX66" s="1"/>
  <c r="R64"/>
  <c r="AX64" s="1"/>
  <c r="E14"/>
  <c r="K14" s="1"/>
  <c r="R63"/>
  <c r="AX63" s="1"/>
  <c r="C35" i="14"/>
  <c r="C36" s="1"/>
  <c r="C37" s="1"/>
  <c r="C38" s="1"/>
  <c r="C39" s="1"/>
  <c r="C40" s="1"/>
  <c r="C41" s="1"/>
  <c r="C42" s="1"/>
  <c r="C43" s="1"/>
  <c r="E19" i="28"/>
  <c r="R29" i="9"/>
  <c r="AX29" s="1"/>
  <c r="R32"/>
  <c r="AX32" s="1"/>
  <c r="R31"/>
  <c r="AX31" s="1"/>
  <c r="R34"/>
  <c r="AX34" s="1"/>
  <c r="R30"/>
  <c r="AX30" s="1"/>
  <c r="R27"/>
  <c r="AX27" s="1"/>
  <c r="R28"/>
  <c r="AX28" s="1"/>
  <c r="E8"/>
  <c r="K8" s="1"/>
  <c r="R33"/>
  <c r="AX33" s="1"/>
  <c r="R42"/>
  <c r="AX42" s="1"/>
  <c r="E10"/>
  <c r="R41"/>
  <c r="AX41" s="1"/>
  <c r="R43"/>
  <c r="AX43" s="1"/>
  <c r="R40"/>
  <c r="AX40" s="1"/>
  <c r="R44"/>
  <c r="AX44" s="1"/>
  <c r="R45"/>
  <c r="AX45" s="1"/>
  <c r="R48"/>
  <c r="AX48" s="1"/>
  <c r="E11"/>
  <c r="R49"/>
  <c r="AX49" s="1"/>
  <c r="R46"/>
  <c r="AX46" s="1"/>
  <c r="R47"/>
  <c r="AX47" s="1"/>
  <c r="R50"/>
  <c r="AX50" s="1"/>
  <c r="R52"/>
  <c r="AX52" s="1"/>
  <c r="E12"/>
  <c r="K12" s="1"/>
  <c r="R53"/>
  <c r="AX53" s="1"/>
  <c r="R55"/>
  <c r="AX55" s="1"/>
  <c r="R51"/>
  <c r="AX51" s="1"/>
  <c r="R56"/>
  <c r="AX56" s="1"/>
  <c r="R75"/>
  <c r="AX75" s="1"/>
  <c r="E17"/>
  <c r="K17" s="1"/>
  <c r="R74"/>
  <c r="AX74" s="1"/>
  <c r="R76"/>
  <c r="AX76" s="1"/>
  <c r="D34" i="14"/>
  <c r="M33"/>
  <c r="R59" i="9"/>
  <c r="AX59" s="1"/>
  <c r="R61"/>
  <c r="AX61" s="1"/>
  <c r="R58"/>
  <c r="AX58" s="1"/>
  <c r="R57"/>
  <c r="AX57" s="1"/>
  <c r="R62"/>
  <c r="AX62" s="1"/>
  <c r="E13"/>
  <c r="K13" s="1"/>
  <c r="R77"/>
  <c r="AX77" s="1"/>
  <c r="E18"/>
  <c r="K18" s="1"/>
  <c r="R78"/>
  <c r="AX78" s="1"/>
  <c r="R79"/>
  <c r="AX79" s="1"/>
  <c r="R80"/>
  <c r="AX80" s="1"/>
  <c r="R38"/>
  <c r="AX38" s="1"/>
  <c r="R35"/>
  <c r="AX35" s="1"/>
  <c r="E9"/>
  <c r="R36"/>
  <c r="AX36" s="1"/>
  <c r="R37"/>
  <c r="AX37" s="1"/>
  <c r="R39"/>
  <c r="AX39" s="1"/>
  <c r="R73"/>
  <c r="AX73" s="1"/>
  <c r="R71"/>
  <c r="AX71" s="1"/>
  <c r="R72"/>
  <c r="AX72" s="1"/>
  <c r="E16"/>
  <c r="K16" s="1"/>
  <c r="R69"/>
  <c r="AX69" s="1"/>
  <c r="E15"/>
  <c r="K15" s="1"/>
  <c r="R68"/>
  <c r="AX68" s="1"/>
  <c r="R67"/>
  <c r="AX67" s="1"/>
  <c r="R70"/>
  <c r="AX70" s="1"/>
  <c r="N29" i="19"/>
  <c r="G31"/>
  <c r="AF57" i="9"/>
  <c r="AB56"/>
  <c r="AC32"/>
  <c r="AL39"/>
  <c r="AM38"/>
  <c r="AY51"/>
  <c r="AN51"/>
  <c r="AD51"/>
  <c r="M51"/>
  <c r="J32" i="31"/>
  <c r="D30" i="19"/>
  <c r="M31"/>
  <c r="F23" i="26"/>
  <c r="A25"/>
  <c r="N2" i="31"/>
  <c r="P2"/>
  <c r="Z56" i="9" l="1"/>
  <c r="AA56"/>
  <c r="G23" i="26"/>
  <c r="H23" s="1"/>
  <c r="L15" i="3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1"/>
  <c r="L9" i="31"/>
  <c r="M9" s="1"/>
  <c r="L17"/>
  <c r="M17" s="1"/>
  <c r="L14"/>
  <c r="M14" s="1"/>
  <c r="L10"/>
  <c r="M10" s="1"/>
  <c r="K10" i="9"/>
  <c r="BY3"/>
  <c r="L13" i="31"/>
  <c r="M13" s="1"/>
  <c r="L16"/>
  <c r="M16" s="1"/>
  <c r="L12"/>
  <c r="M12" s="1"/>
  <c r="L5"/>
  <c r="M5" s="1"/>
  <c r="BY4" i="9"/>
  <c r="K9"/>
  <c r="L7" i="31"/>
  <c r="M7" s="1"/>
  <c r="L8"/>
  <c r="M8" s="1"/>
  <c r="N30" i="19"/>
  <c r="G32"/>
  <c r="AC33" i="9"/>
  <c r="AF58"/>
  <c r="AB57"/>
  <c r="AL40"/>
  <c r="AM39"/>
  <c r="AD52"/>
  <c r="AN52"/>
  <c r="AY52"/>
  <c r="M52"/>
  <c r="J33" i="31"/>
  <c r="D31" i="19"/>
  <c r="M36"/>
  <c r="F24" i="26"/>
  <c r="A26"/>
  <c r="N3" i="31"/>
  <c r="P3"/>
  <c r="N15"/>
  <c r="P8"/>
  <c r="P16"/>
  <c r="P9"/>
  <c r="P6"/>
  <c r="N14"/>
  <c r="N9"/>
  <c r="P13"/>
  <c r="P4"/>
  <c r="P14"/>
  <c r="N5"/>
  <c r="N17"/>
  <c r="P5"/>
  <c r="P12"/>
  <c r="N6"/>
  <c r="N11"/>
  <c r="P7"/>
  <c r="N10"/>
  <c r="P15"/>
  <c r="Z57" i="9" l="1"/>
  <c r="AA57"/>
  <c r="G24" i="26"/>
  <c r="H24" s="1"/>
  <c r="O15" i="31"/>
  <c r="O11"/>
  <c r="O6"/>
  <c r="O3"/>
  <c r="O10"/>
  <c r="O9"/>
  <c r="O17"/>
  <c r="O5"/>
  <c r="O14"/>
  <c r="O3" i="27"/>
  <c r="D36" i="14"/>
  <c r="M35"/>
  <c r="N31" i="19"/>
  <c r="G33"/>
  <c r="AF59" i="9"/>
  <c r="AF60" s="1"/>
  <c r="AB60" s="1"/>
  <c r="AB58"/>
  <c r="AC34"/>
  <c r="AL41"/>
  <c r="AM40"/>
  <c r="AY53"/>
  <c r="AN53"/>
  <c r="AD53"/>
  <c r="M53"/>
  <c r="J34" i="31"/>
  <c r="D32" i="19"/>
  <c r="M59"/>
  <c r="F25" i="26"/>
  <c r="A27"/>
  <c r="N16" i="31"/>
  <c r="N13"/>
  <c r="N8"/>
  <c r="N7"/>
  <c r="N12"/>
  <c r="P11"/>
  <c r="N4"/>
  <c r="P10"/>
  <c r="P17"/>
  <c r="Z58" i="9" l="1"/>
  <c r="AA58"/>
  <c r="AA60"/>
  <c r="Z60"/>
  <c r="O7" i="31"/>
  <c r="O13"/>
  <c r="O8"/>
  <c r="G25" i="26"/>
  <c r="H25" s="1"/>
  <c r="O16" i="31"/>
  <c r="O12"/>
  <c r="O4"/>
  <c r="O7" i="27" s="1"/>
  <c r="O5"/>
  <c r="D37" i="14"/>
  <c r="M36"/>
  <c r="N32" i="19"/>
  <c r="AA8" i="28"/>
  <c r="AZ26"/>
  <c r="G34" i="19"/>
  <c r="AC35" i="9"/>
  <c r="AF61"/>
  <c r="AB59"/>
  <c r="AL42"/>
  <c r="AM41"/>
  <c r="AN55"/>
  <c r="AY55"/>
  <c r="AD55"/>
  <c r="M55"/>
  <c r="J35" i="31"/>
  <c r="D33" i="19"/>
  <c r="M54"/>
  <c r="F26" i="26"/>
  <c r="A28"/>
  <c r="Z59" i="9" l="1"/>
  <c r="AA59"/>
  <c r="G26" i="26"/>
  <c r="H26" s="1"/>
  <c r="O18" i="27"/>
  <c r="O9"/>
  <c r="P17"/>
  <c r="O47"/>
  <c r="P10"/>
  <c r="O15"/>
  <c r="P14"/>
  <c r="P20"/>
  <c r="P51"/>
  <c r="O6"/>
  <c r="O12"/>
  <c r="O45"/>
  <c r="D38" i="14"/>
  <c r="M37"/>
  <c r="N33" i="19"/>
  <c r="Y8" i="28"/>
  <c r="X8"/>
  <c r="G35" i="19"/>
  <c r="AC36" i="9"/>
  <c r="AF62"/>
  <c r="AB61"/>
  <c r="AL43"/>
  <c r="AM42"/>
  <c r="AD56"/>
  <c r="AY56"/>
  <c r="AN56"/>
  <c r="M56"/>
  <c r="J36" i="31"/>
  <c r="D34" i="19"/>
  <c r="M53"/>
  <c r="M9"/>
  <c r="F27" i="26"/>
  <c r="A29"/>
  <c r="Z61" i="9" l="1"/>
  <c r="AA61"/>
  <c r="G27" i="26"/>
  <c r="H27" s="1"/>
  <c r="D39" i="14"/>
  <c r="M38"/>
  <c r="N34" i="19"/>
  <c r="G36"/>
  <c r="AC37" i="9"/>
  <c r="AF63"/>
  <c r="AB62"/>
  <c r="AL44"/>
  <c r="AM43"/>
  <c r="AN57"/>
  <c r="AY57"/>
  <c r="AD57"/>
  <c r="M57"/>
  <c r="J37" i="31"/>
  <c r="D35" i="19"/>
  <c r="M10"/>
  <c r="F28" i="26"/>
  <c r="A30"/>
  <c r="Z62" i="9" l="1"/>
  <c r="AA62"/>
  <c r="G28" i="26"/>
  <c r="H28" s="1"/>
  <c r="D40" i="14"/>
  <c r="M39"/>
  <c r="N35" i="19"/>
  <c r="G37"/>
  <c r="AC38" i="9"/>
  <c r="AF64"/>
  <c r="AB63"/>
  <c r="AL45"/>
  <c r="AM44"/>
  <c r="AY58"/>
  <c r="AD58"/>
  <c r="AN58"/>
  <c r="M58"/>
  <c r="J38" i="31"/>
  <c r="D36" i="19"/>
  <c r="M11"/>
  <c r="F29" i="26"/>
  <c r="A31"/>
  <c r="Z63" i="9" l="1"/>
  <c r="AA63"/>
  <c r="G29" i="26"/>
  <c r="H29" s="1"/>
  <c r="D41" i="14"/>
  <c r="M40"/>
  <c r="N36" i="19"/>
  <c r="G38"/>
  <c r="AC39" i="9"/>
  <c r="AF65"/>
  <c r="AB64"/>
  <c r="AL46"/>
  <c r="AM45"/>
  <c r="AN59"/>
  <c r="AD59"/>
  <c r="AY59"/>
  <c r="M59"/>
  <c r="J39" i="31"/>
  <c r="D37" i="19"/>
  <c r="AZ61" i="28" s="1"/>
  <c r="M12" i="19"/>
  <c r="F30" i="26"/>
  <c r="A32"/>
  <c r="Z64" i="9" l="1"/>
  <c r="AA64"/>
  <c r="G30" i="26"/>
  <c r="H30" s="1"/>
  <c r="D42" i="14"/>
  <c r="M41"/>
  <c r="N37" i="19"/>
  <c r="G39"/>
  <c r="AC40" i="9"/>
  <c r="AF66"/>
  <c r="AB65"/>
  <c r="AL47"/>
  <c r="AM46"/>
  <c r="AD61"/>
  <c r="AY61"/>
  <c r="AN61"/>
  <c r="M61"/>
  <c r="J40" i="31"/>
  <c r="D38" i="19"/>
  <c r="F31" i="26"/>
  <c r="A33"/>
  <c r="Z65" i="9" l="1"/>
  <c r="AA65"/>
  <c r="G31" i="26"/>
  <c r="H31" s="1"/>
  <c r="D43" i="14"/>
  <c r="M42"/>
  <c r="N38" i="19"/>
  <c r="G40"/>
  <c r="AF67" i="9"/>
  <c r="AB66"/>
  <c r="AC41"/>
  <c r="AL48"/>
  <c r="AM47"/>
  <c r="AD62"/>
  <c r="AN62"/>
  <c r="AY62"/>
  <c r="M62"/>
  <c r="J41" i="31"/>
  <c r="D39" i="19"/>
  <c r="F32" i="26"/>
  <c r="A34"/>
  <c r="Z66" i="9" l="1"/>
  <c r="AA66"/>
  <c r="G32" i="26"/>
  <c r="H32" s="1"/>
  <c r="M43" i="14"/>
  <c r="H14" i="19"/>
  <c r="H50"/>
  <c r="H48"/>
  <c r="H49"/>
  <c r="N39"/>
  <c r="G41"/>
  <c r="AF68" i="9"/>
  <c r="AB67"/>
  <c r="AC42"/>
  <c r="AL49"/>
  <c r="AM48"/>
  <c r="AY63"/>
  <c r="AN63"/>
  <c r="AD63"/>
  <c r="M63"/>
  <c r="J42" i="31"/>
  <c r="D40" i="19"/>
  <c r="F33" i="26"/>
  <c r="A35"/>
  <c r="Z67" i="9" l="1"/>
  <c r="AA67"/>
  <c r="G33" i="26"/>
  <c r="H33" s="1"/>
  <c r="N40" i="19"/>
  <c r="G42"/>
  <c r="AF69" i="9"/>
  <c r="AB68"/>
  <c r="AC43"/>
  <c r="AL50"/>
  <c r="AM49"/>
  <c r="AN64"/>
  <c r="AY64"/>
  <c r="AD64"/>
  <c r="M64"/>
  <c r="J43" i="31"/>
  <c r="D41" i="19"/>
  <c r="F34" i="26"/>
  <c r="A36"/>
  <c r="Z68" i="9" l="1"/>
  <c r="AA68"/>
  <c r="G34" i="26"/>
  <c r="H34" s="1"/>
  <c r="N41" i="19"/>
  <c r="AZ36" i="28"/>
  <c r="AA11"/>
  <c r="G43" i="19"/>
  <c r="AF70" i="9"/>
  <c r="AF71" s="1"/>
  <c r="AB69"/>
  <c r="AC44"/>
  <c r="AL51"/>
  <c r="AM50"/>
  <c r="AN65"/>
  <c r="AY65"/>
  <c r="AD65"/>
  <c r="M65"/>
  <c r="J44" i="31"/>
  <c r="D42" i="19"/>
  <c r="F35" i="26"/>
  <c r="A37"/>
  <c r="Z69" i="9" l="1"/>
  <c r="AA69"/>
  <c r="G35" i="26"/>
  <c r="H35" s="1"/>
  <c r="AB71" i="9"/>
  <c r="AA71" s="1"/>
  <c r="AF72"/>
  <c r="AB70"/>
  <c r="N42" i="19"/>
  <c r="AA12" i="28"/>
  <c r="AZ37"/>
  <c r="G44" i="19"/>
  <c r="AC45" i="9"/>
  <c r="AL52"/>
  <c r="AM51"/>
  <c r="AY66"/>
  <c r="AN66"/>
  <c r="AD66"/>
  <c r="M66"/>
  <c r="J45" i="31"/>
  <c r="D43" i="19"/>
  <c r="F36" i="26"/>
  <c r="A38"/>
  <c r="Z70" i="9" l="1"/>
  <c r="AA70"/>
  <c r="G36" i="26"/>
  <c r="H36" s="1"/>
  <c r="Z71" i="9"/>
  <c r="AB72"/>
  <c r="AF73"/>
  <c r="N43" i="19"/>
  <c r="G45"/>
  <c r="AC46" i="9"/>
  <c r="AL53"/>
  <c r="AL54" s="1"/>
  <c r="AM54" s="1"/>
  <c r="AM52"/>
  <c r="AY67"/>
  <c r="AN67"/>
  <c r="AD67"/>
  <c r="M67"/>
  <c r="J46" i="31"/>
  <c r="D44" i="19"/>
  <c r="F37" i="26"/>
  <c r="A39"/>
  <c r="Z72" i="9" l="1"/>
  <c r="AA72"/>
  <c r="G37" i="26"/>
  <c r="H37" s="1"/>
  <c r="AB73" i="9"/>
  <c r="AF74"/>
  <c r="BA33" i="28"/>
  <c r="AB10"/>
  <c r="N44" i="19"/>
  <c r="AA9" i="28"/>
  <c r="AZ29"/>
  <c r="G46" i="19"/>
  <c r="AC47" i="9"/>
  <c r="AL55"/>
  <c r="AM53"/>
  <c r="AN68"/>
  <c r="AY68"/>
  <c r="AD68"/>
  <c r="M68"/>
  <c r="J47" i="31"/>
  <c r="D45" i="19"/>
  <c r="M48"/>
  <c r="M14"/>
  <c r="M47"/>
  <c r="M49"/>
  <c r="F38" i="26"/>
  <c r="A40"/>
  <c r="Z73" i="9" l="1"/>
  <c r="AA73"/>
  <c r="G38" i="26"/>
  <c r="H38" s="1"/>
  <c r="X30" i="28"/>
  <c r="Y30"/>
  <c r="Y29"/>
  <c r="AB74" i="9"/>
  <c r="AF75"/>
  <c r="Y28" i="28"/>
  <c r="X29"/>
  <c r="X28"/>
  <c r="Y27"/>
  <c r="X27"/>
  <c r="Y26"/>
  <c r="X25"/>
  <c r="Y25"/>
  <c r="X26"/>
  <c r="Y24"/>
  <c r="Y23"/>
  <c r="X24"/>
  <c r="Y22"/>
  <c r="X23"/>
  <c r="N45" i="19"/>
  <c r="X22" i="28"/>
  <c r="Y21"/>
  <c r="Y20"/>
  <c r="X21"/>
  <c r="Y19"/>
  <c r="X20"/>
  <c r="X19"/>
  <c r="Y18"/>
  <c r="X18"/>
  <c r="Y17"/>
  <c r="X16"/>
  <c r="Y15"/>
  <c r="Y16"/>
  <c r="X17"/>
  <c r="X14"/>
  <c r="Y14"/>
  <c r="X15"/>
  <c r="X13"/>
  <c r="Y12"/>
  <c r="Y13"/>
  <c r="X12"/>
  <c r="Y11"/>
  <c r="Y10"/>
  <c r="X11"/>
  <c r="Y9"/>
  <c r="X9"/>
  <c r="X10"/>
  <c r="G47" i="19"/>
  <c r="AC48" i="9"/>
  <c r="AL56"/>
  <c r="AM55"/>
  <c r="AN70"/>
  <c r="AD70"/>
  <c r="AY70"/>
  <c r="M70"/>
  <c r="AN69"/>
  <c r="AY69"/>
  <c r="AD69"/>
  <c r="M69"/>
  <c r="J48" i="31"/>
  <c r="D46" i="19"/>
  <c r="F39" i="26"/>
  <c r="A41"/>
  <c r="Z74" i="9" l="1"/>
  <c r="AA74"/>
  <c r="G39" i="26"/>
  <c r="H39" s="1"/>
  <c r="AF76" i="9"/>
  <c r="AB75"/>
  <c r="AA75" s="1"/>
  <c r="N46" i="19"/>
  <c r="G48"/>
  <c r="AC49" i="9"/>
  <c r="AL57"/>
  <c r="AM56"/>
  <c r="J49" i="31"/>
  <c r="D47" i="19"/>
  <c r="F40" i="26"/>
  <c r="A42"/>
  <c r="A43" s="1"/>
  <c r="A44" s="1"/>
  <c r="G40" l="1"/>
  <c r="H40" s="1"/>
  <c r="AB76" i="9"/>
  <c r="AF77"/>
  <c r="Z75"/>
  <c r="N47" i="19"/>
  <c r="G49"/>
  <c r="AC50" i="9"/>
  <c r="AL58"/>
  <c r="AM57"/>
  <c r="J50" i="31"/>
  <c r="D48" i="19"/>
  <c r="F42" i="26"/>
  <c r="F41"/>
  <c r="Z76" i="9" l="1"/>
  <c r="AA76"/>
  <c r="G42" i="26"/>
  <c r="H42" s="1"/>
  <c r="G41"/>
  <c r="H41" s="1"/>
  <c r="AB77" i="9"/>
  <c r="AF78"/>
  <c r="N48" i="19"/>
  <c r="G50"/>
  <c r="AC51" i="9"/>
  <c r="AL59"/>
  <c r="AL60" s="1"/>
  <c r="AM60" s="1"/>
  <c r="AM58"/>
  <c r="J51" i="31"/>
  <c r="D49" i="19"/>
  <c r="Z77" i="9" l="1"/>
  <c r="AA77"/>
  <c r="AB78"/>
  <c r="AF79"/>
  <c r="N49" i="19"/>
  <c r="G51"/>
  <c r="AC52" i="9"/>
  <c r="AC54"/>
  <c r="AL61"/>
  <c r="AM59"/>
  <c r="J52" i="31"/>
  <c r="D50" i="19"/>
  <c r="Z78" i="9" l="1"/>
  <c r="AA78"/>
  <c r="AB79"/>
  <c r="AF80"/>
  <c r="AB80" s="1"/>
  <c r="AA80" s="1"/>
  <c r="N50" i="19"/>
  <c r="G52"/>
  <c r="AC53" i="9"/>
  <c r="AL62"/>
  <c r="AM61"/>
  <c r="J53" i="31"/>
  <c r="D51" i="19"/>
  <c r="Z79" i="9" l="1"/>
  <c r="AA79"/>
  <c r="Z80"/>
  <c r="N51" i="19"/>
  <c r="G53"/>
  <c r="AC55" i="9"/>
  <c r="AL63"/>
  <c r="AM62"/>
  <c r="J54" i="31"/>
  <c r="D52" i="19"/>
  <c r="N52" l="1"/>
  <c r="G54"/>
  <c r="AC56" i="9"/>
  <c r="AL64"/>
  <c r="AM63"/>
  <c r="J55" i="31"/>
  <c r="D53" i="19"/>
  <c r="N53" l="1"/>
  <c r="G55"/>
  <c r="AC57" i="9"/>
  <c r="AL65"/>
  <c r="AM64"/>
  <c r="J56" i="31"/>
  <c r="D54" i="19"/>
  <c r="N54" l="1"/>
  <c r="G56"/>
  <c r="AC58" i="9"/>
  <c r="AC60"/>
  <c r="AL66"/>
  <c r="AM65"/>
  <c r="J57" i="31"/>
  <c r="D55" i="19"/>
  <c r="N55" l="1"/>
  <c r="G57"/>
  <c r="AC59" i="9"/>
  <c r="AL67"/>
  <c r="AM66"/>
  <c r="J58" i="31"/>
  <c r="D56" i="19"/>
  <c r="N56" l="1"/>
  <c r="G59"/>
  <c r="G58"/>
  <c r="AC61" i="9"/>
  <c r="AL68"/>
  <c r="AM67"/>
  <c r="J59" i="31"/>
  <c r="D57" i="19"/>
  <c r="N57" l="1"/>
  <c r="AC62" i="9"/>
  <c r="AL69"/>
  <c r="AM68"/>
  <c r="J60" i="31"/>
  <c r="D58" i="19"/>
  <c r="D59"/>
  <c r="N59" l="1"/>
  <c r="N58"/>
  <c r="AC63" i="9"/>
  <c r="AL70"/>
  <c r="AL71" s="1"/>
  <c r="AM69"/>
  <c r="J61" i="31"/>
  <c r="B9" i="25"/>
  <c r="E5"/>
  <c r="H5"/>
  <c r="G5"/>
  <c r="K5"/>
  <c r="I5"/>
  <c r="F5"/>
  <c r="L5"/>
  <c r="O5"/>
  <c r="N5"/>
  <c r="E5" i="31"/>
  <c r="M5" i="25"/>
  <c r="C5"/>
  <c r="Q5"/>
  <c r="D5"/>
  <c r="J5"/>
  <c r="P5"/>
  <c r="AM71" i="9" l="1"/>
  <c r="AL72"/>
  <c r="AM70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64" i="9"/>
  <c r="K61" i="31"/>
  <c r="J62"/>
  <c r="O9" i="25"/>
  <c r="P9"/>
  <c r="Q9"/>
  <c r="N9"/>
  <c r="F9"/>
  <c r="B10"/>
  <c r="M9"/>
  <c r="L9"/>
  <c r="I9"/>
  <c r="G9"/>
  <c r="K9"/>
  <c r="J9"/>
  <c r="D9"/>
  <c r="H9"/>
  <c r="E9"/>
  <c r="AM72" i="9" l="1"/>
  <c r="AL73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65" i="9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L10"/>
  <c r="K10"/>
  <c r="P10"/>
  <c r="M10"/>
  <c r="O10"/>
  <c r="N10"/>
  <c r="J10"/>
  <c r="I10"/>
  <c r="D10"/>
  <c r="C10"/>
  <c r="H10"/>
  <c r="G10"/>
  <c r="B11"/>
  <c r="E10"/>
  <c r="P46" i="31"/>
  <c r="P40"/>
  <c r="P33"/>
  <c r="N26"/>
  <c r="N28"/>
  <c r="P57"/>
  <c r="P51"/>
  <c r="P53"/>
  <c r="P18"/>
  <c r="P44"/>
  <c r="N42"/>
  <c r="N39"/>
  <c r="P25"/>
  <c r="N34"/>
  <c r="N55"/>
  <c r="P41"/>
  <c r="P21"/>
  <c r="N29"/>
  <c r="N61"/>
  <c r="P35"/>
  <c r="P20"/>
  <c r="N46"/>
  <c r="P27"/>
  <c r="N35"/>
  <c r="P43"/>
  <c r="P28"/>
  <c r="P36"/>
  <c r="N60"/>
  <c r="P50"/>
  <c r="P26"/>
  <c r="P24"/>
  <c r="N21"/>
  <c r="N59"/>
  <c r="P47"/>
  <c r="P60"/>
  <c r="N45"/>
  <c r="P38"/>
  <c r="P54"/>
  <c r="N30"/>
  <c r="N32"/>
  <c r="N48"/>
  <c r="N23"/>
  <c r="P31"/>
  <c r="P22"/>
  <c r="P49"/>
  <c r="P58"/>
  <c r="N56"/>
  <c r="P19"/>
  <c r="N37"/>
  <c r="N52"/>
  <c r="AM73" i="9" l="1"/>
  <c r="AL74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AC66" i="9"/>
  <c r="O61" i="31"/>
  <c r="M62"/>
  <c r="K63"/>
  <c r="L63" s="1"/>
  <c r="J64"/>
  <c r="L11" i="25"/>
  <c r="O11"/>
  <c r="P11"/>
  <c r="J11"/>
  <c r="K11"/>
  <c r="N11"/>
  <c r="M11"/>
  <c r="Q11"/>
  <c r="I11"/>
  <c r="B12"/>
  <c r="F11"/>
  <c r="E11"/>
  <c r="H11"/>
  <c r="D11"/>
  <c r="C11"/>
  <c r="P59" i="31"/>
  <c r="P39"/>
  <c r="N31"/>
  <c r="N27"/>
  <c r="N51"/>
  <c r="N57"/>
  <c r="P52"/>
  <c r="P56"/>
  <c r="N40"/>
  <c r="N41"/>
  <c r="P45"/>
  <c r="N25"/>
  <c r="N36"/>
  <c r="N24"/>
  <c r="P29"/>
  <c r="P30"/>
  <c r="N50"/>
  <c r="N47"/>
  <c r="P42"/>
  <c r="N43"/>
  <c r="P55"/>
  <c r="N33"/>
  <c r="P37"/>
  <c r="N22"/>
  <c r="N58"/>
  <c r="N62"/>
  <c r="N38"/>
  <c r="N44"/>
  <c r="N54"/>
  <c r="N49"/>
  <c r="P32"/>
  <c r="P48"/>
  <c r="N19"/>
  <c r="P34"/>
  <c r="P61"/>
  <c r="N20"/>
  <c r="N53"/>
  <c r="N18"/>
  <c r="P23"/>
  <c r="O19" l="1"/>
  <c r="O18"/>
  <c r="O27"/>
  <c r="O31"/>
  <c r="O50"/>
  <c r="AM74" i="9"/>
  <c r="AL75"/>
  <c r="O25" i="31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AC67" i="9"/>
  <c r="O62" i="31"/>
  <c r="M63"/>
  <c r="K64"/>
  <c r="L64" s="1"/>
  <c r="J65"/>
  <c r="L12" i="25"/>
  <c r="Q12"/>
  <c r="J12"/>
  <c r="K12"/>
  <c r="P12"/>
  <c r="O12"/>
  <c r="N12"/>
  <c r="M12"/>
  <c r="I12"/>
  <c r="E12"/>
  <c r="D12"/>
  <c r="C12"/>
  <c r="B13"/>
  <c r="F12"/>
  <c r="H12"/>
  <c r="P62" i="31"/>
  <c r="N63"/>
  <c r="O8" i="27" l="1"/>
  <c r="P44"/>
  <c r="O52"/>
  <c r="O48"/>
  <c r="AL76" i="9"/>
  <c r="AM75"/>
  <c r="R13" i="25"/>
  <c r="AC68" i="9"/>
  <c r="O63" i="31"/>
  <c r="M64"/>
  <c r="K65"/>
  <c r="L65" s="1"/>
  <c r="J66"/>
  <c r="N13" i="25"/>
  <c r="P13"/>
  <c r="M13"/>
  <c r="O13"/>
  <c r="K13"/>
  <c r="Q13"/>
  <c r="L13"/>
  <c r="J13"/>
  <c r="I13"/>
  <c r="D13"/>
  <c r="E13"/>
  <c r="B14"/>
  <c r="C13"/>
  <c r="G13"/>
  <c r="H13"/>
  <c r="F13"/>
  <c r="P63" i="31"/>
  <c r="P64"/>
  <c r="AM76" i="9" l="1"/>
  <c r="AL77"/>
  <c r="R14" i="25"/>
  <c r="AC69" i="9"/>
  <c r="M65" i="31"/>
  <c r="K66"/>
  <c r="L66" s="1"/>
  <c r="J67"/>
  <c r="J14" i="25"/>
  <c r="K14"/>
  <c r="Q14"/>
  <c r="M14"/>
  <c r="P14"/>
  <c r="L14"/>
  <c r="N14"/>
  <c r="O14"/>
  <c r="I14"/>
  <c r="E14"/>
  <c r="D14"/>
  <c r="F14"/>
  <c r="G14"/>
  <c r="C14"/>
  <c r="H14"/>
  <c r="B15"/>
  <c r="N65" i="31"/>
  <c r="N64"/>
  <c r="AM77" i="9" l="1"/>
  <c r="AL78"/>
  <c r="AC71"/>
  <c r="AC70"/>
  <c r="R15" i="25"/>
  <c r="O64" i="31"/>
  <c r="O65"/>
  <c r="M66"/>
  <c r="K67"/>
  <c r="L67" s="1"/>
  <c r="J68"/>
  <c r="M15" i="25"/>
  <c r="N15"/>
  <c r="P15"/>
  <c r="Q15"/>
  <c r="O15"/>
  <c r="J15"/>
  <c r="K15"/>
  <c r="L15"/>
  <c r="I15"/>
  <c r="G15"/>
  <c r="C15"/>
  <c r="D15"/>
  <c r="H15"/>
  <c r="F15"/>
  <c r="B16"/>
  <c r="E15"/>
  <c r="P65" i="31"/>
  <c r="N66"/>
  <c r="AM78" i="9" l="1"/>
  <c r="AL79"/>
  <c r="AC72"/>
  <c r="R16" i="25"/>
  <c r="O66" i="31"/>
  <c r="M67"/>
  <c r="K68"/>
  <c r="L68" s="1"/>
  <c r="J69"/>
  <c r="N16" i="25"/>
  <c r="K16"/>
  <c r="J16"/>
  <c r="L16"/>
  <c r="M16"/>
  <c r="O16"/>
  <c r="P16"/>
  <c r="Q16"/>
  <c r="I16"/>
  <c r="G16"/>
  <c r="B17"/>
  <c r="E16"/>
  <c r="H16"/>
  <c r="C16"/>
  <c r="D16"/>
  <c r="P66" i="31"/>
  <c r="N67"/>
  <c r="AM79" i="9" l="1"/>
  <c r="AL80"/>
  <c r="AM80" s="1"/>
  <c r="AC73"/>
  <c r="R17" i="25"/>
  <c r="O67" i="31"/>
  <c r="M68"/>
  <c r="K69"/>
  <c r="L69" s="1"/>
  <c r="J70"/>
  <c r="O17" i="25"/>
  <c r="M17"/>
  <c r="Q17"/>
  <c r="N17"/>
  <c r="L17"/>
  <c r="P17"/>
  <c r="J17"/>
  <c r="K17"/>
  <c r="I17"/>
  <c r="D17"/>
  <c r="H17"/>
  <c r="C17"/>
  <c r="E17"/>
  <c r="G17"/>
  <c r="B18"/>
  <c r="N68" i="31"/>
  <c r="P67"/>
  <c r="AC74" i="9" l="1"/>
  <c r="R18" i="25"/>
  <c r="O68" i="31"/>
  <c r="M69"/>
  <c r="K70"/>
  <c r="L70" s="1"/>
  <c r="J71"/>
  <c r="L18" i="25"/>
  <c r="M18"/>
  <c r="P18"/>
  <c r="Q18"/>
  <c r="K18"/>
  <c r="J18"/>
  <c r="O18"/>
  <c r="N18"/>
  <c r="I18"/>
  <c r="B19"/>
  <c r="D18"/>
  <c r="G18"/>
  <c r="C18"/>
  <c r="H18"/>
  <c r="E18"/>
  <c r="P68" i="31"/>
  <c r="N69"/>
  <c r="AC75" i="9" l="1"/>
  <c r="R19" i="25"/>
  <c r="O69" i="31"/>
  <c r="M70"/>
  <c r="K71"/>
  <c r="L71" s="1"/>
  <c r="J72"/>
  <c r="M19" i="25"/>
  <c r="N19"/>
  <c r="L19"/>
  <c r="O19"/>
  <c r="J19"/>
  <c r="K19"/>
  <c r="Q19"/>
  <c r="P19"/>
  <c r="I19"/>
  <c r="C19"/>
  <c r="E19"/>
  <c r="B20"/>
  <c r="H19"/>
  <c r="D19"/>
  <c r="G19"/>
  <c r="P69" i="31"/>
  <c r="N70"/>
  <c r="AC76" i="9" l="1"/>
  <c r="R20" i="25"/>
  <c r="O70" i="31"/>
  <c r="M71"/>
  <c r="K72"/>
  <c r="L72" s="1"/>
  <c r="J73"/>
  <c r="M20" i="25"/>
  <c r="K20"/>
  <c r="P20"/>
  <c r="J20"/>
  <c r="N20"/>
  <c r="O20"/>
  <c r="L20"/>
  <c r="Q20"/>
  <c r="I20"/>
  <c r="G20"/>
  <c r="H20"/>
  <c r="B21"/>
  <c r="E20"/>
  <c r="D20"/>
  <c r="C20"/>
  <c r="P70" i="31"/>
  <c r="N71"/>
  <c r="AC77" i="9" l="1"/>
  <c r="R21" i="25"/>
  <c r="O71" i="31"/>
  <c r="M72"/>
  <c r="K73"/>
  <c r="L73" s="1"/>
  <c r="J74"/>
  <c r="J21" i="25"/>
  <c r="L21"/>
  <c r="P21"/>
  <c r="Q21"/>
  <c r="M21"/>
  <c r="K21"/>
  <c r="O21"/>
  <c r="N21"/>
  <c r="I21"/>
  <c r="H21"/>
  <c r="D21"/>
  <c r="F21"/>
  <c r="C21"/>
  <c r="G21"/>
  <c r="B22"/>
  <c r="E21"/>
  <c r="P71" i="31"/>
  <c r="N72"/>
  <c r="AC78" i="9" l="1"/>
  <c r="R22" i="25"/>
  <c r="O72" i="31"/>
  <c r="M73"/>
  <c r="K74"/>
  <c r="L74" s="1"/>
  <c r="J75"/>
  <c r="K22" i="25"/>
  <c r="Q22"/>
  <c r="J22"/>
  <c r="P22"/>
  <c r="M22"/>
  <c r="L22"/>
  <c r="N22"/>
  <c r="O22"/>
  <c r="I22"/>
  <c r="G22"/>
  <c r="E22"/>
  <c r="H22"/>
  <c r="C22"/>
  <c r="B23"/>
  <c r="D22"/>
  <c r="P72" i="31"/>
  <c r="N73"/>
  <c r="AC79" i="9" l="1"/>
  <c r="AC80"/>
  <c r="R23" i="25"/>
  <c r="O73" i="31"/>
  <c r="M74"/>
  <c r="K75"/>
  <c r="L75" s="1"/>
  <c r="J76"/>
  <c r="M23" i="25"/>
  <c r="Q23"/>
  <c r="L23"/>
  <c r="N23"/>
  <c r="O23"/>
  <c r="K23"/>
  <c r="P23"/>
  <c r="J23"/>
  <c r="I23"/>
  <c r="D23"/>
  <c r="H23"/>
  <c r="C23"/>
  <c r="G23"/>
  <c r="E23"/>
  <c r="B24"/>
  <c r="P73" i="31"/>
  <c r="N74"/>
  <c r="R24" i="25" l="1"/>
  <c r="O74" i="31"/>
  <c r="M75"/>
  <c r="K76"/>
  <c r="L76" s="1"/>
  <c r="J77"/>
  <c r="O24" i="25"/>
  <c r="M24"/>
  <c r="J24"/>
  <c r="L24"/>
  <c r="N24"/>
  <c r="K24"/>
  <c r="P24"/>
  <c r="Q24"/>
  <c r="I24"/>
  <c r="G24"/>
  <c r="E24"/>
  <c r="H24"/>
  <c r="D24"/>
  <c r="F24"/>
  <c r="C24"/>
  <c r="B25"/>
  <c r="P74" i="31"/>
  <c r="N75"/>
  <c r="R25" i="25" l="1"/>
  <c r="O75" i="31"/>
  <c r="M76"/>
  <c r="K77"/>
  <c r="L77" s="1"/>
  <c r="J78"/>
  <c r="K25" i="25"/>
  <c r="L25"/>
  <c r="O25"/>
  <c r="J25"/>
  <c r="P25"/>
  <c r="N25"/>
  <c r="M25"/>
  <c r="Q25"/>
  <c r="H25"/>
  <c r="I25"/>
  <c r="E25"/>
  <c r="C25"/>
  <c r="G25"/>
  <c r="D25"/>
  <c r="B26"/>
  <c r="P75" i="31"/>
  <c r="N76"/>
  <c r="R26" i="25" l="1"/>
  <c r="O76" i="31"/>
  <c r="M77"/>
  <c r="K78"/>
  <c r="L78" s="1"/>
  <c r="J79"/>
  <c r="Q26" i="25"/>
  <c r="O26"/>
  <c r="L26"/>
  <c r="P26"/>
  <c r="J26"/>
  <c r="K26"/>
  <c r="M26"/>
  <c r="N26"/>
  <c r="H26"/>
  <c r="I26"/>
  <c r="B27"/>
  <c r="C26"/>
  <c r="G26"/>
  <c r="D26"/>
  <c r="E26"/>
  <c r="P76" i="31"/>
  <c r="N77"/>
  <c r="R27" i="25" l="1"/>
  <c r="O77" i="31"/>
  <c r="M78"/>
  <c r="K79"/>
  <c r="L79" s="1"/>
  <c r="J80"/>
  <c r="L27" i="25"/>
  <c r="Q27"/>
  <c r="N27"/>
  <c r="J27"/>
  <c r="P27"/>
  <c r="O27"/>
  <c r="K27"/>
  <c r="M27"/>
  <c r="I27"/>
  <c r="H27"/>
  <c r="B28"/>
  <c r="C27"/>
  <c r="D27"/>
  <c r="E27"/>
  <c r="P77" i="31"/>
  <c r="N78"/>
  <c r="R28" i="25" l="1"/>
  <c r="O78" i="31"/>
  <c r="M79"/>
  <c r="K80"/>
  <c r="L80" s="1"/>
  <c r="J81"/>
  <c r="Q28" i="25"/>
  <c r="O28"/>
  <c r="M28"/>
  <c r="K28"/>
  <c r="L28"/>
  <c r="J28"/>
  <c r="P28"/>
  <c r="N28"/>
  <c r="H28"/>
  <c r="I28"/>
  <c r="E28"/>
  <c r="C28"/>
  <c r="B29"/>
  <c r="D28"/>
  <c r="P78" i="31"/>
  <c r="N79"/>
  <c r="R29" i="25" l="1"/>
  <c r="O79" i="31"/>
  <c r="M80"/>
  <c r="K81"/>
  <c r="L81" s="1"/>
  <c r="J82"/>
  <c r="P29" i="25"/>
  <c r="Q29"/>
  <c r="K29"/>
  <c r="N29"/>
  <c r="M29"/>
  <c r="O29"/>
  <c r="L29"/>
  <c r="J29"/>
  <c r="I29"/>
  <c r="H29"/>
  <c r="B30"/>
  <c r="C29"/>
  <c r="E29"/>
  <c r="D29"/>
  <c r="P79" i="31"/>
  <c r="N80"/>
  <c r="R30" i="25" l="1"/>
  <c r="O80" i="31"/>
  <c r="M81"/>
  <c r="K82"/>
  <c r="L82" s="1"/>
  <c r="J83"/>
  <c r="M30" i="25"/>
  <c r="O30"/>
  <c r="L30"/>
  <c r="N30"/>
  <c r="Q30"/>
  <c r="J30"/>
  <c r="P30"/>
  <c r="K30"/>
  <c r="H30"/>
  <c r="I30"/>
  <c r="B31"/>
  <c r="D30"/>
  <c r="E30"/>
  <c r="C30"/>
  <c r="P80" i="31"/>
  <c r="N81"/>
  <c r="R31" i="25" l="1"/>
  <c r="O81" i="31"/>
  <c r="M82"/>
  <c r="K83"/>
  <c r="L83" s="1"/>
  <c r="J84"/>
  <c r="O31" i="25"/>
  <c r="P31"/>
  <c r="K31"/>
  <c r="M31"/>
  <c r="Q31"/>
  <c r="L31"/>
  <c r="N31"/>
  <c r="J31"/>
  <c r="H31"/>
  <c r="I31"/>
  <c r="E31"/>
  <c r="C31"/>
  <c r="B32"/>
  <c r="D31"/>
  <c r="P81" i="31"/>
  <c r="N82"/>
  <c r="R32" i="25" l="1"/>
  <c r="O82" i="31"/>
  <c r="M83"/>
  <c r="K84"/>
  <c r="L84" s="1"/>
  <c r="J85"/>
  <c r="J32" i="25"/>
  <c r="K32"/>
  <c r="O32"/>
  <c r="L32"/>
  <c r="M32"/>
  <c r="Q32"/>
  <c r="P32"/>
  <c r="N32"/>
  <c r="I32"/>
  <c r="H32"/>
  <c r="C32"/>
  <c r="E32"/>
  <c r="D32"/>
  <c r="B33"/>
  <c r="P82" i="31"/>
  <c r="N83"/>
  <c r="R33" i="25" l="1"/>
  <c r="O83" i="31"/>
  <c r="M84"/>
  <c r="K85"/>
  <c r="L85" s="1"/>
  <c r="J86"/>
  <c r="L33" i="25"/>
  <c r="J33"/>
  <c r="P33"/>
  <c r="O33"/>
  <c r="K33"/>
  <c r="Q33"/>
  <c r="N33"/>
  <c r="M33"/>
  <c r="I33"/>
  <c r="H33"/>
  <c r="B34"/>
  <c r="D33"/>
  <c r="C33"/>
  <c r="E33"/>
  <c r="P83" i="31"/>
  <c r="N84"/>
  <c r="R34" i="25" l="1"/>
  <c r="O84" i="31"/>
  <c r="M85"/>
  <c r="K86"/>
  <c r="L86" s="1"/>
  <c r="J87"/>
  <c r="O34" i="25"/>
  <c r="M34"/>
  <c r="K34"/>
  <c r="J34"/>
  <c r="P34"/>
  <c r="Q34"/>
  <c r="N34"/>
  <c r="L34"/>
  <c r="I34"/>
  <c r="H34"/>
  <c r="D34"/>
  <c r="B35"/>
  <c r="C34"/>
  <c r="E34"/>
  <c r="P84" i="31"/>
  <c r="N85"/>
  <c r="R35" i="25" l="1"/>
  <c r="O85" i="31"/>
  <c r="M86"/>
  <c r="K87"/>
  <c r="L87" s="1"/>
  <c r="J88"/>
  <c r="L35" i="25"/>
  <c r="O35"/>
  <c r="Q35"/>
  <c r="K35"/>
  <c r="J35"/>
  <c r="P35"/>
  <c r="M35"/>
  <c r="N35"/>
  <c r="I35"/>
  <c r="H35"/>
  <c r="C35"/>
  <c r="E35"/>
  <c r="B36"/>
  <c r="D35"/>
  <c r="P85" i="31"/>
  <c r="N86"/>
  <c r="R36" i="25" l="1"/>
  <c r="O86" i="31"/>
  <c r="M87"/>
  <c r="K88"/>
  <c r="L88" s="1"/>
  <c r="J89"/>
  <c r="Q36" i="25"/>
  <c r="K36"/>
  <c r="J36"/>
  <c r="M36"/>
  <c r="N36"/>
  <c r="O36"/>
  <c r="P36"/>
  <c r="L36"/>
  <c r="I36"/>
  <c r="H36"/>
  <c r="D36"/>
  <c r="C36"/>
  <c r="B37"/>
  <c r="E36"/>
  <c r="P86" i="31"/>
  <c r="N87"/>
  <c r="R37" i="25" l="1"/>
  <c r="O87" i="31"/>
  <c r="M88"/>
  <c r="K89"/>
  <c r="L89" s="1"/>
  <c r="J90"/>
  <c r="P37" i="25"/>
  <c r="L37"/>
  <c r="K37"/>
  <c r="M37"/>
  <c r="J37"/>
  <c r="O37"/>
  <c r="Q37"/>
  <c r="N37"/>
  <c r="H37"/>
  <c r="I37"/>
  <c r="E37"/>
  <c r="D37"/>
  <c r="B38"/>
  <c r="C37"/>
  <c r="P87" i="31"/>
  <c r="N88"/>
  <c r="R38" i="25" l="1"/>
  <c r="O88" i="31"/>
  <c r="M89"/>
  <c r="K90"/>
  <c r="L90" s="1"/>
  <c r="J91"/>
  <c r="P38" i="25"/>
  <c r="M38"/>
  <c r="K38"/>
  <c r="J38"/>
  <c r="L38"/>
  <c r="N38"/>
  <c r="O38"/>
  <c r="Q38"/>
  <c r="H38"/>
  <c r="I38"/>
  <c r="D38"/>
  <c r="B39"/>
  <c r="C38"/>
  <c r="E38"/>
  <c r="P88" i="31"/>
  <c r="N89"/>
  <c r="R39" i="25" l="1"/>
  <c r="O89" i="31"/>
  <c r="M90"/>
  <c r="K91"/>
  <c r="L91" s="1"/>
  <c r="J92"/>
  <c r="P39" i="25"/>
  <c r="N39"/>
  <c r="J39"/>
  <c r="K39"/>
  <c r="M39"/>
  <c r="L39"/>
  <c r="O39"/>
  <c r="Q39"/>
  <c r="H39"/>
  <c r="I39"/>
  <c r="C39"/>
  <c r="D39"/>
  <c r="B40"/>
  <c r="E39"/>
  <c r="P89" i="31"/>
  <c r="N90"/>
  <c r="R40" i="25" l="1"/>
  <c r="O90" i="31"/>
  <c r="M91"/>
  <c r="K92"/>
  <c r="L92" s="1"/>
  <c r="J93"/>
  <c r="M40" i="25"/>
  <c r="N40"/>
  <c r="L40"/>
  <c r="K40"/>
  <c r="O40"/>
  <c r="Q40"/>
  <c r="J40"/>
  <c r="P40"/>
  <c r="I40"/>
  <c r="H40"/>
  <c r="B41"/>
  <c r="E40"/>
  <c r="C40"/>
  <c r="D40"/>
  <c r="P90" i="31"/>
  <c r="N91"/>
  <c r="R41" i="25" l="1"/>
  <c r="O91" i="31"/>
  <c r="M92"/>
  <c r="K93"/>
  <c r="L93" s="1"/>
  <c r="J94"/>
  <c r="M41" i="25"/>
  <c r="P41"/>
  <c r="K41"/>
  <c r="J41"/>
  <c r="L41"/>
  <c r="Q41"/>
  <c r="N41"/>
  <c r="O41"/>
  <c r="H41"/>
  <c r="I41"/>
  <c r="B42"/>
  <c r="E41"/>
  <c r="D41"/>
  <c r="C41"/>
  <c r="N92" i="31"/>
  <c r="P91"/>
  <c r="R42" i="25" l="1"/>
  <c r="O92" i="31"/>
  <c r="M93"/>
  <c r="K94"/>
  <c r="L94" s="1"/>
  <c r="J95"/>
  <c r="M42" i="25"/>
  <c r="Q42"/>
  <c r="O42"/>
  <c r="L42"/>
  <c r="K42"/>
  <c r="N42"/>
  <c r="P42"/>
  <c r="J42"/>
  <c r="I42"/>
  <c r="H42"/>
  <c r="C42"/>
  <c r="D42"/>
  <c r="B43"/>
  <c r="E42"/>
  <c r="P92" i="31"/>
  <c r="N93"/>
  <c r="R43" i="25" l="1"/>
  <c r="O93" i="31"/>
  <c r="M94"/>
  <c r="K95"/>
  <c r="L95" s="1"/>
  <c r="J96"/>
  <c r="O43" i="25"/>
  <c r="L43"/>
  <c r="N43"/>
  <c r="P43"/>
  <c r="J43"/>
  <c r="Q43"/>
  <c r="M43"/>
  <c r="K43"/>
  <c r="H43"/>
  <c r="I43"/>
  <c r="E43"/>
  <c r="D43"/>
  <c r="B44"/>
  <c r="C43"/>
  <c r="P93" i="31"/>
  <c r="N94"/>
  <c r="R44" i="25" l="1"/>
  <c r="O94" i="31"/>
  <c r="M95"/>
  <c r="K96"/>
  <c r="L96" s="1"/>
  <c r="J97"/>
  <c r="O44" i="25"/>
  <c r="M44"/>
  <c r="L44"/>
  <c r="J44"/>
  <c r="P44"/>
  <c r="K44"/>
  <c r="Q44"/>
  <c r="N44"/>
  <c r="I44"/>
  <c r="H44"/>
  <c r="D44"/>
  <c r="C44"/>
  <c r="B45"/>
  <c r="E44"/>
  <c r="P94" i="31"/>
  <c r="N95"/>
  <c r="R45" i="25" l="1"/>
  <c r="O95" i="31"/>
  <c r="M96"/>
  <c r="K97"/>
  <c r="L97" s="1"/>
  <c r="J98"/>
  <c r="J45" i="25"/>
  <c r="M45"/>
  <c r="O45"/>
  <c r="P45"/>
  <c r="K45"/>
  <c r="N45"/>
  <c r="Q45"/>
  <c r="L45"/>
  <c r="H45"/>
  <c r="I45"/>
  <c r="C45"/>
  <c r="B46"/>
  <c r="D45"/>
  <c r="E45"/>
  <c r="P95" i="31"/>
  <c r="N96"/>
  <c r="R46" i="25" l="1"/>
  <c r="O96" i="31"/>
  <c r="M97"/>
  <c r="K98"/>
  <c r="L98" s="1"/>
  <c r="J99"/>
  <c r="P46" i="25"/>
  <c r="O46"/>
  <c r="N46"/>
  <c r="Q46"/>
  <c r="L46"/>
  <c r="M46"/>
  <c r="K46"/>
  <c r="J46"/>
  <c r="I46"/>
  <c r="H46"/>
  <c r="E46"/>
  <c r="D46"/>
  <c r="C46"/>
  <c r="B47"/>
  <c r="P96" i="31"/>
  <c r="N97"/>
  <c r="R47" i="25" l="1"/>
  <c r="O97" i="31"/>
  <c r="M98"/>
  <c r="K99"/>
  <c r="L99" s="1"/>
  <c r="J100"/>
  <c r="M47" i="25"/>
  <c r="L47"/>
  <c r="Q47"/>
  <c r="N47"/>
  <c r="J47"/>
  <c r="O47"/>
  <c r="P47"/>
  <c r="K47"/>
  <c r="H47"/>
  <c r="I47"/>
  <c r="E47"/>
  <c r="D47"/>
  <c r="C47"/>
  <c r="B48"/>
  <c r="P97" i="31"/>
  <c r="N98"/>
  <c r="R48" i="25" l="1"/>
  <c r="O98" i="31"/>
  <c r="M99"/>
  <c r="K100"/>
  <c r="L100" s="1"/>
  <c r="J101"/>
  <c r="K48" i="25"/>
  <c r="L48"/>
  <c r="J48"/>
  <c r="M48"/>
  <c r="P48"/>
  <c r="Q48"/>
  <c r="O48"/>
  <c r="N48"/>
  <c r="H48"/>
  <c r="I48"/>
  <c r="B49"/>
  <c r="C48"/>
  <c r="E48"/>
  <c r="D48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H49"/>
  <c r="I49"/>
  <c r="E49"/>
  <c r="B50"/>
  <c r="C49"/>
  <c r="D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B51"/>
  <c r="E50"/>
  <c r="C50"/>
  <c r="D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I51" i="25"/>
  <c r="H51"/>
  <c r="E51"/>
  <c r="D51"/>
  <c r="C51"/>
  <c r="B52"/>
  <c r="G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B53"/>
  <c r="G52"/>
  <c r="D52"/>
  <c r="E52"/>
  <c r="C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I53" i="25"/>
  <c r="H53"/>
  <c r="G53"/>
  <c r="E53"/>
  <c r="B54"/>
  <c r="F53"/>
  <c r="D53"/>
  <c r="C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H54" i="25"/>
  <c r="I54"/>
  <c r="G54"/>
  <c r="E54"/>
  <c r="F54"/>
  <c r="C54"/>
  <c r="D54"/>
  <c r="B55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I55" i="25"/>
  <c r="H55"/>
  <c r="E55"/>
  <c r="D55"/>
  <c r="B56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H56" i="25"/>
  <c r="I56"/>
  <c r="C56"/>
  <c r="B57"/>
  <c r="E56"/>
  <c r="D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I57" i="25"/>
  <c r="H57"/>
  <c r="E57"/>
  <c r="B58"/>
  <c r="C57"/>
  <c r="G57"/>
  <c r="D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H58"/>
  <c r="E58"/>
  <c r="B59"/>
  <c r="D58"/>
  <c r="C58"/>
  <c r="F58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H59" i="25"/>
  <c r="I59"/>
  <c r="G59"/>
  <c r="C59"/>
  <c r="F59"/>
  <c r="B60"/>
  <c r="E59"/>
  <c r="D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H60" i="25"/>
  <c r="I60"/>
  <c r="D60"/>
  <c r="C60"/>
  <c r="B61"/>
  <c r="F60"/>
  <c r="G60"/>
  <c r="E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H61" i="25"/>
  <c r="I61"/>
  <c r="C61"/>
  <c r="B62"/>
  <c r="D61"/>
  <c r="F61"/>
  <c r="E61"/>
  <c r="G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I62" i="25"/>
  <c r="H62"/>
  <c r="E62"/>
  <c r="G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I63" i="25"/>
  <c r="H63"/>
  <c r="C63"/>
  <c r="D63"/>
  <c r="E63"/>
  <c r="F63"/>
  <c r="G63"/>
  <c r="B64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I64"/>
  <c r="F64"/>
  <c r="C64"/>
  <c r="E64"/>
  <c r="G64"/>
  <c r="D64"/>
  <c r="B65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H65" i="25"/>
  <c r="I65"/>
  <c r="F65"/>
  <c r="D65"/>
  <c r="C65"/>
  <c r="B66"/>
  <c r="G65"/>
  <c r="E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H66" i="25"/>
  <c r="I66"/>
  <c r="D66"/>
  <c r="C66"/>
  <c r="E66"/>
  <c r="F66"/>
  <c r="G66"/>
  <c r="B67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H67" i="25"/>
  <c r="I67"/>
  <c r="E67"/>
  <c r="D67"/>
  <c r="B68"/>
  <c r="G67"/>
  <c r="C67"/>
  <c r="F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G68"/>
  <c r="B69"/>
  <c r="D68"/>
  <c r="C68"/>
  <c r="E68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H69" i="25"/>
  <c r="I69"/>
  <c r="B70"/>
  <c r="F69"/>
  <c r="E69"/>
  <c r="G69"/>
  <c r="D69"/>
  <c r="C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I70"/>
  <c r="E70"/>
  <c r="C70"/>
  <c r="D70"/>
  <c r="F70"/>
  <c r="B71"/>
  <c r="G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H71" i="25"/>
  <c r="I71"/>
  <c r="G71"/>
  <c r="B72"/>
  <c r="C71"/>
  <c r="D71"/>
  <c r="E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I72" i="25"/>
  <c r="H72"/>
  <c r="F72"/>
  <c r="G72"/>
  <c r="B73"/>
  <c r="D72"/>
  <c r="C72"/>
  <c r="E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H73" i="25"/>
  <c r="I73"/>
  <c r="D73"/>
  <c r="B74"/>
  <c r="E73"/>
  <c r="F73"/>
  <c r="G73"/>
  <c r="C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H74" i="25"/>
  <c r="I74"/>
  <c r="D74"/>
  <c r="C74"/>
  <c r="B75"/>
  <c r="F74"/>
  <c r="G74"/>
  <c r="E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H75" i="25"/>
  <c r="I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H76" i="25"/>
  <c r="I76"/>
  <c r="G76"/>
  <c r="E76"/>
  <c r="C76"/>
  <c r="D76"/>
  <c r="F76"/>
  <c r="B77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H77" i="25"/>
  <c r="I77"/>
  <c r="D77"/>
  <c r="C77"/>
  <c r="G77"/>
  <c r="B78"/>
  <c r="E77"/>
  <c r="F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I78" i="25"/>
  <c r="H78"/>
  <c r="C78"/>
  <c r="B79"/>
  <c r="G78"/>
  <c r="E78"/>
  <c r="F78"/>
  <c r="D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I79" i="25"/>
  <c r="H79"/>
  <c r="B80"/>
  <c r="D79"/>
  <c r="G79"/>
  <c r="E79"/>
  <c r="F79"/>
  <c r="C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H80" i="25"/>
  <c r="I80"/>
  <c r="G80"/>
  <c r="D80"/>
  <c r="C80"/>
  <c r="F80"/>
  <c r="B81"/>
  <c r="E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I81" i="25"/>
  <c r="H81"/>
  <c r="E81"/>
  <c r="F81"/>
  <c r="B82"/>
  <c r="D81"/>
  <c r="C81"/>
  <c r="G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I82" i="25"/>
  <c r="H82"/>
  <c r="C82"/>
  <c r="D82"/>
  <c r="G82"/>
  <c r="E82"/>
  <c r="F82"/>
  <c r="B83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I83" i="25"/>
  <c r="H83"/>
  <c r="B84"/>
  <c r="D83"/>
  <c r="E83"/>
  <c r="G83"/>
  <c r="C83"/>
  <c r="F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I84" i="25"/>
  <c r="H84"/>
  <c r="G84"/>
  <c r="E84"/>
  <c r="F84"/>
  <c r="D84"/>
  <c r="B85"/>
  <c r="C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H85" i="25"/>
  <c r="I85"/>
  <c r="D85"/>
  <c r="E85"/>
  <c r="G85"/>
  <c r="C85"/>
  <c r="B86"/>
  <c r="F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H86" i="25"/>
  <c r="I86"/>
  <c r="D86"/>
  <c r="B87"/>
  <c r="G86"/>
  <c r="C86"/>
  <c r="F86"/>
  <c r="E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E87" i="25"/>
  <c r="F87"/>
  <c r="G87"/>
  <c r="D87"/>
  <c r="C87"/>
  <c r="B88"/>
  <c r="H87"/>
  <c r="I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D88"/>
  <c r="H88"/>
  <c r="F88"/>
  <c r="G88"/>
  <c r="I88"/>
  <c r="C88"/>
  <c r="E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B90" i="25"/>
  <c r="C89"/>
  <c r="E89"/>
  <c r="F89"/>
  <c r="I89"/>
  <c r="G89"/>
  <c r="H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E90" i="25"/>
  <c r="H90"/>
  <c r="B91"/>
  <c r="D90"/>
  <c r="F90"/>
  <c r="C90"/>
  <c r="I90"/>
  <c r="G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E91" i="25"/>
  <c r="F91"/>
  <c r="I91"/>
  <c r="G91"/>
  <c r="C91"/>
  <c r="D91"/>
  <c r="H91"/>
  <c r="B92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D92" i="25"/>
  <c r="H92"/>
  <c r="G92"/>
  <c r="E92"/>
  <c r="C92"/>
  <c r="F92"/>
  <c r="I92"/>
  <c r="B93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D93" i="25"/>
  <c r="G93"/>
  <c r="C93"/>
  <c r="B94"/>
  <c r="F93"/>
  <c r="I93"/>
  <c r="H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F94" i="25"/>
  <c r="E94"/>
  <c r="H94"/>
  <c r="D94"/>
  <c r="I94"/>
  <c r="G94"/>
  <c r="B95"/>
  <c r="C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I95" i="25"/>
  <c r="H95"/>
  <c r="C95"/>
  <c r="E95"/>
  <c r="D95"/>
  <c r="G95"/>
  <c r="B96"/>
  <c r="F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I96" i="25"/>
  <c r="C96"/>
  <c r="D96"/>
  <c r="H96"/>
  <c r="F96"/>
  <c r="E96"/>
  <c r="B97"/>
  <c r="G96"/>
  <c r="P146" i="31"/>
  <c r="P147"/>
  <c r="M97" i="25" l="1"/>
  <c r="L97"/>
  <c r="K97"/>
  <c r="J97"/>
  <c r="O97"/>
  <c r="N97"/>
  <c r="Q97"/>
  <c r="P97"/>
  <c r="R97"/>
  <c r="M148" i="31"/>
  <c r="K149"/>
  <c r="L149" s="1"/>
  <c r="J150"/>
  <c r="I97" i="25"/>
  <c r="G97"/>
  <c r="H97"/>
  <c r="E97"/>
  <c r="C97"/>
  <c r="F97"/>
  <c r="B98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G98" i="25"/>
  <c r="H98"/>
  <c r="C98"/>
  <c r="E98"/>
  <c r="B99"/>
  <c r="I98"/>
  <c r="F98"/>
  <c r="D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B100"/>
  <c r="F99"/>
  <c r="H99"/>
  <c r="E99"/>
  <c r="C99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B101" i="25"/>
  <c r="D100"/>
  <c r="I100"/>
  <c r="E100"/>
  <c r="C100"/>
  <c r="G100"/>
  <c r="F100"/>
  <c r="H100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F101" i="25"/>
  <c r="H101"/>
  <c r="C101"/>
  <c r="I101"/>
  <c r="E101"/>
  <c r="G101"/>
  <c r="D101"/>
  <c r="B102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B103" i="25"/>
  <c r="H102"/>
  <c r="D102"/>
  <c r="G102"/>
  <c r="C102"/>
  <c r="I102"/>
  <c r="E102"/>
  <c r="F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E103" i="25"/>
  <c r="G103"/>
  <c r="F103"/>
  <c r="B104"/>
  <c r="D103"/>
  <c r="H103"/>
  <c r="C103"/>
  <c r="I103"/>
  <c r="P153" i="31"/>
  <c r="N154"/>
  <c r="F104" i="25" l="1"/>
  <c r="M104"/>
  <c r="E104"/>
  <c r="C104"/>
  <c r="D104"/>
  <c r="L104"/>
  <c r="B105"/>
  <c r="K104"/>
  <c r="J104"/>
  <c r="Q104"/>
  <c r="I104"/>
  <c r="P104"/>
  <c r="H104"/>
  <c r="O104"/>
  <c r="G104"/>
  <c r="N104"/>
  <c r="R104"/>
  <c r="O154" i="31"/>
  <c r="M155"/>
  <c r="K156"/>
  <c r="L156" s="1"/>
  <c r="J157"/>
  <c r="P154"/>
  <c r="N155"/>
  <c r="E105" i="25" l="1"/>
  <c r="M105"/>
  <c r="D105"/>
  <c r="L105"/>
  <c r="C105"/>
  <c r="K105"/>
  <c r="B106"/>
  <c r="J105"/>
  <c r="I105"/>
  <c r="Q105"/>
  <c r="H105"/>
  <c r="P105"/>
  <c r="F105"/>
  <c r="N105"/>
  <c r="G105"/>
  <c r="O105"/>
  <c r="R105"/>
  <c r="O155" i="31"/>
  <c r="M156"/>
  <c r="K157"/>
  <c r="L157" s="1"/>
  <c r="J158"/>
  <c r="P155"/>
  <c r="N156"/>
  <c r="F106" i="25" l="1"/>
  <c r="P106"/>
  <c r="D106"/>
  <c r="O106"/>
  <c r="M106"/>
  <c r="Q106"/>
  <c r="K106"/>
  <c r="L106"/>
  <c r="I106"/>
  <c r="C106"/>
  <c r="N106"/>
  <c r="B107"/>
  <c r="J106"/>
  <c r="G106"/>
  <c r="H106"/>
  <c r="E106"/>
  <c r="R106"/>
  <c r="O156" i="31"/>
  <c r="M157"/>
  <c r="K158"/>
  <c r="L158" s="1"/>
  <c r="J159"/>
  <c r="P156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0" i="27" l="1"/>
  <c r="O20"/>
  <c r="P5"/>
  <c r="P6"/>
  <c r="O4"/>
  <c r="O14"/>
  <c r="O17"/>
  <c r="O500" i="31"/>
  <c r="O501"/>
  <c r="F26" i="25"/>
  <c r="G12"/>
  <c r="F20"/>
  <c r="F18"/>
  <c r="F23"/>
  <c r="G11"/>
  <c r="F16"/>
  <c r="F10"/>
  <c r="P501" i="31"/>
  <c r="P500"/>
  <c r="P52" i="27" l="1"/>
  <c r="O51"/>
  <c r="P50"/>
  <c r="O50"/>
  <c r="P49"/>
  <c r="O49"/>
  <c r="O46"/>
  <c r="O44"/>
  <c r="P43"/>
  <c r="P42"/>
  <c r="P41"/>
  <c r="P40"/>
  <c r="P39"/>
  <c r="O43"/>
  <c r="O42"/>
  <c r="O41"/>
  <c r="O40"/>
  <c r="O39"/>
  <c r="P38"/>
  <c r="P37"/>
  <c r="O38"/>
  <c r="O37"/>
  <c r="P36"/>
  <c r="O36"/>
  <c r="P35"/>
  <c r="O35"/>
  <c r="P34"/>
  <c r="P33"/>
  <c r="P32"/>
  <c r="O34"/>
  <c r="O33"/>
  <c r="O32"/>
  <c r="P31"/>
  <c r="P30"/>
  <c r="P29"/>
  <c r="P28"/>
  <c r="O30"/>
  <c r="O29"/>
  <c r="O31"/>
  <c r="O28"/>
  <c r="P27"/>
  <c r="O27"/>
  <c r="P26"/>
  <c r="O26"/>
  <c r="P25"/>
  <c r="O25"/>
  <c r="P24"/>
  <c r="P23"/>
  <c r="P22"/>
  <c r="O24"/>
  <c r="O22"/>
  <c r="O23"/>
  <c r="P21"/>
  <c r="O21"/>
  <c r="O19"/>
  <c r="O16"/>
  <c r="O13"/>
  <c r="O11"/>
  <c r="G55" i="25"/>
  <c r="F38"/>
  <c r="F48"/>
  <c r="G27"/>
  <c r="F36"/>
  <c r="G42"/>
  <c r="G35"/>
  <c r="F25"/>
  <c r="G39"/>
  <c r="F50"/>
  <c r="F39"/>
  <c r="F52"/>
  <c r="F32"/>
  <c r="F37"/>
  <c r="F55"/>
  <c r="G46"/>
  <c r="G45"/>
  <c r="G33"/>
  <c r="F28"/>
  <c r="G34"/>
  <c r="F44"/>
  <c r="G49"/>
  <c r="F42"/>
  <c r="F40"/>
  <c r="G30"/>
  <c r="G56"/>
  <c r="F49"/>
  <c r="F30"/>
  <c r="G43"/>
  <c r="F57"/>
  <c r="F51"/>
  <c r="G38"/>
  <c r="F27"/>
  <c r="F34"/>
  <c r="G28"/>
  <c r="G36"/>
  <c r="G29"/>
  <c r="G44"/>
  <c r="F41"/>
  <c r="G40"/>
  <c r="F56"/>
  <c r="F45"/>
  <c r="G48"/>
  <c r="F46"/>
  <c r="F35"/>
  <c r="G37"/>
  <c r="F43"/>
  <c r="G32"/>
  <c r="G58"/>
  <c r="G50"/>
  <c r="F29"/>
  <c r="F47"/>
  <c r="G31"/>
  <c r="G47"/>
  <c r="F31"/>
  <c r="G41"/>
  <c r="F33"/>
  <c r="F19"/>
  <c r="F22"/>
  <c r="F17"/>
</calcChain>
</file>

<file path=xl/sharedStrings.xml><?xml version="1.0" encoding="utf-8"?>
<sst xmlns="http://schemas.openxmlformats.org/spreadsheetml/2006/main" count="4749" uniqueCount="1506">
  <si>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</si>
  <si>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</si>
  <si>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</si>
  <si>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</si>
  <si>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</si>
  <si>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</si>
  <si>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</si>
  <si>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</si>
  <si>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</si>
  <si>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</si>
  <si>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</si>
  <si>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</si>
  <si>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</si>
  <si>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</si>
  <si>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</si>
  <si>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</si>
  <si>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</si>
  <si>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</si>
  <si>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</si>
  <si>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</si>
  <si>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</si>
  <si>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</si>
  <si>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</si>
  <si>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</si>
  <si>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</si>
  <si>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</si>
  <si>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</si>
  <si>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</si>
  <si>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</si>
  <si>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</si>
  <si>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</si>
  <si>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</si>
  <si>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</si>
  <si>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</si>
  <si>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</si>
  <si>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</si>
  <si>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</si>
  <si>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</si>
  <si>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</si>
  <si>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</si>
  <si>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</si>
  <si>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</si>
  <si>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</si>
  <si>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</si>
  <si>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</si>
  <si>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</si>
  <si>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</si>
  <si>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</si>
  <si>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</si>
  <si>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</si>
  <si>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</si>
  <si>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</si>
  <si>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</si>
  <si>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</si>
  <si>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</si>
  <si>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</si>
  <si>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</si>
  <si>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</si>
  <si>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</si>
  <si>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</si>
  <si>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</si>
  <si>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</si>
  <si>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</si>
  <si>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</si>
  <si>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</si>
  <si>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</si>
  <si>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</si>
  <si>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</si>
  <si>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</si>
  <si>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</si>
  <si>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</si>
  <si>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</si>
  <si>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</si>
  <si>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</si>
  <si>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</si>
  <si>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</si>
  <si>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</si>
  <si>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</si>
  <si>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</si>
  <si>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</si>
  <si>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</si>
  <si>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</si>
  <si>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</si>
  <si>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</si>
  <si>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</si>
  <si>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</si>
  <si>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</si>
  <si>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</si>
  <si>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</si>
  <si>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</si>
  <si>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</si>
  <si>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</si>
  <si>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</si>
  <si>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</si>
  <si>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</si>
  <si>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</si>
  <si>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</si>
  <si>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</si>
  <si>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</si>
  <si>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</si>
  <si>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</si>
  <si>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</si>
  <si>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</si>
  <si>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</si>
  <si>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</si>
  <si>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</si>
  <si>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</si>
  <si>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</si>
  <si>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</si>
  <si>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</si>
  <si>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</si>
  <si>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</si>
  <si>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</si>
  <si>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</si>
  <si>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</si>
  <si>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</si>
  <si>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</si>
  <si>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</si>
  <si>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</si>
  <si>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</si>
  <si>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</si>
  <si>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</si>
  <si>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</si>
  <si>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</si>
  <si>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</si>
  <si>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</si>
  <si>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</si>
  <si>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</si>
  <si>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</si>
  <si>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</si>
  <si>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</si>
  <si>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</si>
  <si>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</si>
  <si>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</si>
  <si>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</si>
  <si>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</si>
  <si>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</si>
  <si>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</si>
  <si>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</si>
  <si>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</si>
  <si>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</si>
  <si>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</si>
  <si>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</si>
  <si>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</si>
  <si>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</si>
  <si>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</si>
  <si>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</si>
  <si>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</si>
  <si>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</si>
  <si>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</si>
  <si>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</si>
  <si>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</si>
  <si>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</si>
  <si>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</si>
  <si>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</si>
  <si>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</si>
  <si>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</si>
  <si>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</si>
  <si>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</si>
  <si>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</si>
  <si>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</si>
  <si>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</si>
  <si>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</si>
  <si>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</si>
  <si>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</si>
  <si>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</si>
  <si>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</si>
  <si>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</si>
  <si>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</si>
  <si>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</si>
  <si>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</si>
  <si>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</si>
  <si>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</si>
  <si>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</si>
  <si>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</si>
  <si>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</si>
  <si>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</si>
  <si>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</si>
  <si>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</si>
  <si>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</si>
  <si>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</si>
  <si>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</si>
  <si>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</si>
  <si>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</si>
  <si>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</si>
  <si>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</si>
  <si>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</si>
  <si>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</si>
  <si>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</si>
  <si>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</si>
  <si>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</si>
  <si>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</si>
  <si>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</si>
  <si>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</si>
  <si>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</si>
  <si>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</si>
  <si>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</si>
  <si>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</si>
  <si>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</si>
  <si>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</si>
  <si>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</si>
  <si>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</si>
  <si>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</si>
  <si>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</si>
  <si>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</si>
  <si>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</si>
  <si>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</si>
  <si>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</si>
  <si>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</si>
  <si>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</si>
  <si>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</si>
  <si>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</si>
  <si>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</si>
  <si>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</si>
  <si>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</si>
  <si>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</si>
  <si>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</si>
  <si>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</si>
  <si>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</si>
  <si>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</si>
  <si>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</si>
  <si>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</si>
  <si>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</si>
  <si>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</si>
  <si>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</si>
  <si>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</si>
  <si>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</si>
  <si>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</si>
  <si>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</si>
  <si>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</si>
  <si>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</si>
  <si>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</si>
  <si>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</si>
  <si>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</si>
  <si>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</si>
  <si>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</si>
  <si>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</si>
  <si>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</si>
  <si>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</si>
  <si>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</si>
  <si>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</si>
  <si>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</si>
  <si>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</si>
  <si>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</si>
  <si>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</si>
  <si>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</si>
  <si>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</si>
  <si>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</si>
  <si>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</si>
  <si>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</si>
  <si>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</si>
  <si>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</si>
  <si>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</si>
  <si>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</si>
  <si>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</si>
  <si>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</si>
  <si>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</si>
  <si>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</si>
  <si>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</si>
  <si>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</si>
  <si>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</si>
  <si>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</si>
  <si>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</si>
  <si>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</si>
  <si>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</si>
  <si>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</si>
  <si>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</si>
  <si>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</si>
  <si>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</si>
  <si>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</si>
  <si>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</si>
  <si>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</si>
  <si>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</si>
  <si>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</si>
  <si>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</si>
  <si>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</si>
  <si>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</si>
  <si>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</si>
  <si>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</si>
  <si>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</si>
  <si>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</si>
  <si>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</si>
  <si>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</si>
  <si>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</si>
  <si>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</si>
  <si>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</si>
  <si>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</si>
  <si>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</si>
  <si>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</si>
  <si>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</si>
  <si>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</si>
  <si>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</si>
  <si>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</si>
  <si>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</si>
  <si>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</si>
  <si>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</si>
  <si>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</si>
  <si>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</si>
  <si>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</si>
  <si>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</si>
  <si>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</si>
  <si>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</si>
  <si>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</si>
  <si>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</si>
  <si>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</si>
  <si>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</si>
  <si>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</si>
  <si>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</si>
  <si>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</si>
  <si>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</si>
  <si>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</si>
  <si>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</si>
  <si>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</si>
  <si>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</si>
  <si>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</si>
  <si>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</si>
  <si>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</si>
  <si>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</si>
  <si>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</si>
  <si>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</si>
  <si>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</si>
  <si>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</si>
  <si>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</si>
  <si>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</si>
  <si>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</si>
  <si>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</si>
  <si>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</si>
  <si>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</si>
  <si>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</si>
  <si>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</si>
  <si>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</si>
  <si>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</si>
  <si>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</si>
  <si>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</si>
  <si>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</si>
  <si>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</si>
  <si>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</si>
  <si>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</si>
  <si>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</si>
  <si>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</si>
  <si>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</si>
  <si>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</si>
  <si>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</si>
  <si>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</si>
  <si>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</si>
  <si>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</si>
  <si>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</si>
  <si>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</si>
  <si>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</si>
  <si>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</si>
  <si>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</si>
  <si>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</si>
  <si>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</si>
  <si>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</si>
  <si>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</si>
  <si>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</si>
  <si>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</si>
  <si>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</si>
  <si>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</si>
  <si>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</si>
  <si>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</si>
  <si>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</si>
  <si>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</si>
  <si>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</si>
  <si>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</si>
  <si>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</si>
  <si>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</si>
  <si>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</si>
  <si>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</si>
  <si>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</si>
  <si>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</si>
  <si>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</si>
  <si>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</si>
  <si>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</si>
  <si>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</si>
  <si>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</si>
  <si>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</si>
  <si>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</si>
  <si>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</si>
  <si>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</si>
  <si>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</si>
  <si>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</si>
  <si>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</si>
  <si>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</si>
  <si>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</si>
  <si>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</si>
  <si>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</si>
  <si>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</si>
  <si>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</si>
  <si>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</si>
  <si>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</si>
  <si>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</si>
  <si>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</si>
  <si>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</si>
  <si>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</si>
  <si>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</si>
  <si>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</si>
  <si>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</si>
  <si>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</si>
  <si>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</si>
  <si>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</si>
  <si>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</si>
  <si>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</si>
  <si>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</si>
  <si>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</si>
  <si>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</si>
  <si>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</si>
  <si>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</si>
  <si>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</si>
  <si>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</si>
  <si>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</si>
  <si>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</si>
  <si>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</si>
  <si>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</si>
  <si>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</si>
  <si>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</si>
  <si>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</si>
  <si>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</si>
  <si>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</si>
  <si>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</si>
  <si>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</si>
  <si>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</si>
  <si>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</si>
  <si>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</si>
  <si>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</si>
  <si>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</si>
  <si>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</si>
  <si>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</si>
  <si>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</si>
  <si>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</si>
  <si>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</si>
  <si>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</si>
  <si>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</si>
  <si>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</si>
  <si>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</si>
  <si>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</si>
  <si>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</si>
  <si>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</si>
  <si>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</si>
  <si>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</si>
  <si>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</si>
  <si>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</si>
  <si>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</si>
  <si>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</si>
  <si>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</si>
  <si>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</si>
  <si>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</si>
  <si>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</si>
  <si>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</si>
  <si>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</si>
  <si>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</si>
  <si>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</si>
  <si>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</si>
  <si>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</si>
  <si>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</si>
  <si>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</si>
  <si>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</si>
  <si>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</si>
  <si>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</si>
  <si>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</si>
  <si>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</si>
  <si>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</si>
  <si>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</si>
  <si>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</si>
  <si>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</si>
  <si>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</si>
  <si>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</si>
  <si>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</si>
  <si>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</si>
  <si>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</si>
  <si>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</si>
  <si>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</si>
  <si>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</si>
  <si>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</si>
  <si>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</si>
  <si>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</si>
  <si>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</si>
  <si>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</si>
  <si>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</si>
  <si>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</si>
  <si>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</si>
  <si>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</si>
  <si>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</si>
  <si>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</si>
  <si>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</si>
  <si>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</si>
  <si>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</si>
  <si>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</si>
  <si>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</si>
  <si>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</si>
  <si>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</si>
  <si>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</si>
  <si>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</si>
  <si>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</si>
  <si>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</si>
  <si>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</si>
  <si>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</si>
  <si>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</si>
  <si>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</si>
  <si>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</si>
  <si>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</si>
  <si>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</si>
  <si>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</si>
  <si>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</si>
  <si>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</si>
  <si>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</si>
  <si>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</si>
  <si>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</si>
  <si>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</si>
  <si>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</si>
  <si>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</si>
  <si>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</si>
  <si>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</si>
  <si>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</si>
  <si>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</si>
  <si>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</si>
  <si>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</si>
  <si>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</si>
  <si>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</si>
  <si>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</si>
  <si>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</si>
  <si>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</si>
  <si>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</si>
  <si>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</si>
  <si>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</si>
  <si>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</si>
  <si>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</si>
  <si>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</si>
  <si>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</si>
  <si>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</si>
  <si>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</si>
  <si>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</si>
  <si>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</si>
  <si>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</si>
  <si>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</si>
  <si>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</si>
  <si>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</si>
  <si>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</si>
  <si>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</si>
  <si>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</si>
  <si>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</si>
  <si>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</si>
  <si>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</si>
  <si>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</si>
  <si>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</si>
  <si>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</si>
  <si>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</si>
  <si>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</si>
  <si>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</si>
  <si>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</si>
  <si>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</si>
  <si>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</si>
  <si>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</si>
  <si>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</si>
  <si>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</si>
  <si>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</si>
  <si>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</si>
  <si>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</si>
  <si>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</si>
  <si>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</si>
  <si>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</si>
  <si>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</si>
  <si>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</si>
  <si>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</si>
  <si>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</si>
  <si>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</si>
  <si>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</si>
  <si>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</si>
  <si>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</si>
  <si>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</si>
  <si>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</si>
  <si>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</si>
  <si>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</si>
  <si>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</si>
  <si>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</si>
  <si>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</si>
  <si>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</si>
  <si>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</si>
  <si>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</si>
  <si>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</si>
  <si>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</si>
  <si>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</si>
  <si>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</si>
  <si>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</si>
  <si>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</si>
  <si>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</si>
  <si>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</si>
  <si>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</si>
  <si>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</si>
  <si>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</si>
  <si>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</si>
  <si>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</si>
  <si>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</si>
  <si>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</si>
  <si>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</si>
  <si>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</si>
  <si>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</si>
  <si>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</si>
  <si>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</si>
  <si>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</si>
  <si>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</si>
  <si>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</si>
  <si>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</si>
  <si>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</si>
  <si>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</si>
  <si>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</si>
  <si>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</si>
  <si>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</si>
  <si>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</si>
  <si>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</si>
  <si>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</si>
  <si>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</si>
  <si>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</si>
  <si>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</si>
  <si>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</si>
  <si>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</si>
  <si>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</si>
  <si>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</si>
  <si>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</si>
  <si>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</si>
  <si>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</si>
  <si>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</si>
  <si>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</si>
  <si>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</si>
  <si>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</si>
  <si>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</si>
  <si>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</si>
  <si>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</si>
  <si>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</si>
  <si>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</si>
  <si>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</si>
  <si>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</si>
  <si>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</si>
  <si>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</si>
  <si>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</si>
  <si>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</si>
  <si>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</si>
  <si>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</si>
  <si>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</si>
  <si>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</si>
  <si>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</si>
  <si>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</si>
  <si>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</si>
  <si>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</si>
  <si>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</si>
  <si>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</si>
  <si>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</si>
  <si>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</si>
  <si>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</si>
  <si>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</si>
  <si>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</si>
  <si>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</si>
  <si>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</si>
  <si>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</si>
  <si>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</si>
  <si>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</si>
  <si>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</si>
  <si>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</si>
  <si>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</si>
  <si>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</si>
  <si>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</si>
  <si>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</si>
  <si>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</si>
  <si>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</si>
  <si>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</si>
  <si>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</si>
  <si>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</si>
  <si>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</si>
  <si>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</si>
  <si>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</si>
  <si>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</si>
  <si>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</si>
  <si>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</si>
  <si>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</si>
  <si>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</si>
  <si>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</si>
  <si>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</si>
  <si>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</si>
  <si>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</si>
  <si>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</si>
  <si>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</si>
  <si>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</si>
  <si>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</si>
  <si>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</si>
  <si>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</si>
  <si>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</si>
  <si>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</si>
  <si>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</si>
  <si>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</si>
  <si>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</si>
  <si>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</si>
  <si>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</si>
  <si>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</si>
  <si>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</si>
  <si>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</si>
  <si>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</si>
  <si>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</si>
  <si>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</si>
  <si>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</si>
  <si>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</si>
  <si>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</si>
  <si>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</si>
  <si>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</si>
  <si>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</si>
  <si>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</si>
  <si>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</si>
  <si>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</si>
  <si>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</si>
  <si>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</si>
  <si>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</si>
  <si>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</si>
  <si>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</si>
  <si>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</si>
  <si>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</si>
  <si>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</si>
  <si>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</si>
  <si>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</si>
  <si>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</si>
  <si>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</si>
  <si>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</si>
  <si>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</si>
  <si>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</si>
  <si>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</si>
  <si>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</si>
  <si>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</si>
  <si>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</si>
  <si>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</si>
  <si>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</si>
  <si>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AdministratorsScope</t>
  </si>
  <si>
    <t>DevelopersScope</t>
  </si>
  <si>
    <t>Users where has group Administrator</t>
  </si>
  <si>
    <t>Users where has group Developers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</si>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</sst>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60">
  <autoFilter ref="A1:J45"/>
  <tableColumns count="10">
    <tableColumn id="2" name="Name" dataDxfId="459"/>
    <tableColumn id="10" name="Table" dataDxfId="458">
      <calculatedColumnFormula>"__"&amp;[Name]</calculatedColumnFormula>
    </tableColumn>
    <tableColumn id="5" name="Singular Name" dataDxfId="457">
      <calculatedColumnFormula>IF(RIGHT([Name],3)="ies",MID([Name],1,LEN([Name])-3)&amp;"y",IF(RIGHT([Name],1)="s",MID([Name],1,LEN([Name])-1),[Name]))</calculatedColumnFormula>
    </tableColumn>
    <tableColumn id="8" name="Model NS" dataDxfId="456">
      <calculatedColumnFormula>"Milestone\Appframe\Model"</calculatedColumnFormula>
    </tableColumn>
    <tableColumn id="4" name="Class Name" dataDxfId="455">
      <calculatedColumnFormula>SUBSTITUTE(PROPER([Singular Name]),"_","")</calculatedColumnFormula>
    </tableColumn>
    <tableColumn id="1" name="Migration Artisan" dataDxfId="454">
      <calculatedColumnFormula>"php artisan make:migration create_"&amp;[Table]&amp;"_table --create=__"&amp;[Name]</calculatedColumnFormula>
    </tableColumn>
    <tableColumn id="6" name="Model Artisan" dataDxfId="453">
      <calculatedColumnFormula>"php artisan make:model "&amp;[Class Name]</calculatedColumnFormula>
    </tableColumn>
    <tableColumn id="3" name="Model Statement" dataDxfId="452">
      <calculatedColumnFormula>"protected $table = '"&amp;[Table]&amp;"';"</calculatedColumnFormula>
    </tableColumn>
    <tableColumn id="7" name="Seeder Artisan" dataDxfId="451">
      <calculatedColumnFormula>"php artisan make:seed "&amp;[Class Name]&amp;"TableSeeder"</calculatedColumnFormula>
    </tableColumn>
    <tableColumn id="9" name="Seeder Class" dataDxfId="45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6" name="ActionListNData" displayName="ActionListNData" ref="AA1:AL36" totalsRowShown="0" headerRowDxfId="318" dataDxfId="317">
  <autoFilter ref="AA1:AL3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Map'!$A$10,SeedMap[],35,0),0))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Map'!$A$10,SeedMap[],36,0),0))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ResourceForms" displayName="ResourceForms" ref="A1:K18" totalsRowShown="0" headerRowDxfId="296" dataDxfId="295">
  <autoFilter ref="A1:K18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12" name="FormFields" displayName="FormFields" ref="M1:AZ80" headerRowDxfId="283" dataDxfId="282">
  <autoFilter ref="M1:AZ8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0">
      <calculatedColumnFormula>COUNTIF($AB$2:FormFields[[#This Row],[Exists]],1)-1+VLOOKUP('Table Seed Map'!$A$11,SeedMap[],9,0)</calculatedColumnFormula>
    </tableColumn>
    <tableColumn id="49" name="Exists" dataDxfId="267">
      <calculatedColumnFormula>IF(AND(FormFields[[#This Row],[Attribute]]="",FormFields[[#This Row],[Relation]]=""),0,1)</calculatedColumnFormula>
    </tableColumn>
    <tableColumn id="47" name="NO3" dataDxfId="266">
      <calculatedColumnFormula>FormFields[[#This Row],[NO2]]</calculatedColumnFormula>
    </tableColumn>
    <tableColumn id="10" name="Data Field ID" dataDxfId="265">
      <calculatedColumnFormula>[ID]</calculatedColumnFormula>
    </tableColumn>
    <tableColumn id="40" name="Attribute" dataDxfId="264">
      <calculatedColumnFormula>[Name]</calculatedColumnFormula>
    </tableColumn>
    <tableColumn id="12" name="Relation" dataDxfId="263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2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1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0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Map'!$A$13&amp;"-"&amp;COUNTIF($AJ$2:FormFields[[#This Row],[Exists FO]],1)</calculatedColumnFormula>
    </tableColumn>
    <tableColumn id="51" name="NO4" dataDxfId="257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6">
      <calculatedColumnFormula>FormFields[[#This Row],[NO4]]</calculatedColumnFormula>
    </tableColumn>
    <tableColumn id="17" name="Option Field ID" dataDxfId="255">
      <calculatedColumnFormula>[ID]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Map'!$A$18&amp;"-"&amp;SUM($AT$2:FormFields[[#This Row],[Exists FL]])</calculatedColumnFormula>
    </tableColumn>
    <tableColumn id="69" name="NO8" dataDxfId="247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46">
      <calculatedColumnFormula>FormFields[[#This Row],[NO8]]</calculatedColumnFormula>
    </tableColumn>
    <tableColumn id="41" name="Layout Form ID" dataDxfId="245">
      <calculatedColumnFormula>[Form]</calculatedColumnFormula>
    </tableColumn>
    <tableColumn id="42" name="Layout Field ID" dataDxfId="244">
      <calculatedColumnFormula>[ID]</calculatedColumnFormula>
    </tableColumn>
    <tableColumn id="43" name="Colspan" dataDxfId="24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3" name="FieldAttrs" displayName="FieldAttrs" ref="BB1:BG6" totalsRowShown="0" headerRowDxfId="242" dataDxfId="241">
  <autoFilter ref="BB1:BG6">
    <filterColumn colId="1"/>
    <filterColumn colId="2"/>
    <filterColumn colId="3"/>
  </autoFilter>
  <tableColumns count="6">
    <tableColumn id="1" name="ATTR Field" dataDxfId="240"/>
    <tableColumn id="5" name="Primary" dataDxfId="239">
      <calculatedColumnFormula>'Table Seed Map'!$A$14&amp;"-"&amp;(COUNTA($BB$2:FieldAttrs[[#This Row],[ATTR Field]]))</calculatedColumnFormula>
    </tableColumn>
    <tableColumn id="6" name="No" dataDxfId="238">
      <calculatedColumnFormula>IF($BD1="id",IF(ISNUMBER(VLOOKUP('Table Seed Map'!$A$14,SeedMap[],9,0)),VLOOKUP('Table Seed Map'!$A$14,SeedMap[],9,0)+1,1),IFERROR($BD1+1,"id"))</calculatedColumnFormula>
    </tableColumn>
    <tableColumn id="4" name="Field" dataDxfId="237">
      <calculatedColumnFormula>VLOOKUP([ATTR Field],FormFields[[Field Name]:[ID]],2,0)</calculatedColumnFormula>
    </tableColumn>
    <tableColumn id="2" name="Name" dataDxfId="236"/>
    <tableColumn id="3" name="Value" dataDxfId="235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4" name="FieldValidations" displayName="FieldValidations" ref="BI1:BQ6" totalsRowShown="0" headerRowDxfId="234" dataDxfId="233">
  <autoFilter ref="BI1:BQ6">
    <filterColumn colId="1"/>
    <filterColumn colId="2"/>
    <filterColumn colId="3"/>
  </autoFilter>
  <tableColumns count="9">
    <tableColumn id="1" name="Validation Field" dataDxfId="232"/>
    <tableColumn id="8" name="Primary" dataDxfId="231">
      <calculatedColumnFormula>'Table Seed Map'!$A$16&amp;"-"&amp;(COUNTA($BI$2:FieldValidations[[#This Row],[Validation Field]]))</calculatedColumnFormula>
    </tableColumn>
    <tableColumn id="9" name="No" dataDxfId="230">
      <calculatedColumnFormula>IF($BK1="id",IF(ISNUMBER(VLOOKUP('Table Seed Map'!$A$16,SeedMap[],9,0)),VLOOKUP('Table Seed Map'!$A$16,SeedMap[],9,0)+1,1),IFERROR($BK1+1,"id"))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7" name="FormDefault" displayName="FormDefault" ref="CE1:CX2" totalsRowShown="0" dataDxfId="223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2">
      <calculatedColumnFormula>'Table Seed Map'!$A$20&amp;"-"&amp;COUNTA($CF$1:FormDefault[[#This Row],[Form for Default]])-1</calculatedColumnFormula>
    </tableColumn>
    <tableColumn id="2" name="Form for Default" dataDxfId="221"/>
    <tableColumn id="3" name="No" dataDxfId="220">
      <calculatedColumnFormula>IF($CG1="id",IF(ISNUMBER(VLOOKUP('Table Seed Map'!$A$20,SeedMap[],9,0)),VLOOKUP('Table Seed Map'!$A$20,SeedMap[],9,0)+1,1),IFERROR($CG1+1,"id"))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7" name="FormCollection" displayName="FormCollection" ref="BS1:CB4" totalsRowShown="0" headerRowDxfId="202" dataDxfId="201">
  <autoFilter ref="BS1:CB4"/>
  <tableColumns count="10">
    <tableColumn id="1" name="Primary" dataDxfId="200">
      <calculatedColumnFormula>'Table Seed Map'!$A$21&amp;"-"&amp;COUNTA($BT$1:FormCollection[[#This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9" name="FieldDepends" displayName="FieldDepends" ref="CZ1:DJ14" totalsRowShown="0" headerRowDxfId="190" dataDxfId="189">
  <autoFilter ref="CZ1:DJ14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Map'!$A$17&amp;"-"&amp;COUNTA($CZ$2:FieldDepends[[#This Row],[Field for Depend]])</calculatedColumnFormula>
    </tableColumn>
    <tableColumn id="10" name="ID" dataDxfId="186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19.xml><?xml version="1.0" encoding="utf-8"?>
<table xmlns="http://schemas.openxmlformats.org/spreadsheetml/2006/main" id="30" name="FieldDynamic" displayName="FieldDynamic" ref="DL1:DU3" totalsRowShown="0" headerRowDxfId="177" dataDxfId="176">
  <autoFilter ref="DL1:DU3"/>
  <tableColumns count="10">
    <tableColumn id="1" name="Field for Dynamic" dataDxfId="175"/>
    <tableColumn id="9" name="Primary" dataDxfId="174">
      <calculatedColumnFormula>'Table Seed Map'!$A$15&amp;"-"&amp;COUNTA($DL$2:FieldDynamic[[#This Row],[Field for Dynamic]])</calculatedColumnFormula>
    </tableColumn>
    <tableColumn id="10" name="ID" dataDxfId="173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86" totalsRowShown="0" dataDxfId="436">
  <autoFilter ref="A1:I186"/>
  <tableColumns count="9">
    <tableColumn id="1" name="Column" dataDxfId="435"/>
    <tableColumn id="2" name="Type" dataDxfId="434"/>
    <tableColumn id="3" name="Name" dataDxfId="433"/>
    <tableColumn id="4" name="Length/Enum" dataDxfId="432"/>
    <tableColumn id="5" name="Method1" dataDxfId="431"/>
    <tableColumn id="6" name="Method2" dataDxfId="430"/>
    <tableColumn id="7" name="Method3" dataDxfId="429"/>
    <tableColumn id="8" name="Method4" dataDxfId="428"/>
    <tableColumn id="9" name="Method5" dataDxfId="427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1" name="FormDataMapping" displayName="FormDataMapping" ref="DW1:EQ3" totalsRowShown="0" headerRowDxfId="165" dataDxfId="164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Map'!$A$19&amp;"-"&amp;COUNTA($DW$2:FormDataMapping[[#This Row],[Form for Data Mapping]])</calculatedColumnFormula>
    </tableColumn>
    <tableColumn id="5" name="ID" dataDxfId="159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1.xml><?xml version="1.0" encoding="utf-8"?>
<table xmlns="http://schemas.openxmlformats.org/spreadsheetml/2006/main" id="4" name="MigrationRenamer" displayName="MigrationRenamer" ref="A1:H44" totalsRowShown="0" dataDxfId="142">
  <autoFilter ref="A1:H44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"2019_01_24_"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id="18" name="ResourceList" displayName="ResourceList" ref="A1:K27" totalsRowShown="0" dataDxfId="133">
  <autoFilter ref="A1:K27"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Map'!$A$23&amp;"-"&amp;COUNTA($B$1:ResourceList[[#This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8">
      <calculatedColumnFormula>IFERROR(VLOOKUP(ResourceList[[#This Row],[Resource Name]],ResourceTable[[RName]:[RID]],2,0),"resource")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"/>
    <tableColumn id="10" name="Page" dataDxfId="124"/>
    <tableColumn id="9" name="ID" dataDxfId="123">
      <calculatedColumnFormula>[No]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19" name="ListExtras" displayName="ListExtras" ref="M1:AD30" totalsRowShown="0" headerRowDxfId="122" dataDxfId="121">
  <autoFilter ref="M1:AD30"/>
  <tableColumns count="18">
    <tableColumn id="1" name="List Name" dataDxfId="120"/>
    <tableColumn id="2" name="LID" dataDxfId="119">
      <calculatedColumnFormula>VLOOKUP(ListExtras[[#This Row],[List Name]],ResourceList[[ListDisplayName]:[No]],2,0)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Map'!$A$24&amp;"-"&amp;COUNT($W$1:ListExtras[[#This Row],[Scope ID]])</calculatedColumnFormula>
    </tableColumn>
    <tableColumn id="9" name="Scope Table ID" dataDxfId="112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11">
      <calculatedColumnFormula>IF(ListExtras[[#This Row],[LID]]=0,"resource_list",ListExtras[[#This Row],[LID]])</calculatedColumnFormula>
    </tableColumn>
    <tableColumn id="11" name="Scope ID" dataDxfId="11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9">
      <calculatedColumnFormula>'Table Seed Map'!$A$25&amp;"-"&amp;COUNT($AA$1:ListExtras[[#This Row],[Relation]])</calculatedColumnFormula>
    </tableColumn>
    <tableColumn id="13" name="Relation Table ID" dataDxfId="108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7">
      <calculatedColumnFormula>IF(ListExtras[[#This Row],[LID]]=0,"resource_list",ListExtras[[#This Row],[LID]])</calculatedColumnFormula>
    </tableColumn>
    <tableColumn id="15" name="Relation" dataDxfId="106">
      <calculatedColumnFormula>IFERROR(VLOOKUP(ListExtras[[#This Row],[Relation Name]],RelationTable[[Display]:[RELID]],2,0),IF(ListExtras[[#This Row],[LID]]=0,"relation",""))</calculatedColumnFormula>
    </tableColumn>
    <tableColumn id="16" name="R1" dataDxfId="105">
      <calculatedColumnFormula>IFERROR(VLOOKUP(ListExtras[[#This Row],[R1 Name]],RelationTable[[Display]:[RELID]],2,0),IF(ListExtras[[#This Row],[LID]]=0,"nest_relation1",""))</calculatedColumnFormula>
    </tableColumn>
    <tableColumn id="17" name="R2" dataDxfId="104">
      <calculatedColumnFormula>IFERROR(VLOOKUP(ListExtras[[#This Row],[R2 Name]],RelationTable[[Display]:[RELID]],2,0),IF(ListExtras[[#This Row],[LID]]=0,"nest_relation2",""))</calculatedColumnFormula>
    </tableColumn>
    <tableColumn id="18" name="R3" dataDxfId="10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0" name="ListSearch" displayName="ListSearch" ref="AF1:AR2" totalsRowShown="0" headerRowDxfId="102" dataDxfId="101">
  <autoFilter ref="AF1:AR2">
    <filterColumn colId="0"/>
  </autoFilter>
  <tableColumns count="13">
    <tableColumn id="13" name="Primary" dataDxfId="100">
      <calculatedColumnFormula>'Table Seed Map'!$A$27&amp;"-"&amp;COUNTA($AH$1:ListSearch[[#This Row],[No]])-2</calculatedColumnFormula>
    </tableColumn>
    <tableColumn id="1" name="List Name for Search" dataDxfId="99"/>
    <tableColumn id="2" name="No" dataDxfId="98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7">
      <calculatedColumnFormula>IFERROR(VLOOKUP(ListSearch[[#This Row],[List Name for Search]],ResourceList[[ListDisplayName]:[No]],2,0),"resource_list")</calculatedColumnFormula>
    </tableColumn>
    <tableColumn id="4" name="Field" dataDxfId="96"/>
    <tableColumn id="5" name="REL" dataDxfId="9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1"/>
    <tableColumn id="10" name="Relation 1" dataDxfId="90"/>
    <tableColumn id="11" name="Relation 2" dataDxfId="89"/>
    <tableColumn id="12" name="Relation 3" dataDxfId="88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21" name="ListLayout" displayName="ListLayout" ref="AT1:BE97" totalsRowShown="0" headerRowDxfId="87" dataDxfId="86">
  <autoFilter ref="AT1:BE97">
    <filterColumn colId="4"/>
  </autoFilter>
  <tableColumns count="12">
    <tableColumn id="13" name="Primary" dataDxfId="85">
      <calculatedColumnFormula>'Table Seed Map'!$A$26&amp;"-"&amp;COUNTA($AV$1:ListLayout[[#This Row],[No]])-2</calculatedColumnFormula>
    </tableColumn>
    <tableColumn id="1" name="List Name for Layout" dataDxfId="84"/>
    <tableColumn id="2" name="No" dataDxfId="83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2">
      <calculatedColumnFormula>IFERROR(VLOOKUP(ListLayout[[#This Row],[List Name for Layout]],ResourceList[[ListDisplayName]:[No]],2,0),"resource_list")</calculatedColumnFormula>
    </tableColumn>
    <tableColumn id="14" name="Label" dataDxfId="81"/>
    <tableColumn id="4" name="Field" dataDxfId="80"/>
    <tableColumn id="5" name="REL" dataDxfId="7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6"/>
    <tableColumn id="10" name="Relation 1" dataDxfId="75"/>
    <tableColumn id="11" name="Relation 2" dataDxfId="74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2" name="ResourceData" displayName="ResourceData" ref="A1:J3" totalsRowShown="0" dataDxfId="73">
  <autoFilter ref="A1:J3">
    <filterColumn colId="2"/>
    <filterColumn colId="4"/>
    <filterColumn colId="8"/>
    <filterColumn colId="9"/>
  </autoFilter>
  <tableColumns count="10">
    <tableColumn id="1" name="Primary" dataDxfId="72">
      <calculatedColumnFormula>'Table Seed Map'!$A$28&amp;"-"&amp;COUNTA($B$1:ResourceData[[#This Row],[Resource Name]])-1</calculatedColumnFormula>
    </tableColumn>
    <tableColumn id="2" name="Resource Name" dataDxfId="71"/>
    <tableColumn id="8" name="DataDisplayName" dataDxfId="70">
      <calculatedColumnFormula>ResourceData[[#This Row],[Resource Name]]&amp;"/"&amp;ResourceData[[#This Row],[Name]]</calculatedColumnFormula>
    </tableColumn>
    <tableColumn id="3" name="No" dataDxfId="69">
      <calculatedColumnFormula>IF($D1="id",IF(ISNUMBER(VLOOKUP('Table Seed Map'!$A$28,SeedMap[],9,0)),VLOOKUP('Table Seed Map'!$A$28,SeedMap[],9,0)+1,1),IFERROR($D1+1,"id"))</calculatedColumnFormula>
    </tableColumn>
    <tableColumn id="7" name="Resource" dataDxfId="68">
      <calculatedColumnFormula>IFERROR(VLOOKUP(ResourceData[[#This Row],[Resource Name]],ResourceTable[[RName]:[RID]],2,0),"resource")</calculatedColumnFormula>
    </tableColumn>
    <tableColumn id="4" name="Name" dataDxfId="67"/>
    <tableColumn id="5" name="Description" dataDxfId="66"/>
    <tableColumn id="6" name="Title Field" dataDxfId="65"/>
    <tableColumn id="9" name="Method" dataDxfId="64"/>
    <tableColumn id="10" name="ID" dataDxfId="63">
      <calculatedColumnFormula>[No]</calculatedColumnFormula>
    </tableColumn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id="23" name="DataExtra" displayName="DataExtra" ref="L1:AC3" totalsRowShown="0" headerRowDxfId="62" dataDxfId="61">
  <autoFilter ref="L1:AC3"/>
  <tableColumns count="18">
    <tableColumn id="1" name="Data Name" dataDxfId="60"/>
    <tableColumn id="2" name="DID" dataDxfId="59">
      <calculatedColumnFormula>VLOOKUP(DataExtra[[#This Row],[Data Name]],ResourceData[[DataDisplayName]:[No]],2,0)</calculatedColumnFormula>
    </tableColumn>
    <tableColumn id="3" name="Scope Name" dataDxfId="58"/>
    <tableColumn id="4" name="Relation Name" dataDxfId="57"/>
    <tableColumn id="5" name="R1 Name" dataDxfId="56"/>
    <tableColumn id="6" name="R2 Name" dataDxfId="55"/>
    <tableColumn id="7" name="R3 Name" dataDxfId="54"/>
    <tableColumn id="8" name="Scope Primary" dataDxfId="53">
      <calculatedColumnFormula>'Table Seed Map'!$A$29&amp;"-"&amp;COUNT($V$1:DataExtra[[#This Row],[Scope ID]])</calculatedColumnFormula>
    </tableColumn>
    <tableColumn id="9" name="Scope Table ID" dataDxfId="52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1">
      <calculatedColumnFormula>IF(DataExtra[[#This Row],[DID]]=0,"resource_data",DataExtra[[#This Row],[DID]])</calculatedColumnFormula>
    </tableColumn>
    <tableColumn id="11" name="Scope ID" dataDxfId="5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9">
      <calculatedColumnFormula>'Table Seed Map'!$A$30&amp;"-"&amp;COUNT($Z$1:DataExtra[[#This Row],[Relation]])</calculatedColumnFormula>
    </tableColumn>
    <tableColumn id="13" name="Relation Table ID" dataDxfId="48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7">
      <calculatedColumnFormula>IF(DataExtra[[#This Row],[DID]]=0,"resource_data",DataExtra[[#This Row],[DID]])</calculatedColumnFormula>
    </tableColumn>
    <tableColumn id="15" name="Relation" dataDxfId="46">
      <calculatedColumnFormula>IFERROR(VLOOKUP(DataExtra[[#This Row],[Relation Name]],RelationTable[[Display]:[RELID]],2,0),IF(DataExtra[[#This Row],[DID]]=0,"relation",""))</calculatedColumnFormula>
    </tableColumn>
    <tableColumn id="16" name="R1" dataDxfId="45">
      <calculatedColumnFormula>IFERROR(VLOOKUP(DataExtra[[#This Row],[R1 Name]],RelationTable[[Display]:[RELID]],2,0),IF(DataExtra[[#This Row],[DID]]=0,"nest_relation1",""))</calculatedColumnFormula>
    </tableColumn>
    <tableColumn id="17" name="R2" dataDxfId="44">
      <calculatedColumnFormula>IFERROR(VLOOKUP(DataExtra[[#This Row],[R2 Name]],RelationTable[[Display]:[RELID]],2,0),IF(DataExtra[[#This Row],[DID]]=0,"nest_relation2",""))</calculatedColumnFormula>
    </tableColumn>
    <tableColumn id="18" name="R3" dataDxfId="4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4" name="DataViewSection" displayName="DataViewSection" ref="AE1:AN2" totalsRowShown="0" headerRowDxfId="42" dataDxfId="41">
  <autoFilter ref="AE1:AN2">
    <filterColumn colId="0"/>
    <filterColumn colId="2"/>
    <filterColumn colId="5"/>
    <filterColumn colId="6"/>
    <filterColumn colId="7"/>
  </autoFilter>
  <tableColumns count="10">
    <tableColumn id="13" name="Primary" dataDxfId="40">
      <calculatedColumnFormula>'Table Seed Map'!$A$31&amp;"-"&amp;COUNTA($AH$1:DataViewSection[[#This Row],[No]])-2</calculatedColumnFormula>
    </tableColumn>
    <tableColumn id="1" name="Data Name for Layout" dataDxfId="39"/>
    <tableColumn id="17" name="DataSectionDisplayName" dataDxfId="38">
      <calculatedColumnFormula>DataViewSection[[#This Row],[Data Name for Layout]]&amp;"/"&amp;COUNTA($AH$1:DataViewSection[[#This Row],[No]])-2</calculatedColumnFormula>
    </tableColumn>
    <tableColumn id="2" name="No" dataDxfId="37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6">
      <calculatedColumnFormula>IFERROR(VLOOKUP(DataViewSection[[#This Row],[Data Name for Layout]],ResourceData[[DataDisplayName]:[No]],2,0),"resource_data")</calculatedColumnFormula>
    </tableColumn>
    <tableColumn id="14" name="Title" dataDxfId="35"/>
    <tableColumn id="15" name="Title Field" dataDxfId="34"/>
    <tableColumn id="16" name="Rel" dataDxfId="33">
      <calculatedColumnFormula>IFERROR(VLOOKUP(DataViewSection[[#This Row],[Relation]],RelationTable[[Display]:[RELID]],2,0),"")</calculatedColumnFormula>
    </tableColumn>
    <tableColumn id="4" name="Colspan" dataDxfId="32"/>
    <tableColumn id="9" name="Relation" dataDxfId="31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5" name="DataViewSectionItem" displayName="DataViewSectionItem" ref="AP1:AW2" totalsRowShown="0" headerRowDxfId="30" dataDxfId="29">
  <autoFilter ref="AP1:AW2">
    <filterColumn colId="4"/>
  </autoFilter>
  <tableColumns count="8">
    <tableColumn id="13" name="Primary" dataDxfId="28">
      <calculatedColumnFormula>'Table Seed Map'!$A$32&amp;"-"&amp;COUNTA($AQ$2:DataViewSectionItem[[#This Row],[Data Section for Items]])</calculatedColumnFormula>
    </tableColumn>
    <tableColumn id="1" name="Data Section for Items" dataDxfId="27"/>
    <tableColumn id="2" name="No" dataDxfId="26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4"/>
    <tableColumn id="4" name="Attribute" dataDxfId="23"/>
    <tableColumn id="5" name="REL" dataDxfId="2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26">
  <autoFilter ref="A1:K416">
    <filterColumn colId="0">
      <filters>
        <filter val="resource_lists"/>
      </filters>
    </filterColumn>
  </autoFilter>
  <tableColumns count="11">
    <tableColumn id="2" name="Table" dataDxfId="425"/>
    <tableColumn id="3" name="Field" dataDxfId="424"/>
    <tableColumn id="5" name="Type" dataDxfId="423">
      <calculatedColumnFormula>VLOOKUP([Field],Columns[],2,0)&amp;"("</calculatedColumnFormula>
    </tableColumn>
    <tableColumn id="4" name="Name" dataDxfId="422">
      <calculatedColumnFormula>IF(VLOOKUP([Field],Columns[],3,0)&lt;&gt;"","'"&amp;VLOOKUP([Field],Columns[],3,0)&amp;"'","")</calculatedColumnFormula>
    </tableColumn>
    <tableColumn id="6" name="Arg2" dataDxfId="421">
      <calculatedColumnFormula>IF(VLOOKUP([Field],Columns[],4,0)&lt;&gt;0,", "&amp;VLOOKUP([Field],Columns[],4,0)&amp;")",")")</calculatedColumnFormula>
    </tableColumn>
    <tableColumn id="7" name="Method1" dataDxfId="420">
      <calculatedColumnFormula>IF(VLOOKUP([Field],Columns[],5,0)=0,"","-&gt;"&amp;VLOOKUP([Field],Columns[],5,0))</calculatedColumnFormula>
    </tableColumn>
    <tableColumn id="8" name="Method2" dataDxfId="419">
      <calculatedColumnFormula>IF(VLOOKUP([Field],Columns[],6,0)=0,"","-&gt;"&amp;VLOOKUP([Field],Columns[],6,0))</calculatedColumnFormula>
    </tableColumn>
    <tableColumn id="9" name="Method3" dataDxfId="418">
      <calculatedColumnFormula>IF(VLOOKUP([Field],Columns[],7,0)=0,"","-&gt;"&amp;VLOOKUP([Field],Columns[],7,0))</calculatedColumnFormula>
    </tableColumn>
    <tableColumn id="10" name="Method4" dataDxfId="417">
      <calculatedColumnFormula>IF(VLOOKUP([Field],Columns[],8,0)=0,"","-&gt;"&amp;VLOOKUP([Field],Columns[],8,0))</calculatedColumnFormula>
    </tableColumn>
    <tableColumn id="11" name="Method5" dataDxfId="416">
      <calculatedColumnFormula>IF(VLOOKUP([Field],Columns[],9,0)=0,"","-&gt;"&amp;VLOOKUP([Field],Columns[],9,0))</calculatedColumnFormula>
    </tableColumn>
    <tableColumn id="12" name="Statement" dataDxfId="415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7" name="RecordCount" displayName="RecordCount" ref="A1:H5" totalsRowShown="0" headerRowDxfId="20" dataDxfId="19">
  <autoFilter ref="A1:H5">
    <filterColumn colId="5"/>
    <filterColumn colId="6"/>
    <filterColumn colId="7"/>
  </autoFilter>
  <tableColumns count="8">
    <tableColumn id="1" name="Type" dataDxfId="18"/>
    <tableColumn id="2" name="Table Name" dataDxfId="17"/>
    <tableColumn id="3" name="Count Field" dataDxfId="16"/>
    <tableColumn id="4" name="Count Reduce" dataDxfId="15"/>
    <tableColumn id="5" name="Records" dataDxfId="1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3"/>
    <tableColumn id="8" name="Name Field Position" dataDxfId="12"/>
    <tableColumn id="9" name="ID Field Position" dataDxfId="1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28" name="IDNMaps" displayName="IDNMaps" ref="J1:P501" totalsRowShown="0" headerRowDxfId="10" dataDxfId="9">
  <autoFilter ref="J1:P501">
    <filterColumn colId="2"/>
    <filterColumn colId="3"/>
    <filterColumn colId="4"/>
    <filterColumn colId="5"/>
    <filterColumn colId="6"/>
  </autoFilter>
  <tableColumns count="7">
    <tableColumn id="1" name="No" dataDxfId="8">
      <calculatedColumnFormula>IFERROR($J1+1,1)</calculatedColumnFormula>
    </tableColumn>
    <tableColumn id="2" name="Type" dataDxfId="7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6">
      <calculatedColumnFormula>IF(IDNMaps[[#This Row],[Type]]="","",COUNTIF($K$1:IDNMaps[[#This Row],[Type]],IDNMaps[[#This Row],[Type]]))</calculatedColumnFormula>
    </tableColumn>
    <tableColumn id="4" name="Primary" dataDxfId="5">
      <calculatedColumnFormula>IFERROR(VLOOKUP(IDNMaps[[#This Row],[Type]],RecordCount[],6,0)&amp;"-"&amp;IDNMaps[[#This Row],[Type Count]],"")</calculatedColumnFormula>
    </tableColumn>
    <tableColumn id="5" name="Name" dataDxfId="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">
      <calculatedColumnFormula>IF(IDNMaps[[#This Row],[Name]]="","","("&amp;IDNMaps[[#This Row],[Type]]&amp;") "&amp;IDNMaps[[#This Row],[Name]])</calculatedColumnFormula>
    </tableColumn>
    <tableColumn id="7" name="ID" dataDxfId="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14" dataDxfId="413">
  <autoFilter ref="A1:R55">
    <filterColumn colId="1">
      <filters>
        <filter val="Resource Roles"/>
      </filters>
    </filterColumn>
  </autoFilter>
  <tableColumns count="18">
    <tableColumn id="19" name="TRCode" dataDxfId="412">
      <calculatedColumnFormula>[Table Name]&amp;"-"&amp;(COUNTIF($B$1:TableData[[#This Row],[Table Name]],TableData[[#This Row],[Table Name]])-1)</calculatedColumnFormula>
    </tableColumn>
    <tableColumn id="1" name="Table Name" dataDxfId="411"/>
    <tableColumn id="2" name="Record No" dataDxfId="410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09"/>
    <tableColumn id="4" name="2" dataDxfId="408"/>
    <tableColumn id="5" name="3" dataDxfId="407"/>
    <tableColumn id="6" name="4" dataDxfId="406"/>
    <tableColumn id="7" name="5" dataDxfId="405"/>
    <tableColumn id="8" name="6" dataDxfId="404"/>
    <tableColumn id="9" name="7" dataDxfId="403"/>
    <tableColumn id="10" name="8" dataDxfId="402"/>
    <tableColumn id="11" name="9" dataDxfId="401"/>
    <tableColumn id="12" name="10" dataDxfId="400"/>
    <tableColumn id="13" name="11" dataDxfId="399"/>
    <tableColumn id="14" name="12" dataDxfId="398"/>
    <tableColumn id="15" name="13" dataDxfId="397"/>
    <tableColumn id="16" name="14" dataDxfId="396"/>
    <tableColumn id="17" name="15" dataDxfId="39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1" totalsRowShown="0" dataDxfId="394">
  <autoFilter ref="A1:J41">
    <filterColumn colId="4"/>
    <filterColumn colId="5"/>
    <filterColumn colId="6"/>
    <filterColumn colId="8"/>
    <filterColumn colId="9"/>
  </autoFilter>
  <tableColumns count="10">
    <tableColumn id="1" name="Name" dataDxfId="393"/>
    <tableColumn id="3" name="Table Name" dataDxfId="392"/>
    <tableColumn id="20" name="NS" dataDxfId="391">
      <calculatedColumnFormula>VLOOKUP([Table Name],Tables[],4,0)</calculatedColumnFormula>
    </tableColumn>
    <tableColumn id="21" name="Model" dataDxfId="390">
      <calculatedColumnFormula>VLOOKUP([Table Name],Tables[],5,0)</calculatedColumnFormula>
    </tableColumn>
    <tableColumn id="6" name="Data Table" dataDxfId="389"/>
    <tableColumn id="7" name="Data Range" dataDxfId="388"/>
    <tableColumn id="8" name="Skip Columns" dataDxfId="387"/>
    <tableColumn id="4" name="Query Method" dataDxfId="386">
      <calculatedColumnFormula>"truncate"</calculatedColumnFormula>
    </tableColumn>
    <tableColumn id="2" name="Last ID" dataDxfId="385"/>
    <tableColumn id="5" name="AI Change Query" dataDxfId="384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83">
  <autoFilter ref="A1:M43">
    <filterColumn colId="0"/>
    <filterColumn colId="1"/>
    <filterColumn colId="2"/>
    <filterColumn colId="11"/>
    <filterColumn colId="12"/>
  </autoFilter>
  <tableColumns count="13">
    <tableColumn id="11" name="Primary" dataDxfId="382">
      <calculatedColumnFormula>Page&amp;"-"&amp;(COUNTA($E$1:ResourceTable[[#This Row],[Name]])-2)</calculatedColumnFormula>
    </tableColumn>
    <tableColumn id="12" name="RName" dataDxfId="381">
      <calculatedColumnFormula>ResourceTable[[#This Row],[Name]]</calculatedColumnFormula>
    </tableColumn>
    <tableColumn id="13" name="RID" dataDxfId="380">
      <calculatedColumnFormula>IF($C1=0,IF(ISNUMBER(VLOOKUP(Page,SeedMap[],9,0)),VLOOKUP(Page,SeedMap[],9,0)+1,1),IFERROR($C1+1,0))</calculatedColumnFormula>
    </tableColumn>
    <tableColumn id="1" name="No" dataDxfId="379">
      <calculatedColumnFormula>ResourceTable[[#This Row],[RID]]</calculatedColumnFormula>
    </tableColumn>
    <tableColumn id="2" name="Name" dataDxfId="378"/>
    <tableColumn id="3" name="Description" dataDxfId="377"/>
    <tableColumn id="4" name="Title" dataDxfId="376"/>
    <tableColumn id="5" name="NS" dataDxfId="375">
      <calculatedColumnFormula>"Milestone\Appframe\Model"</calculatedColumnFormula>
    </tableColumn>
    <tableColumn id="6" name="Table" dataDxfId="374"/>
    <tableColumn id="8" name="Controller" dataDxfId="373"/>
    <tableColumn id="9" name="Controller NS" dataDxfId="372"/>
    <tableColumn id="7" name="Development" dataDxfId="371"/>
    <tableColumn id="10" name="RID2" dataDxfId="370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N78" totalsRowShown="0" dataDxfId="369">
  <autoFilter ref="A1:N78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ResourceScopes" displayName="ResourceScopes" ref="P1:W4" totalsRowShown="0" dataDxfId="354">
  <autoFilter ref="P1:W4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5" name="ResourceAction" displayName="ResourceAction" ref="A1:Y52" totalsRowShown="0" headerRowDxfId="345" dataDxfId="344">
  <autoFilter ref="A1:Y5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Name]]="","id",COUNTA($C$3:ResourceAction[[#This Row],[Resource Name]])+IF(VLOOKUP('Table Seed Map'!$A$33,SeedMap[],9,0),VLOOKUP('Table Seed Map'!$A$10,SeedMap[],32,0),0))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537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636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468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506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684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439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530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446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477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478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1433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560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582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583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589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80"/>
  <sheetViews>
    <sheetView topLeftCell="D1" workbookViewId="0">
      <selection activeCell="C1" sqref="A1:C1048576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807</v>
      </c>
      <c r="B1" s="1" t="s">
        <v>812</v>
      </c>
      <c r="C1" s="1" t="s">
        <v>239</v>
      </c>
      <c r="D1" s="1" t="s">
        <v>240</v>
      </c>
      <c r="E1" s="1" t="s">
        <v>742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936</v>
      </c>
      <c r="M1" s="1" t="s">
        <v>807</v>
      </c>
      <c r="N1" s="1" t="s">
        <v>241</v>
      </c>
      <c r="O1" s="1" t="s">
        <v>239</v>
      </c>
      <c r="P1" s="1" t="s">
        <v>818</v>
      </c>
      <c r="Q1" s="36" t="s">
        <v>742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738</v>
      </c>
      <c r="W1" s="58" t="s">
        <v>739</v>
      </c>
      <c r="X1" s="58" t="s">
        <v>740</v>
      </c>
      <c r="Y1" s="58" t="s">
        <v>741</v>
      </c>
      <c r="Z1" s="58" t="s">
        <v>822</v>
      </c>
      <c r="AA1" s="58" t="s">
        <v>823</v>
      </c>
      <c r="AB1" s="58" t="s">
        <v>826</v>
      </c>
      <c r="AC1" s="58" t="s">
        <v>824</v>
      </c>
      <c r="AD1" s="58" t="s">
        <v>748</v>
      </c>
      <c r="AE1" s="58" t="s">
        <v>246</v>
      </c>
      <c r="AF1" s="1" t="s">
        <v>245</v>
      </c>
      <c r="AG1" s="1" t="s">
        <v>735</v>
      </c>
      <c r="AH1" s="1" t="s">
        <v>736</v>
      </c>
      <c r="AI1" s="1" t="s">
        <v>737</v>
      </c>
      <c r="AJ1" s="1" t="s">
        <v>829</v>
      </c>
      <c r="AK1" s="1" t="s">
        <v>828</v>
      </c>
      <c r="AL1" s="1" t="s">
        <v>825</v>
      </c>
      <c r="AM1" s="1" t="s">
        <v>830</v>
      </c>
      <c r="AN1" s="1" t="s">
        <v>747</v>
      </c>
      <c r="AO1" s="54" t="s">
        <v>744</v>
      </c>
      <c r="AP1" s="54" t="s">
        <v>238</v>
      </c>
      <c r="AQ1" s="54" t="s">
        <v>745</v>
      </c>
      <c r="AR1" s="54" t="s">
        <v>746</v>
      </c>
      <c r="AS1" s="54" t="s">
        <v>659</v>
      </c>
      <c r="AT1" s="1" t="s">
        <v>832</v>
      </c>
      <c r="AU1" s="1" t="s">
        <v>833</v>
      </c>
      <c r="AV1" s="1" t="s">
        <v>834</v>
      </c>
      <c r="AW1" s="1" t="s">
        <v>835</v>
      </c>
      <c r="AX1" s="1" t="s">
        <v>757</v>
      </c>
      <c r="AY1" s="1" t="s">
        <v>758</v>
      </c>
      <c r="AZ1" s="58" t="s">
        <v>759</v>
      </c>
      <c r="BB1" s="1" t="s">
        <v>792</v>
      </c>
      <c r="BC1" s="1" t="s">
        <v>807</v>
      </c>
      <c r="BD1" s="1" t="s">
        <v>239</v>
      </c>
      <c r="BE1" s="1" t="s">
        <v>13</v>
      </c>
      <c r="BF1" s="1" t="s">
        <v>1</v>
      </c>
      <c r="BG1" s="1" t="s">
        <v>663</v>
      </c>
      <c r="BI1" s="1" t="s">
        <v>799</v>
      </c>
      <c r="BJ1" s="1" t="s">
        <v>807</v>
      </c>
      <c r="BK1" s="1" t="s">
        <v>239</v>
      </c>
      <c r="BL1" s="1" t="s">
        <v>13</v>
      </c>
      <c r="BM1" s="1" t="s">
        <v>660</v>
      </c>
      <c r="BN1" s="1" t="s">
        <v>661</v>
      </c>
      <c r="BO1" s="1" t="s">
        <v>754</v>
      </c>
      <c r="BP1" s="1" t="s">
        <v>755</v>
      </c>
      <c r="BQ1" s="1" t="s">
        <v>756</v>
      </c>
      <c r="BR1" s="1"/>
      <c r="BS1" s="1" t="s">
        <v>807</v>
      </c>
      <c r="BT1" s="1" t="s">
        <v>869</v>
      </c>
      <c r="BU1" s="1" t="s">
        <v>511</v>
      </c>
      <c r="BV1" s="1" t="s">
        <v>245</v>
      </c>
      <c r="BW1" s="1" t="s">
        <v>870</v>
      </c>
      <c r="BX1" s="1" t="s">
        <v>239</v>
      </c>
      <c r="BY1" s="1" t="s">
        <v>871</v>
      </c>
      <c r="BZ1" s="1" t="s">
        <v>872</v>
      </c>
      <c r="CA1" s="1" t="s">
        <v>873</v>
      </c>
      <c r="CB1" s="1" t="s">
        <v>671</v>
      </c>
      <c r="CC1" s="1"/>
      <c r="CE1" s="21" t="s">
        <v>807</v>
      </c>
      <c r="CF1" s="21" t="s">
        <v>860</v>
      </c>
      <c r="CG1" s="21" t="s">
        <v>239</v>
      </c>
      <c r="CH1" s="21" t="s">
        <v>275</v>
      </c>
      <c r="CI1" s="21" t="s">
        <v>1</v>
      </c>
      <c r="CJ1" s="21" t="s">
        <v>663</v>
      </c>
      <c r="CK1" s="21" t="s">
        <v>245</v>
      </c>
      <c r="CL1" s="21" t="s">
        <v>246</v>
      </c>
      <c r="CM1" s="21" t="s">
        <v>866</v>
      </c>
      <c r="CN1" s="21" t="s">
        <v>867</v>
      </c>
      <c r="CO1" s="21" t="s">
        <v>868</v>
      </c>
      <c r="CP1" s="21" t="s">
        <v>274</v>
      </c>
      <c r="CQ1" s="21" t="s">
        <v>865</v>
      </c>
      <c r="CR1" s="21" t="s">
        <v>735</v>
      </c>
      <c r="CS1" s="21" t="s">
        <v>736</v>
      </c>
      <c r="CT1" s="21" t="s">
        <v>737</v>
      </c>
      <c r="CU1" s="21" t="s">
        <v>862</v>
      </c>
      <c r="CV1" s="21" t="s">
        <v>863</v>
      </c>
      <c r="CW1" s="21" t="s">
        <v>864</v>
      </c>
      <c r="CX1" s="21" t="s">
        <v>17</v>
      </c>
      <c r="CZ1" s="1" t="s">
        <v>1068</v>
      </c>
      <c r="DA1" s="1" t="s">
        <v>807</v>
      </c>
      <c r="DB1" s="1" t="s">
        <v>742</v>
      </c>
      <c r="DC1" s="1" t="s">
        <v>1063</v>
      </c>
      <c r="DD1" s="1" t="s">
        <v>1061</v>
      </c>
      <c r="DE1" s="1" t="s">
        <v>1062</v>
      </c>
      <c r="DF1" s="1" t="s">
        <v>750</v>
      </c>
      <c r="DG1" s="1" t="s">
        <v>662</v>
      </c>
      <c r="DH1" s="1" t="s">
        <v>274</v>
      </c>
      <c r="DI1" s="1" t="s">
        <v>751</v>
      </c>
      <c r="DJ1" s="1" t="s">
        <v>752</v>
      </c>
      <c r="DL1" s="1" t="s">
        <v>1069</v>
      </c>
      <c r="DM1" s="1" t="s">
        <v>807</v>
      </c>
      <c r="DN1" s="1" t="s">
        <v>742</v>
      </c>
      <c r="DO1" s="1" t="s">
        <v>1063</v>
      </c>
      <c r="DP1" s="1" t="s">
        <v>14</v>
      </c>
      <c r="DQ1" s="1" t="s">
        <v>749</v>
      </c>
      <c r="DR1" s="1" t="s">
        <v>753</v>
      </c>
      <c r="DS1" s="1" t="s">
        <v>663</v>
      </c>
      <c r="DT1" s="1" t="s">
        <v>664</v>
      </c>
      <c r="DU1" s="1" t="s">
        <v>750</v>
      </c>
      <c r="DW1" s="1" t="s">
        <v>1435</v>
      </c>
      <c r="DX1" s="1" t="s">
        <v>438</v>
      </c>
      <c r="DY1" s="1" t="s">
        <v>1436</v>
      </c>
      <c r="DZ1" s="1" t="s">
        <v>807</v>
      </c>
      <c r="EA1" s="1" t="s">
        <v>742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1437</v>
      </c>
      <c r="EG1" s="1" t="s">
        <v>735</v>
      </c>
      <c r="EH1" s="1" t="s">
        <v>736</v>
      </c>
      <c r="EI1" s="1" t="s">
        <v>737</v>
      </c>
      <c r="EJ1" s="1" t="s">
        <v>1438</v>
      </c>
      <c r="EK1" s="1" t="s">
        <v>1439</v>
      </c>
      <c r="EL1" s="1" t="s">
        <v>245</v>
      </c>
      <c r="EM1" s="1" t="s">
        <v>739</v>
      </c>
      <c r="EN1" s="1" t="s">
        <v>740</v>
      </c>
      <c r="EO1" s="1" t="s">
        <v>741</v>
      </c>
      <c r="EP1" s="1" t="s">
        <v>1440</v>
      </c>
      <c r="EQ1" s="1" t="s">
        <v>1441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COUNTIF($AB$2:FormFields[[#This Row],[Exists]],1)-1+VLOOKUP('Table Seed Map'!$A$11,SeedMap[],9,0)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470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526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453</v>
      </c>
      <c r="CN2" s="15" t="s">
        <v>454</v>
      </c>
      <c r="CO2" s="15" t="s">
        <v>455</v>
      </c>
      <c r="CP2" s="13" t="s">
        <v>35</v>
      </c>
      <c r="CQ2" s="13"/>
      <c r="CR2" s="13"/>
      <c r="CS2" s="13"/>
      <c r="CT2" s="13"/>
      <c r="CU2" s="13" t="s">
        <v>453</v>
      </c>
      <c r="CV2" s="13" t="s">
        <v>454</v>
      </c>
      <c r="CW2" s="13" t="s">
        <v>455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539</v>
      </c>
      <c r="DE2" s="2" t="s">
        <v>541</v>
      </c>
      <c r="DF2" s="2" t="s">
        <v>543</v>
      </c>
      <c r="DG2" s="2" t="s">
        <v>547</v>
      </c>
      <c r="DH2" s="2" t="s">
        <v>35</v>
      </c>
      <c r="DI2" s="2" t="s">
        <v>559</v>
      </c>
      <c r="DJ2" s="2" t="s">
        <v>557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539</v>
      </c>
      <c r="DR2" s="2" t="s">
        <v>641</v>
      </c>
      <c r="DS2" s="2" t="s">
        <v>95</v>
      </c>
      <c r="DT2" s="2" t="s">
        <v>657</v>
      </c>
      <c r="DU2" s="2" t="s">
        <v>543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User/NewUserForm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733</v>
      </c>
      <c r="H3" s="15" t="s">
        <v>734</v>
      </c>
      <c r="I3" s="6" t="s">
        <v>272</v>
      </c>
      <c r="J3" s="6" t="s">
        <v>225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815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User/NewUserForm/name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COUNTIF($AB$2:FormFields[[#This Row],[Exists]],1)-1+VLOOKUP('Table Seed Map'!$A$11,SeedMap[],9,0)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3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1</v>
      </c>
      <c r="AU3" s="45" t="str">
        <f>'Table Seed Map'!$A$18&amp;"-"&amp;SUM($AT$2:FormFields[[#This Row],[Exists FL]])</f>
        <v>Form Layout-1</v>
      </c>
      <c r="AV3" s="45">
        <f>IF(FormFields[[#This Row],[Exists FL]]=0,IF(FormFields[[#This Row],[Form Name]]="","id",""),SUM($AT$3:FormFields[[#This Row],[Exists FL]],IF(VLOOKUP('Table Seed Map'!$A$18,SeedMap[],9,0),VLOOKUP('Table Seed Map'!$A$18,SeedMap[],9,0),0)))</f>
        <v>1</v>
      </c>
      <c r="AW3" s="45">
        <f>FormFields[[#This Row],[NO8]]</f>
        <v>1</v>
      </c>
      <c r="AX3" s="45">
        <f>[Form]</f>
        <v>1</v>
      </c>
      <c r="AY3" s="45">
        <f>[ID]</f>
        <v>1</v>
      </c>
      <c r="AZ3" s="61">
        <v>6</v>
      </c>
      <c r="BB3" s="1" t="s">
        <v>795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5</v>
      </c>
      <c r="BF3" s="38" t="s">
        <v>796</v>
      </c>
      <c r="BG3" s="38">
        <v>5</v>
      </c>
      <c r="BI3" s="4" t="s">
        <v>1368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69</v>
      </c>
      <c r="BM3" s="31" t="s">
        <v>1376</v>
      </c>
      <c r="BN3" s="31" t="s">
        <v>1370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963</v>
      </c>
      <c r="BU3" s="14" t="s">
        <v>967</v>
      </c>
      <c r="BV3" s="14" t="s">
        <v>970</v>
      </c>
      <c r="BW3" s="14" t="s">
        <v>971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8</v>
      </c>
      <c r="BZ3" s="14">
        <f>IFERROR(VLOOKUP([Collection Form],ResourceForms[[FormName]:[ID]],4,0),"collection_form")</f>
        <v>9</v>
      </c>
      <c r="CA3" s="16">
        <f>IFERROR(VLOOKUP([Relation],RelationTable[[Display]:[RELID]],2,0),"")</f>
        <v>15</v>
      </c>
      <c r="CB3" s="16">
        <f>IFERROR(VLOOKUP([Foreign Field],FormFields[[Field Name]:[ID]],2,0),"")</f>
        <v>43</v>
      </c>
      <c r="CZ3" s="1" t="s">
        <v>1066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23</v>
      </c>
      <c r="DD3" s="6" t="s">
        <v>48</v>
      </c>
      <c r="DE3" s="1"/>
      <c r="DF3" s="1"/>
      <c r="DG3" s="1"/>
      <c r="DH3" s="1" t="s">
        <v>1059</v>
      </c>
      <c r="DI3" s="1"/>
      <c r="DJ3" s="1" t="s">
        <v>672</v>
      </c>
      <c r="DL3" s="1" t="s">
        <v>1067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24</v>
      </c>
      <c r="DP3" s="6" t="s">
        <v>1058</v>
      </c>
      <c r="DQ3" s="1" t="s">
        <v>48</v>
      </c>
      <c r="DR3" s="1" t="s">
        <v>95</v>
      </c>
      <c r="DS3" s="1"/>
      <c r="DT3" s="1" t="s">
        <v>1056</v>
      </c>
      <c r="DU3" s="1" t="s">
        <v>1057</v>
      </c>
      <c r="DW3" s="2" t="s">
        <v>816</v>
      </c>
      <c r="DX3" s="1" t="s">
        <v>910</v>
      </c>
      <c r="DY3" s="1" t="s">
        <v>798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2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7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819</v>
      </c>
      <c r="EM3" s="9"/>
      <c r="EN3" s="9"/>
      <c r="EO3" s="9"/>
      <c r="EP3" s="9"/>
      <c r="EQ3" s="9"/>
    </row>
    <row r="4" spans="1:147">
      <c r="A4" s="16" t="str">
        <f>'Table Seed Map'!$A$10&amp;"-"&amp;(COUNTA($F$1:ResourceForms[[#This Row],[Resource]])-2)</f>
        <v>Resource Forms-2</v>
      </c>
      <c r="B4" s="16" t="str">
        <f>ResourceForms[[#This Row],[Resource Name]]&amp;"/"&amp;ResourceForms[[#This Row],[Name]]</f>
        <v>User/UpdateUserForm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6">
        <f>VLOOKUP(ResourceForms[[#This Row],[Resource Name]],ResourceTable[[RName]:[RID]],2,0)</f>
        <v>1</v>
      </c>
      <c r="G4" s="9" t="s">
        <v>777</v>
      </c>
      <c r="H4" s="16" t="s">
        <v>787</v>
      </c>
      <c r="I4" s="9" t="s">
        <v>778</v>
      </c>
      <c r="J4" s="9" t="s">
        <v>779</v>
      </c>
      <c r="K4" s="86">
        <f>[ID]</f>
        <v>2</v>
      </c>
      <c r="M4" s="47" t="str">
        <f>'Table Seed Map'!$A$11&amp;"-"&amp;(COUNTA($Q$1:FormFields[[#This Row],[ID]])-2)</f>
        <v>Form Fields-2</v>
      </c>
      <c r="N4" s="37" t="s">
        <v>815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User/NewUserForm/group</v>
      </c>
      <c r="Q4" s="45">
        <f>FormFields[[#This Row],[No]]</f>
        <v>2</v>
      </c>
      <c r="R4" s="52">
        <f>VLOOKUP(FormFields[[#This Row],[Form Name]],ResourceForms[[FormName]:[No]],2,0)</f>
        <v>1</v>
      </c>
      <c r="S4" s="56" t="s">
        <v>138</v>
      </c>
      <c r="T4" s="56" t="s">
        <v>234</v>
      </c>
      <c r="U4" s="56" t="s">
        <v>235</v>
      </c>
      <c r="V4" s="64" t="s">
        <v>819</v>
      </c>
      <c r="W4" s="64"/>
      <c r="X4" s="64"/>
      <c r="Y4" s="64"/>
      <c r="Z4" s="65" t="str">
        <f>'Table Seed Map'!$A$12&amp;"-"&amp;(COUNTIF($AB$2:FormFields[[#This Row],[Exists]],1)-1)</f>
        <v>Field Data-2</v>
      </c>
      <c r="AA4" s="60">
        <f>COUNTIF($AB$2:FormFields[[#This Row],[Exists]],1)-1+VLOOKUP('Table Seed Map'!$A$11,SeedMap[],9,0)</f>
        <v>2</v>
      </c>
      <c r="AB4" s="63">
        <f>IF(AND(FormFields[[#This Row],[Attribute]]="",FormFields[[#This Row],[Relation]]=""),0,1)</f>
        <v>1</v>
      </c>
      <c r="AC4" s="63">
        <f>FormFields[[#This Row],[NO2]]</f>
        <v>2</v>
      </c>
      <c r="AD4" s="66">
        <f>[ID]</f>
        <v>2</v>
      </c>
      <c r="AE4" s="63" t="str">
        <f>[Name]</f>
        <v>group</v>
      </c>
      <c r="AF4" s="90">
        <f>IF(FormFields[[#This Row],[Rel]]="",IF(EXACT($AF3,FormFields[[#Headers],[Relation]]),"relation",""),VLOOKUP(FormFields[[#This Row],[Rel]],RelationTable[[Display]:[RELID]],2,0))</f>
        <v>1</v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1</v>
      </c>
      <c r="AK4" s="45" t="str">
        <f>'Table Seed Map'!$A$13&amp;"-"&amp;COUNTIF($AJ$2:FormFields[[#This Row],[Exists FO]],1)</f>
        <v>Field Options-1</v>
      </c>
      <c r="AL4" s="45">
        <f>IF(FormFields[[#This Row],[Exists FO]]=0,$AL3,IF($AL3=0,IF(ISNUMBER(VLOOKUP('Table Seed Map'!$A$13,SeedMap[],9,0)),VLOOKUP('Table Seed Map'!$A$13,SeedMap[],9,0)+1,1),IFERROR($AL3+1,0)))</f>
        <v>1</v>
      </c>
      <c r="AM4" s="45">
        <f>FormFields[[#This Row],[NO4]]</f>
        <v>1</v>
      </c>
      <c r="AN4" s="48">
        <f>[ID]</f>
        <v>2</v>
      </c>
      <c r="AO4" s="72" t="s">
        <v>671</v>
      </c>
      <c r="AP4" s="72"/>
      <c r="AQ4" s="72" t="s">
        <v>21</v>
      </c>
      <c r="AR4" s="72" t="s">
        <v>30</v>
      </c>
      <c r="AS4" s="72" t="s">
        <v>672</v>
      </c>
      <c r="AT4" s="46">
        <f>IF(OR(FormFields[[#This Row],[Colspan]]="",FormFields[[#This Row],[Colspan]]="colspan"),0,1)</f>
        <v>1</v>
      </c>
      <c r="AU4" s="46" t="str">
        <f>'Table Seed Map'!$A$18&amp;"-"&amp;SUM($AT$2:FormFields[[#This Row],[Exists FL]])</f>
        <v>Form Layout-2</v>
      </c>
      <c r="AV4" s="46">
        <f>IF(FormFields[[#This Row],[Exists FL]]=0,IF(FormFields[[#This Row],[Form Name]]="","id",""),SUM($AT$3:FormFields[[#This Row],[Exists FL]],IF(VLOOKUP('Table Seed Map'!$A$18,SeedMap[],9,0),VLOOKUP('Table Seed Map'!$A$18,SeedMap[],9,0),0)))</f>
        <v>2</v>
      </c>
      <c r="AW4" s="45">
        <f>FormFields[[#This Row],[NO8]]</f>
        <v>2</v>
      </c>
      <c r="AX4" s="46">
        <f>[Form]</f>
        <v>1</v>
      </c>
      <c r="AY4" s="46">
        <f>[ID]</f>
        <v>2</v>
      </c>
      <c r="AZ4" s="74">
        <v>6</v>
      </c>
      <c r="BB4" s="2" t="s">
        <v>797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6</v>
      </c>
      <c r="BF4" s="38" t="s">
        <v>796</v>
      </c>
      <c r="BG4" s="38">
        <v>5</v>
      </c>
      <c r="BI4" s="4" t="s">
        <v>1369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70</v>
      </c>
      <c r="BM4" s="31" t="s">
        <v>1376</v>
      </c>
      <c r="BN4" s="31" t="s">
        <v>1371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948</v>
      </c>
      <c r="BU4" s="14" t="s">
        <v>967</v>
      </c>
      <c r="BV4" s="14" t="s">
        <v>970</v>
      </c>
      <c r="BW4" s="14" t="s">
        <v>971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7</v>
      </c>
      <c r="BZ4" s="31">
        <f>IFERROR(VLOOKUP([Collection Form],ResourceForms[[FormName]:[ID]],4,0),"collection_form")</f>
        <v>9</v>
      </c>
      <c r="CA4" s="17">
        <f>IFERROR(VLOOKUP([Relation],RelationTable[[Display]:[RELID]],2,0),"")</f>
        <v>15</v>
      </c>
      <c r="CB4" s="17">
        <f>IFERROR(VLOOKUP([Foreign Field],FormFields[[Field Name]:[ID]],2,0),"")</f>
        <v>43</v>
      </c>
      <c r="CZ4" s="1" t="s">
        <v>1066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23</v>
      </c>
      <c r="DD4" s="6" t="s">
        <v>23</v>
      </c>
      <c r="DE4" s="2"/>
      <c r="DF4" s="1"/>
      <c r="DG4" s="2"/>
      <c r="DH4" s="1" t="s">
        <v>1059</v>
      </c>
      <c r="DI4" s="2"/>
      <c r="DJ4" s="2" t="s">
        <v>672</v>
      </c>
    </row>
    <row r="5" spans="1:147">
      <c r="A5" s="16" t="str">
        <f>'Table Seed Map'!$A$10&amp;"-"&amp;(COUNTA($F$1:ResourceForms[[#This Row],[Resource]])-2)</f>
        <v>Resource Forms-3</v>
      </c>
      <c r="B5" s="16" t="str">
        <f>ResourceForms[[#This Row],[Resource Name]]&amp;"/"&amp;ResourceForms[[#This Row],[Name]]</f>
        <v>User/ChangeUserPassword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4" t="s">
        <v>174</v>
      </c>
      <c r="E5" s="16">
        <f>ResourceForms[[#This Row],[No]]</f>
        <v>3</v>
      </c>
      <c r="F5" s="16">
        <f>VLOOKUP(ResourceForms[[#This Row],[Resource Name]],ResourceTable[[RName]:[RID]],2,0)</f>
        <v>1</v>
      </c>
      <c r="G5" s="9" t="s">
        <v>786</v>
      </c>
      <c r="H5" s="16" t="s">
        <v>788</v>
      </c>
      <c r="I5" s="9" t="s">
        <v>789</v>
      </c>
      <c r="J5" s="9" t="s">
        <v>790</v>
      </c>
      <c r="K5" s="86">
        <f>[ID]</f>
        <v>3</v>
      </c>
      <c r="M5" s="47" t="str">
        <f>'Table Seed Map'!$A$11&amp;"-"&amp;(COUNTA($Q$1:FormFields[[#This Row],[ID]])-2)</f>
        <v>Form Fields-3</v>
      </c>
      <c r="N5" s="37" t="s">
        <v>815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User/NewUserForm/email</v>
      </c>
      <c r="Q5" s="45">
        <f>FormFields[[#This Row],[No]]</f>
        <v>3</v>
      </c>
      <c r="R5" s="52">
        <f>VLOOKUP(FormFields[[#This Row],[Form Name]],ResourceForms[[FormName]:[No]],2,0)</f>
        <v>1</v>
      </c>
      <c r="S5" s="56" t="s">
        <v>232</v>
      </c>
      <c r="T5" s="56" t="s">
        <v>231</v>
      </c>
      <c r="U5" s="56" t="s">
        <v>233</v>
      </c>
      <c r="V5" s="64"/>
      <c r="W5" s="64"/>
      <c r="X5" s="64"/>
      <c r="Y5" s="64"/>
      <c r="Z5" s="65" t="str">
        <f>'Table Seed Map'!$A$12&amp;"-"&amp;(COUNTIF($AB$2:FormFields[[#This Row],[Exists]],1)-1)</f>
        <v>Field Data-3</v>
      </c>
      <c r="AA5" s="60">
        <f>COUNTIF($AB$2:FormFields[[#This Row],[Exists]],1)-1+VLOOKUP('Table Seed Map'!$A$11,SeedMap[],9,0)</f>
        <v>3</v>
      </c>
      <c r="AB5" s="63">
        <f>IF(AND(FormFields[[#This Row],[Attribute]]="",FormFields[[#This Row],[Relation]]=""),0,1)</f>
        <v>1</v>
      </c>
      <c r="AC5" s="63">
        <f>FormFields[[#This Row],[NO2]]</f>
        <v>3</v>
      </c>
      <c r="AD5" s="66">
        <f>[ID]</f>
        <v>3</v>
      </c>
      <c r="AE5" s="63" t="str">
        <f>[Name]</f>
        <v>email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Options-1</v>
      </c>
      <c r="AL5" s="45">
        <f>IF(FormFields[[#This Row],[Exists FO]]=0,$AL4,IF($AL4=0,IF(ISNUMBER(VLOOKUP('Table Seed Map'!$A$13,SeedMap[],9,0)),VLOOKUP('Table Seed Map'!$A$13,SeedMap[],9,0)+1,1),IFERROR($AL4+1,0)))</f>
        <v>1</v>
      </c>
      <c r="AM5" s="45">
        <f>FormFields[[#This Row],[NO4]]</f>
        <v>1</v>
      </c>
      <c r="AN5" s="48">
        <f>[ID]</f>
        <v>3</v>
      </c>
      <c r="AO5" s="72"/>
      <c r="AP5" s="72"/>
      <c r="AQ5" s="72"/>
      <c r="AR5" s="72"/>
      <c r="AS5" s="72"/>
      <c r="AT5" s="46">
        <f>IF(OR(FormFields[[#This Row],[Colspan]]="",FormFields[[#This Row],[Colspan]]="colspan"),0,1)</f>
        <v>1</v>
      </c>
      <c r="AU5" s="46" t="str">
        <f>'Table Seed Map'!$A$18&amp;"-"&amp;SUM($AT$2:FormFields[[#This Row],[Exists FL]])</f>
        <v>Form Layout-3</v>
      </c>
      <c r="AV5" s="46">
        <f>IF(FormFields[[#This Row],[Exists FL]]=0,IF(FormFields[[#This Row],[Form Name]]="","id",""),SUM($AT$3:FormFields[[#This Row],[Exists FL]],IF(VLOOKUP('Table Seed Map'!$A$18,SeedMap[],9,0),VLOOKUP('Table Seed Map'!$A$18,SeedMap[],9,0),0)))</f>
        <v>3</v>
      </c>
      <c r="AW5" s="45">
        <f>FormFields[[#This Row],[NO8]]</f>
        <v>3</v>
      </c>
      <c r="AX5" s="46">
        <f>[Form]</f>
        <v>1</v>
      </c>
      <c r="AY5" s="46">
        <f>[ID]</f>
        <v>3</v>
      </c>
      <c r="AZ5" s="74">
        <v>6</v>
      </c>
      <c r="BB5" s="2" t="s">
        <v>798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7</v>
      </c>
      <c r="BF5" s="38" t="s">
        <v>796</v>
      </c>
      <c r="BG5" s="38">
        <v>5</v>
      </c>
      <c r="BI5" s="4" t="s">
        <v>1388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72</v>
      </c>
      <c r="BM5" s="31" t="s">
        <v>1376</v>
      </c>
      <c r="BN5" s="31" t="s">
        <v>1370</v>
      </c>
      <c r="BO5" s="33"/>
      <c r="BP5" s="33"/>
      <c r="BQ5" s="33"/>
      <c r="CZ5" s="2" t="s">
        <v>1067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24</v>
      </c>
      <c r="DD5" s="9" t="s">
        <v>48</v>
      </c>
      <c r="DE5" s="2"/>
      <c r="DF5" s="2"/>
      <c r="DG5" s="2"/>
      <c r="DH5" s="1" t="s">
        <v>1060</v>
      </c>
      <c r="DI5" s="2"/>
      <c r="DJ5" s="2" t="s">
        <v>672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Resource/NewResourceForm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4" t="s">
        <v>204</v>
      </c>
      <c r="E6" s="16">
        <f>ResourceForms[[#This Row],[No]]</f>
        <v>4</v>
      </c>
      <c r="F6" s="16">
        <f>VLOOKUP(ResourceForms[[#This Row],[Resource Name]],ResourceTable[[RName]:[RID]],2,0)</f>
        <v>4</v>
      </c>
      <c r="G6" s="9" t="s">
        <v>925</v>
      </c>
      <c r="H6" s="16" t="s">
        <v>926</v>
      </c>
      <c r="I6" s="9" t="s">
        <v>927</v>
      </c>
      <c r="J6" s="9" t="s">
        <v>928</v>
      </c>
      <c r="K6" s="86">
        <f>[ID]</f>
        <v>4</v>
      </c>
      <c r="M6" s="49" t="str">
        <f>'Table Seed Map'!$A$11&amp;"-"&amp;(COUNTA($Q$1:FormFields[[#This Row],[ID]])-2)</f>
        <v>Form Fields-4</v>
      </c>
      <c r="N6" s="37" t="s">
        <v>815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User/NewUserForm/password</v>
      </c>
      <c r="Q6" s="45">
        <f>FormFields[[#This Row],[No]]</f>
        <v>4</v>
      </c>
      <c r="R6" s="52">
        <f>VLOOKUP(FormFields[[#This Row],[Form Name]],ResourceForms[[FormName]:[No]],2,0)</f>
        <v>1</v>
      </c>
      <c r="S6" s="56" t="s">
        <v>404</v>
      </c>
      <c r="T6" s="56" t="s">
        <v>404</v>
      </c>
      <c r="U6" s="56" t="s">
        <v>405</v>
      </c>
      <c r="V6" s="64"/>
      <c r="W6" s="64"/>
      <c r="X6" s="64"/>
      <c r="Y6" s="64"/>
      <c r="Z6" s="65" t="str">
        <f>'Table Seed Map'!$A$12&amp;"-"&amp;(COUNTIF($AB$2:FormFields[[#This Row],[Exists]],1)-1)</f>
        <v>Field Data-4</v>
      </c>
      <c r="AA6" s="60">
        <f>COUNTIF($AB$2:FormFields[[#This Row],[Exists]],1)-1+VLOOKUP('Table Seed Map'!$A$11,SeedMap[],9,0)</f>
        <v>4</v>
      </c>
      <c r="AB6" s="63">
        <f>IF(AND(FormFields[[#This Row],[Attribute]]="",FormFields[[#This Row],[Relation]]=""),0,1)</f>
        <v>1</v>
      </c>
      <c r="AC6" s="63">
        <f>FormFields[[#This Row],[NO2]]</f>
        <v>4</v>
      </c>
      <c r="AD6" s="66">
        <f>[ID]</f>
        <v>4</v>
      </c>
      <c r="AE6" s="63" t="str">
        <f>[Name]</f>
        <v>password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Options-1</v>
      </c>
      <c r="AL6" s="45">
        <f>IF(FormFields[[#This Row],[Exists FO]]=0,$AL5,IF($AL5=0,IF(ISNUMBER(VLOOKUP('Table Seed Map'!$A$13,SeedMap[],9,0)),VLOOKUP('Table Seed Map'!$A$13,SeedMap[],9,0)+1,1),IFERROR($AL5+1,0)))</f>
        <v>1</v>
      </c>
      <c r="AM6" s="45">
        <f>FormFields[[#This Row],[NO4]]</f>
        <v>1</v>
      </c>
      <c r="AN6" s="48">
        <f>[ID]</f>
        <v>4</v>
      </c>
      <c r="AO6" s="72"/>
      <c r="AP6" s="72"/>
      <c r="AQ6" s="72"/>
      <c r="AR6" s="72"/>
      <c r="AS6" s="72"/>
      <c r="AT6" s="46">
        <f>IF(OR(FormFields[[#This Row],[Colspan]]="",FormFields[[#This Row],[Colspan]]="colspan"),0,1)</f>
        <v>1</v>
      </c>
      <c r="AU6" s="46" t="str">
        <f>'Table Seed Map'!$A$18&amp;"-"&amp;SUM($AT$2:FormFields[[#This Row],[Exists FL]])</f>
        <v>Form Layout-4</v>
      </c>
      <c r="AV6" s="46">
        <f>IF(FormFields[[#This Row],[Exists FL]]=0,IF(FormFields[[#This Row],[Form Name]]="","id",""),SUM($AT$3:FormFields[[#This Row],[Exists FL]],IF(VLOOKUP('Table Seed Map'!$A$18,SeedMap[],9,0),VLOOKUP('Table Seed Map'!$A$18,SeedMap[],9,0),0)))</f>
        <v>4</v>
      </c>
      <c r="AW6" s="45">
        <f>FormFields[[#This Row],[NO8]]</f>
        <v>4</v>
      </c>
      <c r="AX6" s="46">
        <f>[Form]</f>
        <v>1</v>
      </c>
      <c r="AY6" s="46">
        <f>[ID]</f>
        <v>4</v>
      </c>
      <c r="AZ6" s="74">
        <v>6</v>
      </c>
      <c r="BB6" s="2" t="s">
        <v>794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8</v>
      </c>
      <c r="BF6" s="38" t="s">
        <v>796</v>
      </c>
      <c r="BG6" s="39">
        <v>4</v>
      </c>
      <c r="BI6" s="4" t="s">
        <v>1389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73</v>
      </c>
      <c r="BM6" s="31" t="s">
        <v>1376</v>
      </c>
      <c r="BN6" s="31" t="s">
        <v>1371</v>
      </c>
      <c r="BO6" s="31"/>
      <c r="BP6" s="31"/>
      <c r="BQ6" s="31"/>
      <c r="CZ6" s="2" t="s">
        <v>1067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24</v>
      </c>
      <c r="DD6" s="9" t="s">
        <v>23</v>
      </c>
      <c r="DE6" s="2"/>
      <c r="DF6" s="2"/>
      <c r="DG6" s="2"/>
      <c r="DH6" s="1" t="s">
        <v>1060</v>
      </c>
      <c r="DI6" s="2"/>
      <c r="DJ6" s="2" t="s">
        <v>672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ResourceAction/NewActionForm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255</v>
      </c>
      <c r="E7" s="16">
        <f>ResourceForms[[#This Row],[No]]</f>
        <v>5</v>
      </c>
      <c r="F7" s="16">
        <f>VLOOKUP(ResourceForms[[#This Row],[Resource Name]],ResourceTable[[RName]:[RID]],2,0)</f>
        <v>30</v>
      </c>
      <c r="G7" s="9" t="s">
        <v>1036</v>
      </c>
      <c r="H7" s="16" t="s">
        <v>1033</v>
      </c>
      <c r="I7" s="9" t="s">
        <v>1034</v>
      </c>
      <c r="J7" s="9" t="s">
        <v>1035</v>
      </c>
      <c r="K7" s="86">
        <f>[ID]</f>
        <v>5</v>
      </c>
      <c r="M7" s="49" t="str">
        <f>'Table Seed Map'!$A$11&amp;"-"&amp;(COUNTA($Q$1:FormFields[[#This Row],[ID]])-2)</f>
        <v>Form Fields-5</v>
      </c>
      <c r="N7" s="53" t="s">
        <v>816</v>
      </c>
      <c r="O7" s="46">
        <f>IF(FormFields[[#This Row],[Form Name]]="","id",COUNTA($N$3:FormFields[[#This Row],[Form Name]])+IF(VLOOKUP('Table Seed Map'!$A$11,SeedMap[],9,0),VLOOKUP('Table Seed Map'!$A$11,SeedMap[],9,0),0))</f>
        <v>5</v>
      </c>
      <c r="P7" s="49" t="str">
        <f>FormFields[[#This Row],[Form Name]]&amp;"/"&amp;FormFields[[#This Row],[Name]]</f>
        <v>User/UpdateUserForm/name</v>
      </c>
      <c r="Q7" s="45">
        <f>FormFields[[#This Row],[No]]</f>
        <v>5</v>
      </c>
      <c r="R7" s="52">
        <f>VLOOKUP(FormFields[[#This Row],[Form Name]],ResourceForms[[FormName]:[No]],2,0)</f>
        <v>2</v>
      </c>
      <c r="S7" s="56" t="s">
        <v>26</v>
      </c>
      <c r="T7" s="56" t="s">
        <v>231</v>
      </c>
      <c r="U7" s="56" t="s">
        <v>1</v>
      </c>
      <c r="V7" s="64"/>
      <c r="W7" s="64"/>
      <c r="X7" s="64"/>
      <c r="Y7" s="64"/>
      <c r="Z7" s="65" t="str">
        <f>'Table Seed Map'!$A$12&amp;"-"&amp;(COUNTIF($AB$2:FormFields[[#This Row],[Exists]],1)-1)</f>
        <v>Field Data-5</v>
      </c>
      <c r="AA7" s="60">
        <f>COUNTIF($AB$2:FormFields[[#This Row],[Exists]],1)-1+VLOOKUP('Table Seed Map'!$A$11,SeedMap[],9,0)</f>
        <v>5</v>
      </c>
      <c r="AB7" s="63">
        <f>IF(AND(FormFields[[#This Row],[Attribute]]="",FormFields[[#This Row],[Relation]]=""),0,1)</f>
        <v>1</v>
      </c>
      <c r="AC7" s="63">
        <f>FormFields[[#This Row],[NO2]]</f>
        <v>5</v>
      </c>
      <c r="AD7" s="66">
        <f>[ID]</f>
        <v>5</v>
      </c>
      <c r="AE7" s="63" t="str">
        <f>[Name]</f>
        <v>name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Options-1</v>
      </c>
      <c r="AL7" s="45">
        <f>IF(FormFields[[#This Row],[Exists FO]]=0,$AL6,IF($AL6=0,IF(ISNUMBER(VLOOKUP('Table Seed Map'!$A$13,SeedMap[],9,0)),VLOOKUP('Table Seed Map'!$A$13,SeedMap[],9,0)+1,1),IFERROR($AL6+1,0)))</f>
        <v>1</v>
      </c>
      <c r="AM7" s="45">
        <f>FormFields[[#This Row],[NO4]]</f>
        <v>1</v>
      </c>
      <c r="AN7" s="48">
        <f>[ID]</f>
        <v>5</v>
      </c>
      <c r="AO7" s="72"/>
      <c r="AP7" s="72"/>
      <c r="AQ7" s="72"/>
      <c r="AR7" s="72"/>
      <c r="AS7" s="72"/>
      <c r="AT7" s="46">
        <f>IF(OR(FormFields[[#This Row],[Colspan]]="",FormFields[[#This Row],[Colspan]]="colspan"),0,1)</f>
        <v>0</v>
      </c>
      <c r="AU7" s="46" t="str">
        <f>'Table Seed Map'!$A$18&amp;"-"&amp;SUM($AT$2:FormFields[[#This Row],[Exists FL]])</f>
        <v>Form Layout-4</v>
      </c>
      <c r="AV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6">
        <f>[Form]</f>
        <v>2</v>
      </c>
      <c r="AY7" s="46">
        <f>[ID]</f>
        <v>5</v>
      </c>
      <c r="AZ7" s="74"/>
      <c r="CZ7" s="2" t="s">
        <v>1067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24</v>
      </c>
      <c r="DD7" s="7" t="s">
        <v>111</v>
      </c>
      <c r="DE7" s="4"/>
      <c r="DF7" s="4"/>
      <c r="DG7" s="4"/>
      <c r="DH7" s="1" t="s">
        <v>1060</v>
      </c>
      <c r="DI7" s="4"/>
      <c r="DJ7" s="4"/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ResourceAction/AddActionForm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255</v>
      </c>
      <c r="E8" s="16">
        <f>ResourceForms[[#This Row],[No]]</f>
        <v>6</v>
      </c>
      <c r="F8" s="16">
        <f>VLOOKUP(ResourceForms[[#This Row],[Resource Name]],ResourceTable[[RName]:[RID]],2,0)</f>
        <v>30</v>
      </c>
      <c r="G8" s="9" t="s">
        <v>1037</v>
      </c>
      <c r="H8" s="16" t="s">
        <v>1038</v>
      </c>
      <c r="I8" s="9" t="s">
        <v>1039</v>
      </c>
      <c r="J8" s="9" t="s">
        <v>1039</v>
      </c>
      <c r="K8" s="86">
        <f>[ID]</f>
        <v>6</v>
      </c>
      <c r="M8" s="49" t="str">
        <f>'Table Seed Map'!$A$11&amp;"-"&amp;(COUNTA($Q$1:FormFields[[#This Row],[ID]])-2)</f>
        <v>Form Fields-6</v>
      </c>
      <c r="N8" s="53" t="s">
        <v>816</v>
      </c>
      <c r="O8" s="46">
        <f>IF(FormFields[[#This Row],[Form Name]]="","id",COUNTA($N$3:FormFields[[#This Row],[Form Name]])+IF(VLOOKUP('Table Seed Map'!$A$11,SeedMap[],9,0),VLOOKUP('Table Seed Map'!$A$11,SeedMap[],9,0),0))</f>
        <v>6</v>
      </c>
      <c r="P8" s="49" t="str">
        <f>FormFields[[#This Row],[Form Name]]&amp;"/"&amp;FormFields[[#This Row],[Name]]</f>
        <v>User/UpdateUserForm/email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232</v>
      </c>
      <c r="T8" s="55" t="s">
        <v>231</v>
      </c>
      <c r="U8" s="55" t="s">
        <v>233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COUNTIF($AB$2:FormFields[[#This Row],[Exists]],1)-1+VLOOKUP('Table Seed Map'!$A$11,SeedMap[],9,0)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email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Options-1</v>
      </c>
      <c r="AL8" s="45">
        <f>IF(FormFields[[#This Row],[Exists FO]]=0,$AL7,IF($AL7=0,IF(ISNUMBER(VLOOKUP('Table Seed Map'!$A$13,SeedMap[],9,0)),VLOOKUP('Table Seed Map'!$A$13,SeedMap[],9,0)+1,1),IFERROR($AL7+1,0)))</f>
        <v>1</v>
      </c>
      <c r="AM8" s="45">
        <f>FormFields[[#This Row],[NO4]]</f>
        <v>1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Layout-4</v>
      </c>
      <c r="AV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1073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6" t="s">
        <v>48</v>
      </c>
      <c r="DE8" s="2"/>
      <c r="DF8" s="2"/>
      <c r="DG8" s="2"/>
      <c r="DH8" s="1" t="s">
        <v>1059</v>
      </c>
      <c r="DI8" s="2"/>
      <c r="DJ8" s="2" t="s">
        <v>672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ResourceForm/NewFormForm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310</v>
      </c>
      <c r="E9" s="16">
        <f>ResourceForms[[#This Row],[No]]</f>
        <v>7</v>
      </c>
      <c r="F9" s="16">
        <f>VLOOKUP(ResourceForms[[#This Row],[Resource Name]],ResourceTable[[RName]:[RID]],2,0)</f>
        <v>8</v>
      </c>
      <c r="G9" s="9" t="s">
        <v>944</v>
      </c>
      <c r="H9" s="16" t="s">
        <v>945</v>
      </c>
      <c r="I9" s="9" t="s">
        <v>946</v>
      </c>
      <c r="J9" s="9" t="s">
        <v>947</v>
      </c>
      <c r="K9" s="86">
        <f>[ID]</f>
        <v>7</v>
      </c>
      <c r="M9" s="49" t="str">
        <f>'Table Seed Map'!$A$11&amp;"-"&amp;(COUNTA($Q$1:FormFields[[#This Row],[ID]])-2)</f>
        <v>Form Fields-7</v>
      </c>
      <c r="N9" s="53" t="s">
        <v>816</v>
      </c>
      <c r="O9" s="46">
        <f>IF(FormFields[[#This Row],[Form Name]]="","id",COUNTA($N$3:FormFields[[#This Row],[Form Name]])+IF(VLOOKUP('Table Seed Map'!$A$11,SeedMap[],9,0),VLOOKUP('Table Seed Map'!$A$11,SeedMap[],9,0),0))</f>
        <v>7</v>
      </c>
      <c r="P9" s="49" t="str">
        <f>FormFields[[#This Row],[Form Name]]&amp;"/"&amp;FormFields[[#This Row],[Name]]</f>
        <v>User/UpdateUserForm/group</v>
      </c>
      <c r="Q9" s="45">
        <f>FormFields[[#This Row],[No]]</f>
        <v>7</v>
      </c>
      <c r="R9" s="52">
        <f>VLOOKUP(FormFields[[#This Row],[Form Name]],ResourceForms[[FormName]:[No]],2,0)</f>
        <v>2</v>
      </c>
      <c r="S9" s="55" t="s">
        <v>138</v>
      </c>
      <c r="T9" s="55" t="s">
        <v>785</v>
      </c>
      <c r="U9" s="55" t="s">
        <v>235</v>
      </c>
      <c r="V9" s="58" t="s">
        <v>819</v>
      </c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COUNTIF($AB$2:FormFields[[#This Row],[Exists]],1)-1+VLOOKUP('Table Seed Map'!$A$11,SeedMap[],9,0)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0" t="str">
        <f>[Name]</f>
        <v>group</v>
      </c>
      <c r="AF9" s="90">
        <f>IF(FormFields[[#This Row],[Rel]]="",IF(EXACT($AF8,FormFields[[#Headers],[Relation]]),"relation",""),VLOOKUP(FormFields[[#This Row],[Rel]],RelationTable[[Display]:[RELID]],2,0))</f>
        <v>1</v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1</v>
      </c>
      <c r="AK9" s="45" t="str">
        <f>'Table Seed Map'!$A$13&amp;"-"&amp;COUNTIF($AJ$2:FormFields[[#This Row],[Exists FO]],1)</f>
        <v>Field Options-2</v>
      </c>
      <c r="AL9" s="45">
        <f>IF(FormFields[[#This Row],[Exists FO]]=0,$AL8,IF($AL8=0,IF(ISNUMBER(VLOOKUP('Table Seed Map'!$A$13,SeedMap[],9,0)),VLOOKUP('Table Seed Map'!$A$13,SeedMap[],9,0)+1,1),IFERROR($AL8+1,0)))</f>
        <v>2</v>
      </c>
      <c r="AM9" s="45">
        <f>FormFields[[#This Row],[NO4]]</f>
        <v>2</v>
      </c>
      <c r="AN9" s="38">
        <f>[ID]</f>
        <v>7</v>
      </c>
      <c r="AO9" s="71" t="s">
        <v>671</v>
      </c>
      <c r="AP9" s="71"/>
      <c r="AQ9" s="71" t="s">
        <v>21</v>
      </c>
      <c r="AR9" s="71" t="s">
        <v>30</v>
      </c>
      <c r="AS9" s="71" t="s">
        <v>672</v>
      </c>
      <c r="AT9" s="45">
        <f>IF(OR(FormFields[[#This Row],[Colspan]]="",FormFields[[#This Row],[Colspan]]="colspan"),0,1)</f>
        <v>0</v>
      </c>
      <c r="AU9" s="45" t="str">
        <f>'Table Seed Map'!$A$18&amp;"-"&amp;SUM($AT$2:FormFields[[#This Row],[Exists FL]])</f>
        <v>Form Layout-4</v>
      </c>
      <c r="AV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9" s="45" t="str">
        <f>FormFields[[#This Row],[NO8]]</f>
        <v/>
      </c>
      <c r="AX9" s="45">
        <f>[Form]</f>
        <v>2</v>
      </c>
      <c r="AY9" s="45">
        <f>[ID]</f>
        <v>7</v>
      </c>
      <c r="AZ9" s="61"/>
      <c r="CZ9" s="2" t="s">
        <v>1073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31</v>
      </c>
      <c r="DD9" s="6" t="s">
        <v>23</v>
      </c>
      <c r="DE9" s="2"/>
      <c r="DF9" s="2"/>
      <c r="DG9" s="2"/>
      <c r="DH9" s="1" t="s">
        <v>1059</v>
      </c>
      <c r="DI9" s="2"/>
      <c r="DJ9" s="2" t="s">
        <v>672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ResourceForm/AddResourceForm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310</v>
      </c>
      <c r="E10" s="16">
        <f>ResourceForms[[#This Row],[No]]</f>
        <v>8</v>
      </c>
      <c r="F10" s="16">
        <f>VLOOKUP(ResourceForms[[#This Row],[Resource Name]],ResourceTable[[RName]:[RID]],2,0)</f>
        <v>8</v>
      </c>
      <c r="G10" s="9" t="s">
        <v>961</v>
      </c>
      <c r="H10" s="16" t="s">
        <v>962</v>
      </c>
      <c r="I10" s="9" t="s">
        <v>946</v>
      </c>
      <c r="J10" s="9" t="s">
        <v>947</v>
      </c>
      <c r="K10" s="86">
        <f>[ID]</f>
        <v>8</v>
      </c>
      <c r="M10" s="49" t="str">
        <f>'Table Seed Map'!$A$11&amp;"-"&amp;(COUNTA($Q$1:FormFields[[#This Row],[ID]])-2)</f>
        <v>Form Fields-8</v>
      </c>
      <c r="N10" s="53" t="s">
        <v>817</v>
      </c>
      <c r="O10" s="46">
        <f>IF(FormFields[[#This Row],[Form Name]]="","id",COUNTA($N$3:FormFields[[#This Row],[Form Name]])+IF(VLOOKUP('Table Seed Map'!$A$11,SeedMap[],9,0),VLOOKUP('Table Seed Map'!$A$11,SeedMap[],9,0),0))</f>
        <v>8</v>
      </c>
      <c r="P10" s="49" t="str">
        <f>FormFields[[#This Row],[Form Name]]&amp;"/"&amp;FormFields[[#This Row],[Name]]</f>
        <v>User/ChangeUserPassword/password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7" t="s">
        <v>404</v>
      </c>
      <c r="T10" s="57" t="s">
        <v>404</v>
      </c>
      <c r="U10" s="57" t="s">
        <v>791</v>
      </c>
      <c r="V10" s="67"/>
      <c r="W10" s="67"/>
      <c r="X10" s="67"/>
      <c r="Y10" s="67"/>
      <c r="Z10" s="68" t="str">
        <f>'Table Seed Map'!$A$12&amp;"-"&amp;(COUNTIF($AB$2:FormFields[[#This Row],[Exists]],1)-1)</f>
        <v>Field Data-8</v>
      </c>
      <c r="AA10" s="60">
        <f>COUNTIF($AB$2:FormFields[[#This Row],[Exists]],1)-1+VLOOKUP('Table Seed Map'!$A$11,SeedMap[],9,0)</f>
        <v>8</v>
      </c>
      <c r="AB10" s="69">
        <f>IF(AND(FormFields[[#This Row],[Attribute]]="",FormFields[[#This Row],[Relation]]=""),0,1)</f>
        <v>1</v>
      </c>
      <c r="AC10" s="69">
        <f>FormFields[[#This Row],[NO2]]</f>
        <v>8</v>
      </c>
      <c r="AD10" s="70">
        <f>[ID]</f>
        <v>8</v>
      </c>
      <c r="AE10" s="69" t="str">
        <f>[Name]</f>
        <v>password</v>
      </c>
      <c r="AF10" s="90" t="str">
        <f>IF(FormFields[[#This Row],[Rel]]="",IF(EXACT($AF9,FormFields[[#Headers],[Relation]]),"relation",""),VLOOKUP(FormFields[[#This Row],[Rel]],RelationTable[[Display]:[RELID]],2,0))</f>
        <v/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0</v>
      </c>
      <c r="AK10" s="45" t="str">
        <f>'Table Seed Map'!$A$13&amp;"-"&amp;COUNTIF($AJ$2:FormFields[[#This Row],[Exists FO]],1)</f>
        <v>Field Options-2</v>
      </c>
      <c r="AL10" s="45">
        <f>IF(FormFields[[#This Row],[Exists FO]]=0,$AL9,IF($AL9=0,IF(ISNUMBER(VLOOKUP('Table Seed Map'!$A$13,SeedMap[],9,0)),VLOOKUP('Table Seed Map'!$A$13,SeedMap[],9,0)+1,1),IFERROR($AL9+1,0)))</f>
        <v>2</v>
      </c>
      <c r="AM10" s="45">
        <f>FormFields[[#This Row],[NO4]]</f>
        <v>2</v>
      </c>
      <c r="AN10" s="39">
        <f>[ID]</f>
        <v>8</v>
      </c>
      <c r="AO10" s="73"/>
      <c r="AP10" s="73"/>
      <c r="AQ10" s="73"/>
      <c r="AR10" s="73"/>
      <c r="AS10" s="73"/>
      <c r="AT10" s="50">
        <f>IF(OR(FormFields[[#This Row],[Colspan]]="",FormFields[[#This Row],[Colspan]]="colspan"),0,1)</f>
        <v>0</v>
      </c>
      <c r="AU10" s="50" t="str">
        <f>'Table Seed Map'!$A$18&amp;"-"&amp;SUM($AT$2:FormFields[[#This Row],[Exists FL]])</f>
        <v>Form Layout-4</v>
      </c>
      <c r="AV1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0" s="45" t="str">
        <f>FormFields[[#This Row],[NO8]]</f>
        <v/>
      </c>
      <c r="AX10" s="50">
        <f>[Form]</f>
        <v>3</v>
      </c>
      <c r="AY10" s="50">
        <f>[ID]</f>
        <v>8</v>
      </c>
      <c r="AZ10" s="75"/>
      <c r="CZ10" s="2" t="s">
        <v>1074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32</v>
      </c>
      <c r="DD10" s="9" t="s">
        <v>48</v>
      </c>
      <c r="DE10" s="2"/>
      <c r="DF10" s="2"/>
      <c r="DG10" s="2"/>
      <c r="DH10" s="1" t="s">
        <v>1060</v>
      </c>
      <c r="DI10" s="2"/>
      <c r="DJ10" s="2" t="s">
        <v>672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ResourceFormField/CreateFormField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314</v>
      </c>
      <c r="E11" s="16">
        <f>ResourceForms[[#This Row],[No]]</f>
        <v>9</v>
      </c>
      <c r="F11" s="16">
        <f>VLOOKUP(ResourceForms[[#This Row],[Resource Name]],ResourceTable[[RName]:[RID]],2,0)</f>
        <v>9</v>
      </c>
      <c r="G11" s="9" t="s">
        <v>964</v>
      </c>
      <c r="H11" s="16" t="s">
        <v>965</v>
      </c>
      <c r="I11" s="9" t="s">
        <v>966</v>
      </c>
      <c r="J11" s="9" t="s">
        <v>966</v>
      </c>
      <c r="K11" s="86">
        <f>[ID]</f>
        <v>9</v>
      </c>
      <c r="M11" s="49" t="str">
        <f>'Table Seed Map'!$A$11&amp;"-"&amp;(COUNTA($Q$1:FormFields[[#This Row],[ID]])-2)</f>
        <v>Form Fields-9</v>
      </c>
      <c r="N11" s="53" t="s">
        <v>929</v>
      </c>
      <c r="O11" s="46">
        <f>IF(FormFields[[#This Row],[Form Name]]="","id",COUNTA($N$3:FormFields[[#This Row],[Form Name]])+IF(VLOOKUP('Table Seed Map'!$A$11,SeedMap[],9,0),VLOOKUP('Table Seed Map'!$A$11,SeedMap[],9,0),0))</f>
        <v>9</v>
      </c>
      <c r="P11" s="49" t="str">
        <f>FormFields[[#This Row],[Form Name]]&amp;"/"&amp;FormFields[[#This Row],[Name]]</f>
        <v>Resource/NewResourceForm/name</v>
      </c>
      <c r="Q11" s="45">
        <f>FormFields[[#This Row],[No]]</f>
        <v>9</v>
      </c>
      <c r="R11" s="85">
        <f>VLOOKUP(FormFields[[#This Row],[Form Name]],ResourceForms[[FormName]:[No]],2,0)</f>
        <v>4</v>
      </c>
      <c r="S11" s="56" t="s">
        <v>26</v>
      </c>
      <c r="T11" s="56" t="s">
        <v>231</v>
      </c>
      <c r="U11" s="56" t="s">
        <v>1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COUNTIF($AB$2:FormFields[[#This Row],[Exists]],1)-1+VLOOKUP('Table Seed Map'!$A$11,SeedMap[],9,0)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name</v>
      </c>
      <c r="AF11" s="91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1" t="str">
        <f>IF(FormFields[[#This Row],[Rel2]]="",IF(EXACT($AH10,FormFields[[#Headers],[R2]]),"nest_relation2",""),VLOOKUP(FormFields[[#This Row],[Rel2]],RelationTable[[Display]:[RELID]],2,0))</f>
        <v/>
      </c>
      <c r="AI11" s="91" t="str">
        <f>IF(FormFields[[#This Row],[Rel3]]="",IF(EXACT($AI10,FormFields[[#Headers],[R3]]),"nest_relation3",""),VLOOKUP(FormFields[[#This Row],[Rel3]],RelationTable[[Display]:[RELID]],2,0))</f>
        <v/>
      </c>
      <c r="AJ11" s="46">
        <f>IF(OR(FormFields[[#This Row],[Option Type]]="",FormFields[[#This Row],[Option Type]]="type"),0,1)</f>
        <v>0</v>
      </c>
      <c r="AK11" s="46" t="str">
        <f>'Table Seed Map'!$A$13&amp;"-"&amp;COUNTIF($AJ$2:FormFields[[#This Row],[Exists FO]],1)</f>
        <v>Field Options-2</v>
      </c>
      <c r="AL11" s="46">
        <f>IF(FormFields[[#This Row],[Exists FO]]=0,$AL10,IF($AL10=0,IF(ISNUMBER(VLOOKUP('Table Seed Map'!$A$13,SeedMap[],9,0)),VLOOKUP('Table Seed Map'!$A$13,SeedMap[],9,0)+1,1),IFERROR($AL10+1,0)))</f>
        <v>2</v>
      </c>
      <c r="AM11" s="46">
        <f>FormFields[[#This Row],[NO4]]</f>
        <v>2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Layout-5</v>
      </c>
      <c r="AV11" s="46">
        <f>IF(FormFields[[#This Row],[Exists FL]]=0,IF(FormFields[[#This Row],[Form Name]]="","id",""),SUM($AT$3:FormFields[[#This Row],[Exists FL]],IF(VLOOKUP('Table Seed Map'!$A$18,SeedMap[],9,0),VLOOKUP('Table Seed Map'!$A$18,SeedMap[],9,0),0)))</f>
        <v>5</v>
      </c>
      <c r="AW11" s="45">
        <f>FormFields[[#This Row],[NO8]]</f>
        <v>5</v>
      </c>
      <c r="AX11" s="46">
        <f>[Form]</f>
        <v>4</v>
      </c>
      <c r="AY11" s="46">
        <f>[ID]</f>
        <v>9</v>
      </c>
      <c r="AZ11" s="74">
        <v>6</v>
      </c>
      <c r="CZ11" s="2" t="s">
        <v>1074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32</v>
      </c>
      <c r="DD11" s="9" t="s">
        <v>23</v>
      </c>
      <c r="DE11" s="2"/>
      <c r="DF11" s="2"/>
      <c r="DG11" s="2"/>
      <c r="DH11" s="1" t="s">
        <v>1060</v>
      </c>
      <c r="DI11" s="2"/>
      <c r="DJ11" s="2" t="s">
        <v>672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ResourceList/CreateListForm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406</v>
      </c>
      <c r="E12" s="16">
        <f>ResourceForms[[#This Row],[No]]</f>
        <v>10</v>
      </c>
      <c r="F12" s="16">
        <f>VLOOKUP(ResourceForms[[#This Row],[Resource Name]],ResourceTable[[RName]:[RID]],2,0)</f>
        <v>20</v>
      </c>
      <c r="G12" s="9" t="s">
        <v>972</v>
      </c>
      <c r="H12" s="16" t="s">
        <v>973</v>
      </c>
      <c r="I12" s="9" t="s">
        <v>974</v>
      </c>
      <c r="J12" s="9" t="s">
        <v>975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53" t="s">
        <v>929</v>
      </c>
      <c r="O12" s="46">
        <f>IF(FormFields[[#This Row],[Form Name]]="","id",COUNTA($N$3:FormFields[[#This Row],[Form Name]])+IF(VLOOKUP('Table Seed Map'!$A$11,SeedMap[],9,0),VLOOKUP('Table Seed Map'!$A$11,SeedMap[],9,0),0))</f>
        <v>10</v>
      </c>
      <c r="P12" s="49" t="str">
        <f>FormFields[[#This Row],[Form Name]]&amp;"/"&amp;FormFields[[#This Row],[Name]]</f>
        <v>Resource/NewResourceForm/title</v>
      </c>
      <c r="Q12" s="45">
        <f>FormFields[[#This Row],[No]]</f>
        <v>10</v>
      </c>
      <c r="R12" s="85">
        <f>VLOOKUP(FormFields[[#This Row],[Form Name]],ResourceForms[[FormName]:[No]],2,0)</f>
        <v>4</v>
      </c>
      <c r="S12" s="56" t="s">
        <v>30</v>
      </c>
      <c r="T12" s="56" t="s">
        <v>231</v>
      </c>
      <c r="U12" s="56" t="s">
        <v>236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COUNTIF($AB$2:FormFields[[#This Row],[Exists]],1)-1+VLOOKUP('Table Seed Map'!$A$11,SeedMap[],9,0)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title</v>
      </c>
      <c r="AF12" s="91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1" t="str">
        <f>IF(FormFields[[#This Row],[Rel2]]="",IF(EXACT($AH11,FormFields[[#Headers],[R2]]),"nest_relation2",""),VLOOKUP(FormFields[[#This Row],[Rel2]],RelationTable[[Display]:[RELID]],2,0))</f>
        <v/>
      </c>
      <c r="AI12" s="91" t="str">
        <f>IF(FormFields[[#This Row],[Rel3]]="",IF(EXACT($AI11,FormFields[[#Headers],[R3]]),"nest_relation3",""),VLOOKUP(FormFields[[#This Row],[Rel3]],RelationTable[[Display]:[RELID]],2,0))</f>
        <v/>
      </c>
      <c r="AJ12" s="46">
        <f>IF(OR(FormFields[[#This Row],[Option Type]]="",FormFields[[#This Row],[Option Type]]="type"),0,1)</f>
        <v>0</v>
      </c>
      <c r="AK12" s="46" t="str">
        <f>'Table Seed Map'!$A$13&amp;"-"&amp;COUNTIF($AJ$2:FormFields[[#This Row],[Exists FO]],1)</f>
        <v>Field Options-2</v>
      </c>
      <c r="AL12" s="46">
        <f>IF(FormFields[[#This Row],[Exists FO]]=0,$AL11,IF($AL11=0,IF(ISNUMBER(VLOOKUP('Table Seed Map'!$A$13,SeedMap[],9,0)),VLOOKUP('Table Seed Map'!$A$13,SeedMap[],9,0)+1,1),IFERROR($AL11+1,0)))</f>
        <v>2</v>
      </c>
      <c r="AM12" s="46">
        <f>FormFields[[#This Row],[NO4]]</f>
        <v>2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Layout-6</v>
      </c>
      <c r="AV12" s="46">
        <f>IF(FormFields[[#This Row],[Exists FL]]=0,IF(FormFields[[#This Row],[Form Name]]="","id",""),SUM($AT$3:FormFields[[#This Row],[Exists FL]],IF(VLOOKUP('Table Seed Map'!$A$18,SeedMap[],9,0),VLOOKUP('Table Seed Map'!$A$18,SeedMap[],9,0),0)))</f>
        <v>6</v>
      </c>
      <c r="AW12" s="45">
        <f>FormFields[[#This Row],[NO8]]</f>
        <v>6</v>
      </c>
      <c r="AX12" s="46">
        <f>[Form]</f>
        <v>4</v>
      </c>
      <c r="AY12" s="46">
        <f>[ID]</f>
        <v>10</v>
      </c>
      <c r="AZ12" s="74">
        <v>6</v>
      </c>
      <c r="CZ12" s="2" t="s">
        <v>1074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32</v>
      </c>
      <c r="DD12" s="7" t="s">
        <v>111</v>
      </c>
      <c r="DE12" s="4"/>
      <c r="DF12" s="4"/>
      <c r="DG12" s="4"/>
      <c r="DH12" s="1" t="s">
        <v>1060</v>
      </c>
      <c r="DI12" s="4"/>
      <c r="DJ12" s="4"/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ResourceList/AddResourceList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406</v>
      </c>
      <c r="E13" s="16">
        <f>ResourceForms[[#This Row],[No]]</f>
        <v>11</v>
      </c>
      <c r="F13" s="16">
        <f>VLOOKUP(ResourceForms[[#This Row],[Resource Name]],ResourceTable[[RName]:[RID]],2,0)</f>
        <v>20</v>
      </c>
      <c r="G13" s="9" t="s">
        <v>978</v>
      </c>
      <c r="H13" s="16" t="s">
        <v>979</v>
      </c>
      <c r="I13" s="9" t="s">
        <v>980</v>
      </c>
      <c r="J13" s="9" t="s">
        <v>981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929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Resource/NewResourceForm/description</v>
      </c>
      <c r="Q13" s="45">
        <f>FormFields[[#This Row],[No]]</f>
        <v>11</v>
      </c>
      <c r="R13" s="85">
        <f>VLOOKUP(FormFields[[#This Row],[Form Name]],ResourceForms[[FormName]:[No]],2,0)</f>
        <v>4</v>
      </c>
      <c r="S13" s="56" t="s">
        <v>28</v>
      </c>
      <c r="T13" s="56" t="s">
        <v>930</v>
      </c>
      <c r="U13" s="56" t="s">
        <v>242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COUNTIF($AB$2:FormFields[[#This Row],[Exists]],1)-1+VLOOKUP('Table Seed Map'!$A$11,SeedMap[],9,0)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description</v>
      </c>
      <c r="AF13" s="91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1" t="str">
        <f>IF(FormFields[[#This Row],[Rel2]]="",IF(EXACT($AH12,FormFields[[#Headers],[R2]]),"nest_relation2",""),VLOOKUP(FormFields[[#This Row],[Rel2]],RelationTable[[Display]:[RELID]],2,0))</f>
        <v/>
      </c>
      <c r="AI13" s="91" t="str">
        <f>IF(FormFields[[#This Row],[Rel3]]="",IF(EXACT($AI12,FormFields[[#Headers],[R3]]),"nest_relation3",""),VLOOKUP(FormFields[[#This Row],[Rel3]],RelationTable[[Display]:[RELID]],2,0))</f>
        <v/>
      </c>
      <c r="AJ13" s="46">
        <f>IF(OR(FormFields[[#This Row],[Option Type]]="",FormFields[[#This Row],[Option Type]]="type"),0,1)</f>
        <v>0</v>
      </c>
      <c r="AK13" s="46" t="str">
        <f>'Table Seed Map'!$A$13&amp;"-"&amp;COUNTIF($AJ$2:FormFields[[#This Row],[Exists FO]],1)</f>
        <v>Field Options-2</v>
      </c>
      <c r="AL13" s="46">
        <f>IF(FormFields[[#This Row],[Exists FO]]=0,$AL12,IF($AL12=0,IF(ISNUMBER(VLOOKUP('Table Seed Map'!$A$13,SeedMap[],9,0)),VLOOKUP('Table Seed Map'!$A$13,SeedMap[],9,0)+1,1),IFERROR($AL12+1,0)))</f>
        <v>2</v>
      </c>
      <c r="AM13" s="46">
        <f>FormFields[[#This Row],[NO4]]</f>
        <v>2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1</v>
      </c>
      <c r="AU13" s="46" t="str">
        <f>'Table Seed Map'!$A$18&amp;"-"&amp;SUM($AT$2:FormFields[[#This Row],[Exists FL]])</f>
        <v>Form Layout-7</v>
      </c>
      <c r="AV13" s="46">
        <f>IF(FormFields[[#This Row],[Exists FL]]=0,IF(FormFields[[#This Row],[Form Name]]="","id",""),SUM($AT$3:FormFields[[#This Row],[Exists FL]],IF(VLOOKUP('Table Seed Map'!$A$18,SeedMap[],9,0),VLOOKUP('Table Seed Map'!$A$18,SeedMap[],9,0),0)))</f>
        <v>7</v>
      </c>
      <c r="AW13" s="45">
        <f>FormFields[[#This Row],[NO8]]</f>
        <v>7</v>
      </c>
      <c r="AX13" s="46">
        <f>[Form]</f>
        <v>4</v>
      </c>
      <c r="AY13" s="46">
        <f>[ID]</f>
        <v>11</v>
      </c>
      <c r="AZ13" s="74">
        <v>12</v>
      </c>
      <c r="CZ13" s="2" t="s">
        <v>1357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47</v>
      </c>
      <c r="DD13" s="9" t="s">
        <v>23</v>
      </c>
      <c r="DE13" s="4" t="s">
        <v>23</v>
      </c>
      <c r="DF13" s="4" t="s">
        <v>1356</v>
      </c>
      <c r="DG13" s="4"/>
      <c r="DH13" s="4"/>
      <c r="DI13" s="4"/>
      <c r="DJ13" s="2" t="s">
        <v>672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ResourceData/CreateDataForm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429</v>
      </c>
      <c r="E14" s="16">
        <f>ResourceForms[[#This Row],[No]]</f>
        <v>12</v>
      </c>
      <c r="F14" s="16">
        <f>VLOOKUP(ResourceForms[[#This Row],[Resource Name]],ResourceTable[[RName]:[RID]],2,0)</f>
        <v>25</v>
      </c>
      <c r="G14" s="9" t="s">
        <v>1016</v>
      </c>
      <c r="H14" s="16" t="s">
        <v>1017</v>
      </c>
      <c r="I14" s="9" t="s">
        <v>1018</v>
      </c>
      <c r="J14" s="9" t="s">
        <v>1018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929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Resource/NewResourceForm/namespace</v>
      </c>
      <c r="Q14" s="45">
        <f>FormFields[[#This Row],[No]]</f>
        <v>12</v>
      </c>
      <c r="R14" s="85">
        <f>VLOOKUP(FormFields[[#This Row],[Form Name]],ResourceForms[[FormName]:[No]],2,0)</f>
        <v>4</v>
      </c>
      <c r="S14" s="56" t="s">
        <v>31</v>
      </c>
      <c r="T14" s="56" t="s">
        <v>231</v>
      </c>
      <c r="U14" s="56" t="s">
        <v>931</v>
      </c>
      <c r="V14" s="64"/>
      <c r="W14" s="64"/>
      <c r="X14" s="64"/>
      <c r="Y14" s="64"/>
      <c r="Z14" s="65" t="str">
        <f>'Table Seed Map'!$A$12&amp;"-"&amp;(COUNTIF($AB$2:FormFields[[#This Row],[Exists]],1)-1)</f>
        <v>Field Data-12</v>
      </c>
      <c r="AA14" s="60">
        <f>COUNTIF($AB$2:FormFields[[#This Row],[Exists]],1)-1+VLOOKUP('Table Seed Map'!$A$11,SeedMap[],9,0)</f>
        <v>12</v>
      </c>
      <c r="AB14" s="63">
        <f>IF(AND(FormFields[[#This Row],[Attribute]]="",FormFields[[#This Row],[Relation]]=""),0,1)</f>
        <v>1</v>
      </c>
      <c r="AC14" s="63">
        <f>FormFields[[#This Row],[NO2]]</f>
        <v>12</v>
      </c>
      <c r="AD14" s="66">
        <f>[ID]</f>
        <v>12</v>
      </c>
      <c r="AE14" s="63" t="str">
        <f>[Name]</f>
        <v>namespace</v>
      </c>
      <c r="AF14" s="91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1" t="str">
        <f>IF(FormFields[[#This Row],[Rel2]]="",IF(EXACT($AH13,FormFields[[#Headers],[R2]]),"nest_relation2",""),VLOOKUP(FormFields[[#This Row],[Rel2]],RelationTable[[Display]:[RELID]],2,0))</f>
        <v/>
      </c>
      <c r="AI14" s="91" t="str">
        <f>IF(FormFields[[#This Row],[Rel3]]="",IF(EXACT($AI13,FormFields[[#Headers],[R3]]),"nest_relation3",""),VLOOKUP(FormFields[[#This Row],[Rel3]],RelationTable[[Display]:[RELID]],2,0))</f>
        <v/>
      </c>
      <c r="AJ14" s="46">
        <f>IF(OR(FormFields[[#This Row],[Option Type]]="",FormFields[[#This Row],[Option Type]]="type"),0,1)</f>
        <v>0</v>
      </c>
      <c r="AK14" s="46" t="str">
        <f>'Table Seed Map'!$A$13&amp;"-"&amp;COUNTIF($AJ$2:FormFields[[#This Row],[Exists FO]],1)</f>
        <v>Field Options-2</v>
      </c>
      <c r="AL14" s="46">
        <f>IF(FormFields[[#This Row],[Exists FO]]=0,$AL13,IF($AL13=0,IF(ISNUMBER(VLOOKUP('Table Seed Map'!$A$13,SeedMap[],9,0)),VLOOKUP('Table Seed Map'!$A$13,SeedMap[],9,0)+1,1),IFERROR($AL13+1,0)))</f>
        <v>2</v>
      </c>
      <c r="AM14" s="46">
        <f>FormFields[[#This Row],[NO4]]</f>
        <v>2</v>
      </c>
      <c r="AN14" s="48">
        <f>[ID]</f>
        <v>12</v>
      </c>
      <c r="AO14" s="72"/>
      <c r="AP14" s="72"/>
      <c r="AQ14" s="72"/>
      <c r="AR14" s="72"/>
      <c r="AS14" s="72"/>
      <c r="AT14" s="46">
        <f>IF(OR(FormFields[[#This Row],[Colspan]]="",FormFields[[#This Row],[Colspan]]="colspan"),0,1)</f>
        <v>1</v>
      </c>
      <c r="AU14" s="46" t="str">
        <f>'Table Seed Map'!$A$18&amp;"-"&amp;SUM($AT$2:FormFields[[#This Row],[Exists FL]])</f>
        <v>Form Layout-8</v>
      </c>
      <c r="AV14" s="46">
        <f>IF(FormFields[[#This Row],[Exists FL]]=0,IF(FormFields[[#This Row],[Form Name]]="","id",""),SUM($AT$3:FormFields[[#This Row],[Exists FL]],IF(VLOOKUP('Table Seed Map'!$A$18,SeedMap[],9,0),VLOOKUP('Table Seed Map'!$A$18,SeedMap[],9,0),0)))</f>
        <v>8</v>
      </c>
      <c r="AW14" s="45">
        <f>FormFields[[#This Row],[NO8]]</f>
        <v>8</v>
      </c>
      <c r="AX14" s="46">
        <f>[Form]</f>
        <v>4</v>
      </c>
      <c r="AY14" s="46">
        <f>[ID]</f>
        <v>12</v>
      </c>
      <c r="AZ14" s="74">
        <v>6</v>
      </c>
      <c r="CZ14" s="2" t="s">
        <v>1422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78</v>
      </c>
      <c r="DD14" s="7" t="s">
        <v>23</v>
      </c>
      <c r="DE14" s="4" t="s">
        <v>23</v>
      </c>
      <c r="DF14" s="4" t="s">
        <v>1356</v>
      </c>
      <c r="DG14" s="4"/>
      <c r="DH14" s="4"/>
      <c r="DI14" s="4"/>
      <c r="DJ14" s="2" t="s">
        <v>672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ResourceData/AddDataForm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429</v>
      </c>
      <c r="E15" s="16">
        <f>ResourceForms[[#This Row],[No]]</f>
        <v>13</v>
      </c>
      <c r="F15" s="16">
        <f>VLOOKUP(ResourceForms[[#This Row],[Resource Name]],ResourceTable[[RName]:[RID]],2,0)</f>
        <v>25</v>
      </c>
      <c r="G15" s="9" t="s">
        <v>1019</v>
      </c>
      <c r="H15" s="16" t="s">
        <v>1020</v>
      </c>
      <c r="I15" s="9" t="s">
        <v>1021</v>
      </c>
      <c r="J15" s="9" t="s">
        <v>1021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929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Resource/NewResourceForm/table</v>
      </c>
      <c r="Q15" s="45">
        <f>FormFields[[#This Row],[No]]</f>
        <v>13</v>
      </c>
      <c r="R15" s="85">
        <f>VLOOKUP(FormFields[[#This Row],[Form Name]],ResourceForms[[FormName]:[No]],2,0)</f>
        <v>4</v>
      </c>
      <c r="S15" s="56" t="s">
        <v>32</v>
      </c>
      <c r="T15" s="56" t="s">
        <v>231</v>
      </c>
      <c r="U15" s="56" t="s">
        <v>12</v>
      </c>
      <c r="V15" s="64"/>
      <c r="W15" s="64"/>
      <c r="X15" s="64"/>
      <c r="Y15" s="64"/>
      <c r="Z15" s="65" t="str">
        <f>'Table Seed Map'!$A$12&amp;"-"&amp;(COUNTIF($AB$2:FormFields[[#This Row],[Exists]],1)-1)</f>
        <v>Field Data-13</v>
      </c>
      <c r="AA15" s="60">
        <f>COUNTIF($AB$2:FormFields[[#This Row],[Exists]],1)-1+VLOOKUP('Table Seed Map'!$A$11,SeedMap[],9,0)</f>
        <v>13</v>
      </c>
      <c r="AB15" s="63">
        <f>IF(AND(FormFields[[#This Row],[Attribute]]="",FormFields[[#This Row],[Relation]]=""),0,1)</f>
        <v>1</v>
      </c>
      <c r="AC15" s="63">
        <f>FormFields[[#This Row],[NO2]]</f>
        <v>13</v>
      </c>
      <c r="AD15" s="66">
        <f>[ID]</f>
        <v>13</v>
      </c>
      <c r="AE15" s="63" t="str">
        <f>[Name]</f>
        <v>table</v>
      </c>
      <c r="AF15" s="91" t="str">
        <f>IF(FormFields[[#This Row],[Rel]]="",IF(EXACT($AF14,FormFields[[#Headers],[Relation]]),"relation",""),VLOOKUP(FormFields[[#This Row],[Rel]],RelationTable[[Display]:[RELID]],2,0))</f>
        <v/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1" t="str">
        <f>IF(FormFields[[#This Row],[Rel2]]="",IF(EXACT($AH14,FormFields[[#Headers],[R2]]),"nest_relation2",""),VLOOKUP(FormFields[[#This Row],[Rel2]],RelationTable[[Display]:[RELID]],2,0))</f>
        <v/>
      </c>
      <c r="AI15" s="91" t="str">
        <f>IF(FormFields[[#This Row],[Rel3]]="",IF(EXACT($AI14,FormFields[[#Headers],[R3]]),"nest_relation3",""),VLOOKUP(FormFields[[#This Row],[Rel3]],RelationTable[[Display]:[RELID]],2,0))</f>
        <v/>
      </c>
      <c r="AJ15" s="46">
        <f>IF(OR(FormFields[[#This Row],[Option Type]]="",FormFields[[#This Row],[Option Type]]="type"),0,1)</f>
        <v>0</v>
      </c>
      <c r="AK15" s="46" t="str">
        <f>'Table Seed Map'!$A$13&amp;"-"&amp;COUNTIF($AJ$2:FormFields[[#This Row],[Exists FO]],1)</f>
        <v>Field Options-2</v>
      </c>
      <c r="AL15" s="46">
        <f>IF(FormFields[[#This Row],[Exists FO]]=0,$AL14,IF($AL14=0,IF(ISNUMBER(VLOOKUP('Table Seed Map'!$A$13,SeedMap[],9,0)),VLOOKUP('Table Seed Map'!$A$13,SeedMap[],9,0)+1,1),IFERROR($AL14+1,0)))</f>
        <v>2</v>
      </c>
      <c r="AM15" s="46">
        <f>FormFields[[#This Row],[NO4]]</f>
        <v>2</v>
      </c>
      <c r="AN15" s="48">
        <f>[ID]</f>
        <v>13</v>
      </c>
      <c r="AO15" s="72"/>
      <c r="AP15" s="72"/>
      <c r="AQ15" s="72"/>
      <c r="AR15" s="72"/>
      <c r="AS15" s="72"/>
      <c r="AT15" s="46">
        <f>IF(OR(FormFields[[#This Row],[Colspan]]="",FormFields[[#This Row],[Colspan]]="colspan"),0,1)</f>
        <v>1</v>
      </c>
      <c r="AU15" s="46" t="str">
        <f>'Table Seed Map'!$A$18&amp;"-"&amp;SUM($AT$2:FormFields[[#This Row],[Exists FL]])</f>
        <v>Form Layout-9</v>
      </c>
      <c r="AV15" s="46">
        <f>IF(FormFields[[#This Row],[Exists FL]]=0,IF(FormFields[[#This Row],[Form Name]]="","id",""),SUM($AT$3:FormFields[[#This Row],[Exists FL]],IF(VLOOKUP('Table Seed Map'!$A$18,SeedMap[],9,0),VLOOKUP('Table Seed Map'!$A$18,SeedMap[],9,0),0)))</f>
        <v>9</v>
      </c>
      <c r="AW15" s="45">
        <f>FormFields[[#This Row],[NO8]]</f>
        <v>9</v>
      </c>
      <c r="AX15" s="46">
        <f>[Form]</f>
        <v>4</v>
      </c>
      <c r="AY15" s="46">
        <f>[ID]</f>
        <v>13</v>
      </c>
      <c r="AZ15" s="74">
        <v>6</v>
      </c>
    </row>
    <row r="16" spans="1:147">
      <c r="A16" s="17" t="str">
        <f>'Table Seed Map'!$A$10&amp;"-"&amp;(COUNTA($F$1:ResourceForms[[#This Row],[Resource]])-2)</f>
        <v>Resource Forms-14</v>
      </c>
      <c r="B16" s="17" t="str">
        <f>ResourceForms[[#This Row],[Resource Name]]&amp;"/"&amp;ResourceForms[[#This Row],[Name]]</f>
        <v>Group/NewGroupForm</v>
      </c>
      <c r="C16" s="17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235</v>
      </c>
      <c r="E16" s="17">
        <f>ResourceForms[[#This Row],[No]]</f>
        <v>14</v>
      </c>
      <c r="F16" s="17">
        <f>VLOOKUP(ResourceForms[[#This Row],[Resource Name]],ResourceTable[[RName]:[RID]],2,0)</f>
        <v>2</v>
      </c>
      <c r="G16" s="7" t="s">
        <v>1364</v>
      </c>
      <c r="H16" s="17" t="s">
        <v>1365</v>
      </c>
      <c r="I16" s="7" t="s">
        <v>1366</v>
      </c>
      <c r="J16" s="7" t="s">
        <v>1366</v>
      </c>
      <c r="K16" s="108">
        <f>[ID]</f>
        <v>14</v>
      </c>
      <c r="M16" s="49" t="str">
        <f>'Table Seed Map'!$A$11&amp;"-"&amp;(COUNTA($Q$1:FormFields[[#This Row],[ID]])-2)</f>
        <v>Form Fields-14</v>
      </c>
      <c r="N16" s="53" t="s">
        <v>929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Resource/NewResourceForm/controller</v>
      </c>
      <c r="Q16" s="45">
        <f>FormFields[[#This Row],[No]]</f>
        <v>14</v>
      </c>
      <c r="R16" s="85">
        <f>VLOOKUP(FormFields[[#This Row],[Form Name]],ResourceForms[[FormName]:[No]],2,0)</f>
        <v>4</v>
      </c>
      <c r="S16" s="56" t="s">
        <v>33</v>
      </c>
      <c r="T16" s="56" t="s">
        <v>231</v>
      </c>
      <c r="U16" s="56" t="s">
        <v>269</v>
      </c>
      <c r="V16" s="64"/>
      <c r="W16" s="64"/>
      <c r="X16" s="64"/>
      <c r="Y16" s="64"/>
      <c r="Z16" s="65" t="str">
        <f>'Table Seed Map'!$A$12&amp;"-"&amp;(COUNTIF($AB$2:FormFields[[#This Row],[Exists]],1)-1)</f>
        <v>Field Data-14</v>
      </c>
      <c r="AA16" s="60">
        <f>COUNTIF($AB$2:FormFields[[#This Row],[Exists]],1)-1+VLOOKUP('Table Seed Map'!$A$11,SeedMap[],9,0)</f>
        <v>14</v>
      </c>
      <c r="AB16" s="63">
        <f>IF(AND(FormFields[[#This Row],[Attribute]]="",FormFields[[#This Row],[Relation]]=""),0,1)</f>
        <v>1</v>
      </c>
      <c r="AC16" s="63">
        <f>FormFields[[#This Row],[NO2]]</f>
        <v>14</v>
      </c>
      <c r="AD16" s="66">
        <f>[ID]</f>
        <v>14</v>
      </c>
      <c r="AE16" s="63" t="str">
        <f>[Name]</f>
        <v>controller</v>
      </c>
      <c r="AF16" s="91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1" t="str">
        <f>IF(FormFields[[#This Row],[Rel2]]="",IF(EXACT($AH15,FormFields[[#Headers],[R2]]),"nest_relation2",""),VLOOKUP(FormFields[[#This Row],[Rel2]],RelationTable[[Display]:[RELID]],2,0))</f>
        <v/>
      </c>
      <c r="AI16" s="91" t="str">
        <f>IF(FormFields[[#This Row],[Rel3]]="",IF(EXACT($AI15,FormFields[[#Headers],[R3]]),"nest_relation3",""),VLOOKUP(FormFields[[#This Row],[Rel3]],RelationTable[[Display]:[RELID]],2,0))</f>
        <v/>
      </c>
      <c r="AJ16" s="46">
        <f>IF(OR(FormFields[[#This Row],[Option Type]]="",FormFields[[#This Row],[Option Type]]="type"),0,1)</f>
        <v>0</v>
      </c>
      <c r="AK16" s="46" t="str">
        <f>'Table Seed Map'!$A$13&amp;"-"&amp;COUNTIF($AJ$2:FormFields[[#This Row],[Exists FO]],1)</f>
        <v>Field Options-2</v>
      </c>
      <c r="AL16" s="46">
        <f>IF(FormFields[[#This Row],[Exists FO]]=0,$AL15,IF($AL15=0,IF(ISNUMBER(VLOOKUP('Table Seed Map'!$A$13,SeedMap[],9,0)),VLOOKUP('Table Seed Map'!$A$13,SeedMap[],9,0)+1,1),IFERROR($AL15+1,0)))</f>
        <v>2</v>
      </c>
      <c r="AM16" s="46">
        <f>FormFields[[#This Row],[NO4]]</f>
        <v>2</v>
      </c>
      <c r="AN16" s="48">
        <f>[ID]</f>
        <v>14</v>
      </c>
      <c r="AO16" s="72"/>
      <c r="AP16" s="72"/>
      <c r="AQ16" s="72"/>
      <c r="AR16" s="72"/>
      <c r="AS16" s="72"/>
      <c r="AT16" s="46">
        <f>IF(OR(FormFields[[#This Row],[Colspan]]="",FormFields[[#This Row],[Colspan]]="colspan"),0,1)</f>
        <v>1</v>
      </c>
      <c r="AU16" s="46" t="str">
        <f>'Table Seed Map'!$A$18&amp;"-"&amp;SUM($AT$2:FormFields[[#This Row],[Exists FL]])</f>
        <v>Form Layout-10</v>
      </c>
      <c r="AV16" s="46">
        <f>IF(FormFields[[#This Row],[Exists FL]]=0,IF(FormFields[[#This Row],[Form Name]]="","id",""),SUM($AT$3:FormFields[[#This Row],[Exists FL]],IF(VLOOKUP('Table Seed Map'!$A$18,SeedMap[],9,0),VLOOKUP('Table Seed Map'!$A$18,SeedMap[],9,0),0)))</f>
        <v>10</v>
      </c>
      <c r="AW16" s="45">
        <f>FormFields[[#This Row],[NO8]]</f>
        <v>10</v>
      </c>
      <c r="AX16" s="46">
        <f>[Form]</f>
        <v>4</v>
      </c>
      <c r="AY16" s="46">
        <f>[ID]</f>
        <v>14</v>
      </c>
      <c r="AZ16" s="74">
        <v>4</v>
      </c>
    </row>
    <row r="17" spans="1:52">
      <c r="A17" s="17" t="str">
        <f>'Table Seed Map'!$A$10&amp;"-"&amp;(COUNTA($F$1:ResourceForms[[#This Row],[Resource]])-2)</f>
        <v>Resource Forms-15</v>
      </c>
      <c r="B17" s="17" t="str">
        <f>ResourceForms[[#This Row],[Resource Name]]&amp;"/"&amp;ResourceForms[[#This Row],[Name]]</f>
        <v>Role/NewRoleForm</v>
      </c>
      <c r="C17" s="17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257</v>
      </c>
      <c r="E17" s="17">
        <f>ResourceForms[[#This Row],[No]]</f>
        <v>15</v>
      </c>
      <c r="F17" s="17">
        <f>VLOOKUP(ResourceForms[[#This Row],[Resource Name]],ResourceTable[[RName]:[RID]],2,0)</f>
        <v>3</v>
      </c>
      <c r="G17" s="7" t="s">
        <v>1384</v>
      </c>
      <c r="H17" s="17" t="s">
        <v>1385</v>
      </c>
      <c r="I17" s="7" t="s">
        <v>1386</v>
      </c>
      <c r="J17" s="7" t="s">
        <v>1386</v>
      </c>
      <c r="K17" s="108">
        <f>[ID]</f>
        <v>15</v>
      </c>
      <c r="M17" s="49" t="str">
        <f>'Table Seed Map'!$A$11&amp;"-"&amp;(COUNTA($Q$1:FormFields[[#This Row],[ID]])-2)</f>
        <v>Form Fields-15</v>
      </c>
      <c r="N17" s="53" t="s">
        <v>929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Resource/NewResourceForm/controller_namespace</v>
      </c>
      <c r="Q17" s="45">
        <f>FormFields[[#This Row],[No]]</f>
        <v>15</v>
      </c>
      <c r="R17" s="85">
        <f>VLOOKUP(FormFields[[#This Row],[Form Name]],ResourceForms[[FormName]:[No]],2,0)</f>
        <v>4</v>
      </c>
      <c r="S17" s="56" t="s">
        <v>34</v>
      </c>
      <c r="T17" s="56" t="s">
        <v>231</v>
      </c>
      <c r="U17" s="56" t="s">
        <v>932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COUNTIF($AB$2:FormFields[[#This Row],[Exists]],1)-1+VLOOKUP('Table Seed Map'!$A$11,SeedMap[],9,0)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controller_namespace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Layout-11</v>
      </c>
      <c r="AV17" s="46">
        <f>IF(FormFields[[#This Row],[Exists FL]]=0,IF(FormFields[[#This Row],[Form Name]]="","id",""),SUM($AT$3:FormFields[[#This Row],[Exists FL]],IF(VLOOKUP('Table Seed Map'!$A$18,SeedMap[],9,0),VLOOKUP('Table Seed Map'!$A$18,SeedMap[],9,0),0)))</f>
        <v>11</v>
      </c>
      <c r="AW17" s="45">
        <f>FormFields[[#This Row],[NO8]]</f>
        <v>11</v>
      </c>
      <c r="AX17" s="46">
        <f>[Form]</f>
        <v>4</v>
      </c>
      <c r="AY17" s="46">
        <f>[ID]</f>
        <v>15</v>
      </c>
      <c r="AZ17" s="74">
        <v>4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ResourceRole/AddRoleResourceForm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303</v>
      </c>
      <c r="E18" s="17">
        <f>ResourceForms[[#This Row],[No]]</f>
        <v>16</v>
      </c>
      <c r="F18" s="17">
        <f>VLOOKUP(ResourceForms[[#This Row],[Resource Name]],ResourceTable[[RName]:[RID]],2,0)</f>
        <v>5</v>
      </c>
      <c r="G18" s="7" t="s">
        <v>1410</v>
      </c>
      <c r="H18" s="17" t="s">
        <v>1411</v>
      </c>
      <c r="I18" s="7" t="s">
        <v>1412</v>
      </c>
      <c r="J18" s="7" t="s">
        <v>1412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929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Resource/NewResourceForm/development</v>
      </c>
      <c r="Q18" s="45">
        <f>FormFields[[#This Row],[No]]</f>
        <v>16</v>
      </c>
      <c r="R18" s="85">
        <f>VLOOKUP(FormFields[[#This Row],[Form Name]],ResourceForms[[FormName]:[No]],2,0)</f>
        <v>4</v>
      </c>
      <c r="S18" s="56" t="s">
        <v>705</v>
      </c>
      <c r="T18" s="56" t="s">
        <v>234</v>
      </c>
      <c r="U18" s="56" t="s">
        <v>933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COUNTIF($AB$2:FormFields[[#This Row],[Exists]],1)-1+VLOOKUP('Table Seed Map'!$A$11,SeedMap[],9,0)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development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1</v>
      </c>
      <c r="AK18" s="46" t="str">
        <f>'Table Seed Map'!$A$13&amp;"-"&amp;COUNTIF($AJ$2:FormFields[[#This Row],[Exists FO]],1)</f>
        <v>Field Options-3</v>
      </c>
      <c r="AL18" s="46">
        <f>IF(FormFields[[#This Row],[Exists FO]]=0,$AL17,IF($AL17=0,IF(ISNUMBER(VLOOKUP('Table Seed Map'!$A$13,SeedMap[],9,0)),VLOOKUP('Table Seed Map'!$A$13,SeedMap[],9,0)+1,1),IFERROR($AL17+1,0)))</f>
        <v>3</v>
      </c>
      <c r="AM18" s="46">
        <f>FormFields[[#This Row],[NO4]]</f>
        <v>3</v>
      </c>
      <c r="AN18" s="48">
        <f>[ID]</f>
        <v>16</v>
      </c>
      <c r="AO18" s="72" t="s">
        <v>1072</v>
      </c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Layout-12</v>
      </c>
      <c r="AV18" s="46">
        <f>IF(FormFields[[#This Row],[Exists FL]]=0,IF(FormFields[[#This Row],[Form Name]]="","id",""),SUM($AT$3:FormFields[[#This Row],[Exists FL]],IF(VLOOKUP('Table Seed Map'!$A$18,SeedMap[],9,0),VLOOKUP('Table Seed Map'!$A$18,SeedMap[],9,0),0)))</f>
        <v>12</v>
      </c>
      <c r="AW18" s="45">
        <f>FormFields[[#This Row],[NO8]]</f>
        <v>12</v>
      </c>
      <c r="AX18" s="46">
        <f>[Form]</f>
        <v>4</v>
      </c>
      <c r="AY18" s="46">
        <f>[ID]</f>
        <v>16</v>
      </c>
      <c r="AZ18" s="74">
        <v>4</v>
      </c>
    </row>
    <row r="19" spans="1:52">
      <c r="M19" s="49" t="str">
        <f>'Table Seed Map'!$A$11&amp;"-"&amp;(COUNTA($Q$1:FormFields[[#This Row],[ID]])-2)</f>
        <v>Form Fields-17</v>
      </c>
      <c r="N19" s="53" t="s">
        <v>1040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ResourceAction/NewActionForm/resource</v>
      </c>
      <c r="Q19" s="45">
        <f>FormFields[[#This Row],[No]]</f>
        <v>17</v>
      </c>
      <c r="R19" s="85">
        <f>VLOOKUP(FormFields[[#This Row],[Form Name]],ResourceForms[[FormName]:[No]],2,0)</f>
        <v>5</v>
      </c>
      <c r="S19" s="56" t="s">
        <v>23</v>
      </c>
      <c r="T19" s="56" t="s">
        <v>234</v>
      </c>
      <c r="U19" s="56" t="s">
        <v>949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COUNTIF($AB$2:FormFields[[#This Row],[Exists]],1)-1+VLOOKUP('Table Seed Map'!$A$11,SeedMap[],9,0)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resource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1</v>
      </c>
      <c r="AK19" s="46" t="str">
        <f>'Table Seed Map'!$A$13&amp;"-"&amp;COUNTIF($AJ$2:FormFields[[#This Row],[Exists FO]],1)</f>
        <v>Field Options-4</v>
      </c>
      <c r="AL19" s="46">
        <f>IF(FormFields[[#This Row],[Exists FO]]=0,$AL18,IF($AL18=0,IF(ISNUMBER(VLOOKUP('Table Seed Map'!$A$13,SeedMap[],9,0)),VLOOKUP('Table Seed Map'!$A$13,SeedMap[],9,0)+1,1),IFERROR($AL18+1,0)))</f>
        <v>4</v>
      </c>
      <c r="AM19" s="46">
        <f>FormFields[[#This Row],[NO4]]</f>
        <v>4</v>
      </c>
      <c r="AN19" s="48">
        <f>[ID]</f>
        <v>17</v>
      </c>
      <c r="AO19" s="72" t="s">
        <v>671</v>
      </c>
      <c r="AP19" s="72"/>
      <c r="AQ19" s="72" t="s">
        <v>21</v>
      </c>
      <c r="AR19" s="72" t="s">
        <v>26</v>
      </c>
      <c r="AS19" s="72" t="s">
        <v>672</v>
      </c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Layout-13</v>
      </c>
      <c r="AV19" s="46">
        <f>IF(FormFields[[#This Row],[Exists FL]]=0,IF(FormFields[[#This Row],[Form Name]]="","id",""),SUM($AT$3:FormFields[[#This Row],[Exists FL]],IF(VLOOKUP('Table Seed Map'!$A$18,SeedMap[],9,0),VLOOKUP('Table Seed Map'!$A$18,SeedMap[],9,0),0)))</f>
        <v>13</v>
      </c>
      <c r="AW19" s="45">
        <f>FormFields[[#This Row],[NO8]]</f>
        <v>13</v>
      </c>
      <c r="AX19" s="46">
        <f>[Form]</f>
        <v>5</v>
      </c>
      <c r="AY19" s="46">
        <f>[ID]</f>
        <v>17</v>
      </c>
      <c r="AZ19" s="74">
        <v>12</v>
      </c>
    </row>
    <row r="20" spans="1:52">
      <c r="M20" s="49" t="str">
        <f>'Table Seed Map'!$A$11&amp;"-"&amp;(COUNTA($Q$1:FormFields[[#This Row],[ID]])-2)</f>
        <v>Form Fields-18</v>
      </c>
      <c r="N20" s="53" t="s">
        <v>1040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ResourceAction/NewActionForm/name</v>
      </c>
      <c r="Q20" s="45">
        <f>FormFields[[#This Row],[No]]</f>
        <v>18</v>
      </c>
      <c r="R20" s="85">
        <f>VLOOKUP(FormFields[[#This Row],[Form Name]],ResourceForms[[FormName]:[No]],2,0)</f>
        <v>5</v>
      </c>
      <c r="S20" s="56" t="s">
        <v>26</v>
      </c>
      <c r="T20" s="56" t="s">
        <v>231</v>
      </c>
      <c r="U20" s="56" t="s">
        <v>847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COUNTIF($AB$2:FormFields[[#This Row],[Exists]],1)-1+VLOOKUP('Table Seed Map'!$A$11,SeedMap[],9,0)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Options-4</v>
      </c>
      <c r="AL20" s="46">
        <f>IF(FormFields[[#This Row],[Exists FO]]=0,$AL19,IF($AL19=0,IF(ISNUMBER(VLOOKUP('Table Seed Map'!$A$13,SeedMap[],9,0)),VLOOKUP('Table Seed Map'!$A$13,SeedMap[],9,0)+1,1),IFERROR($AL19+1,0)))</f>
        <v>4</v>
      </c>
      <c r="AM20" s="46">
        <f>FormFields[[#This Row],[NO4]]</f>
        <v>4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Layout-14</v>
      </c>
      <c r="AV20" s="46">
        <f>IF(FormFields[[#This Row],[Exists FL]]=0,IF(FormFields[[#This Row],[Form Name]]="","id",""),SUM($AT$3:FormFields[[#This Row],[Exists FL]],IF(VLOOKUP('Table Seed Map'!$A$18,SeedMap[],9,0),VLOOKUP('Table Seed Map'!$A$18,SeedMap[],9,0),0)))</f>
        <v>14</v>
      </c>
      <c r="AW20" s="45">
        <f>FormFields[[#This Row],[NO8]]</f>
        <v>14</v>
      </c>
      <c r="AX20" s="46">
        <f>[Form]</f>
        <v>5</v>
      </c>
      <c r="AY20" s="46">
        <f>[ID]</f>
        <v>18</v>
      </c>
      <c r="AZ20" s="74">
        <v>4</v>
      </c>
    </row>
    <row r="21" spans="1:52">
      <c r="M21" s="49" t="str">
        <f>'Table Seed Map'!$A$11&amp;"-"&amp;(COUNTA($Q$1:FormFields[[#This Row],[ID]])-2)</f>
        <v>Form Fields-19</v>
      </c>
      <c r="N21" s="53" t="s">
        <v>1040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ResourceAction/NewActionForm/menu</v>
      </c>
      <c r="Q21" s="45">
        <f>FormFields[[#This Row],[No]]</f>
        <v>19</v>
      </c>
      <c r="R21" s="85">
        <f>VLOOKUP(FormFields[[#This Row],[Form Name]],ResourceForms[[FormName]:[No]],2,0)</f>
        <v>5</v>
      </c>
      <c r="S21" s="56" t="s">
        <v>265</v>
      </c>
      <c r="T21" s="56" t="s">
        <v>231</v>
      </c>
      <c r="U21" s="56" t="s">
        <v>1043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COUNTIF($AB$2:FormFields[[#This Row],[Exists]],1)-1+VLOOKUP('Table Seed Map'!$A$11,SeedMap[],9,0)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menu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Options-4</v>
      </c>
      <c r="AL21" s="46">
        <f>IF(FormFields[[#This Row],[Exists FO]]=0,$AL20,IF($AL20=0,IF(ISNUMBER(VLOOKUP('Table Seed Map'!$A$13,SeedMap[],9,0)),VLOOKUP('Table Seed Map'!$A$13,SeedMap[],9,0)+1,1),IFERROR($AL20+1,0)))</f>
        <v>4</v>
      </c>
      <c r="AM21" s="46">
        <f>FormFields[[#This Row],[NO4]]</f>
        <v>4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Layout-15</v>
      </c>
      <c r="AV21" s="46">
        <f>IF(FormFields[[#This Row],[Exists FL]]=0,IF(FormFields[[#This Row],[Form Name]]="","id",""),SUM($AT$3:FormFields[[#This Row],[Exists FL]],IF(VLOOKUP('Table Seed Map'!$A$18,SeedMap[],9,0),VLOOKUP('Table Seed Map'!$A$18,SeedMap[],9,0),0)))</f>
        <v>15</v>
      </c>
      <c r="AW21" s="45">
        <f>FormFields[[#This Row],[NO8]]</f>
        <v>15</v>
      </c>
      <c r="AX21" s="46">
        <f>[Form]</f>
        <v>5</v>
      </c>
      <c r="AY21" s="46">
        <f>[ID]</f>
        <v>19</v>
      </c>
      <c r="AZ21" s="74">
        <v>4</v>
      </c>
    </row>
    <row r="22" spans="1:52">
      <c r="M22" s="49" t="str">
        <f>'Table Seed Map'!$A$11&amp;"-"&amp;(COUNTA($Q$1:FormFields[[#This Row],[ID]])-2)</f>
        <v>Form Fields-20</v>
      </c>
      <c r="N22" s="53" t="s">
        <v>1040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ResourceAction/NewActionForm/title</v>
      </c>
      <c r="Q22" s="45">
        <f>FormFields[[#This Row],[No]]</f>
        <v>20</v>
      </c>
      <c r="R22" s="85">
        <f>VLOOKUP(FormFields[[#This Row],[Form Name]],ResourceForms[[FormName]:[No]],2,0)</f>
        <v>5</v>
      </c>
      <c r="S22" s="56" t="s">
        <v>30</v>
      </c>
      <c r="T22" s="56" t="s">
        <v>231</v>
      </c>
      <c r="U22" s="56" t="s">
        <v>1042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COUNTIF($AB$2:FormFields[[#This Row],[Exists]],1)-1+VLOOKUP('Table Seed Map'!$A$11,SeedMap[],9,0)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title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Options-4</v>
      </c>
      <c r="AL22" s="46">
        <f>IF(FormFields[[#This Row],[Exists FO]]=0,$AL21,IF($AL21=0,IF(ISNUMBER(VLOOKUP('Table Seed Map'!$A$13,SeedMap[],9,0)),VLOOKUP('Table Seed Map'!$A$13,SeedMap[],9,0)+1,1),IFERROR($AL21+1,0)))</f>
        <v>4</v>
      </c>
      <c r="AM22" s="46">
        <f>FormFields[[#This Row],[NO4]]</f>
        <v>4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Layout-16</v>
      </c>
      <c r="AV22" s="46">
        <f>IF(FormFields[[#This Row],[Exists FL]]=0,IF(FormFields[[#This Row],[Form Name]]="","id",""),SUM($AT$3:FormFields[[#This Row],[Exists FL]],IF(VLOOKUP('Table Seed Map'!$A$18,SeedMap[],9,0),VLOOKUP('Table Seed Map'!$A$18,SeedMap[],9,0),0)))</f>
        <v>16</v>
      </c>
      <c r="AW22" s="45">
        <f>FormFields[[#This Row],[NO8]]</f>
        <v>16</v>
      </c>
      <c r="AX22" s="46">
        <f>[Form]</f>
        <v>5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1040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ResourceAction/NewActionForm/description</v>
      </c>
      <c r="Q23" s="45">
        <f>FormFields[[#This Row],[No]]</f>
        <v>21</v>
      </c>
      <c r="R23" s="85">
        <f>VLOOKUP(FormFields[[#This Row],[Form Name]],ResourceForms[[FormName]:[No]],2,0)</f>
        <v>5</v>
      </c>
      <c r="S23" s="56" t="s">
        <v>28</v>
      </c>
      <c r="T23" s="56" t="s">
        <v>930</v>
      </c>
      <c r="U23" s="56" t="s">
        <v>242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COUNTIF($AB$2:FormFields[[#This Row],[Exists]],1)-1+VLOOKUP('Table Seed Map'!$A$11,SeedMap[],9,0)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description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Options-4</v>
      </c>
      <c r="AL23" s="46">
        <f>IF(FormFields[[#This Row],[Exists FO]]=0,$AL22,IF($AL22=0,IF(ISNUMBER(VLOOKUP('Table Seed Map'!$A$13,SeedMap[],9,0)),VLOOKUP('Table Seed Map'!$A$13,SeedMap[],9,0)+1,1),IFERROR($AL22+1,0)))</f>
        <v>4</v>
      </c>
      <c r="AM23" s="46">
        <f>FormFields[[#This Row],[NO4]]</f>
        <v>4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Layout-17</v>
      </c>
      <c r="AV23" s="46">
        <f>IF(FormFields[[#This Row],[Exists FL]]=0,IF(FormFields[[#This Row],[Form Name]]="","id",""),SUM($AT$3:FormFields[[#This Row],[Exists FL]],IF(VLOOKUP('Table Seed Map'!$A$18,SeedMap[],9,0),VLOOKUP('Table Seed Map'!$A$18,SeedMap[],9,0),0)))</f>
        <v>17</v>
      </c>
      <c r="AW23" s="45">
        <f>FormFields[[#This Row],[NO8]]</f>
        <v>17</v>
      </c>
      <c r="AX23" s="46">
        <f>[Form]</f>
        <v>5</v>
      </c>
      <c r="AY23" s="46">
        <f>[ID]</f>
        <v>21</v>
      </c>
      <c r="AZ23" s="74">
        <v>12</v>
      </c>
    </row>
    <row r="24" spans="1:52">
      <c r="M24" s="49" t="str">
        <f>'Table Seed Map'!$A$11&amp;"-"&amp;(COUNTA($Q$1:FormFields[[#This Row],[ID]])-2)</f>
        <v>Form Fields-22</v>
      </c>
      <c r="N24" s="53" t="s">
        <v>1040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ResourceAction/NewActionForm/type</v>
      </c>
      <c r="Q24" s="45">
        <f>FormFields[[#This Row],[No]]</f>
        <v>22</v>
      </c>
      <c r="R24" s="85">
        <f>VLOOKUP(FormFields[[#This Row],[Form Name]],ResourceForms[[FormName]:[No]],2,0)</f>
        <v>5</v>
      </c>
      <c r="S24" s="56" t="s">
        <v>48</v>
      </c>
      <c r="T24" s="56" t="s">
        <v>234</v>
      </c>
      <c r="U24" s="56" t="s">
        <v>1044</v>
      </c>
      <c r="V24" s="64" t="s">
        <v>1041</v>
      </c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COUNTIF($AB$2:FormFields[[#This Row],[Exists]],1)-1+VLOOKUP('Table Seed Map'!$A$11,SeedMap[],9,0)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type</v>
      </c>
      <c r="AF24" s="91">
        <f>IF(FormFields[[#This Row],[Rel]]="",IF(EXACT($AF23,FormFields[[#Headers],[Relation]]),"relation",""),VLOOKUP(FormFields[[#This Row],[Rel]],RelationTable[[Display]:[RELID]],2,0))</f>
        <v>8</v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Options-5</v>
      </c>
      <c r="AL24" s="46">
        <f>IF(FormFields[[#This Row],[Exists FO]]=0,$AL23,IF($AL23=0,IF(ISNUMBER(VLOOKUP('Table Seed Map'!$A$13,SeedMap[],9,0)),VLOOKUP('Table Seed Map'!$A$13,SeedMap[],9,0)+1,1),IFERROR($AL23+1,0)))</f>
        <v>5</v>
      </c>
      <c r="AM24" s="46">
        <f>FormFields[[#This Row],[NO4]]</f>
        <v>5</v>
      </c>
      <c r="AN24" s="48">
        <f>[ID]</f>
        <v>22</v>
      </c>
      <c r="AO24" s="72" t="s">
        <v>1072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Layout-18</v>
      </c>
      <c r="AV24" s="46">
        <f>IF(FormFields[[#This Row],[Exists FL]]=0,IF(FormFields[[#This Row],[Form Name]]="","id",""),SUM($AT$3:FormFields[[#This Row],[Exists FL]],IF(VLOOKUP('Table Seed Map'!$A$18,SeedMap[],9,0),VLOOKUP('Table Seed Map'!$A$18,SeedMap[],9,0),0)))</f>
        <v>18</v>
      </c>
      <c r="AW24" s="45">
        <f>FormFields[[#This Row],[NO8]]</f>
        <v>18</v>
      </c>
      <c r="AX24" s="46">
        <f>[Form]</f>
        <v>5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1040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ResourceAction/NewActionForm/idn1</v>
      </c>
      <c r="Q25" s="45">
        <f>FormFields[[#This Row],[No]]</f>
        <v>23</v>
      </c>
      <c r="R25" s="85">
        <f>VLOOKUP(FormFields[[#This Row],[Form Name]],ResourceForms[[FormName]:[No]],2,0)</f>
        <v>5</v>
      </c>
      <c r="S25" s="56" t="s">
        <v>111</v>
      </c>
      <c r="T25" s="56" t="s">
        <v>234</v>
      </c>
      <c r="U25" s="56" t="s">
        <v>1045</v>
      </c>
      <c r="V25" s="64" t="s">
        <v>1041</v>
      </c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COUNTIF($AB$2:FormFields[[#This Row],[Exists]],1)-1+VLOOKUP('Table Seed Map'!$A$11,SeedMap[],9,0)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idn1</v>
      </c>
      <c r="AF25" s="91">
        <f>IF(FormFields[[#This Row],[Rel]]="",IF(EXACT($AF24,FormFields[[#Headers],[Relation]]),"relation",""),VLOOKUP(FormFields[[#This Row],[Rel]],RelationTable[[Display]:[RELID]],2,0))</f>
        <v>8</v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Options-6</v>
      </c>
      <c r="AL25" s="46">
        <f>IF(FormFields[[#This Row],[Exists FO]]=0,$AL24,IF($AL24=0,IF(ISNUMBER(VLOOKUP('Table Seed Map'!$A$13,SeedMap[],9,0)),VLOOKUP('Table Seed Map'!$A$13,SeedMap[],9,0)+1,1),IFERROR($AL24+1,0)))</f>
        <v>6</v>
      </c>
      <c r="AM25" s="46">
        <f>FormFields[[#This Row],[NO4]]</f>
        <v>6</v>
      </c>
      <c r="AN25" s="48">
        <f>[ID]</f>
        <v>23</v>
      </c>
      <c r="AO25" s="72" t="s">
        <v>274</v>
      </c>
      <c r="AP25" s="72" t="s">
        <v>1059</v>
      </c>
      <c r="AQ25" s="72"/>
      <c r="AR25" s="72"/>
      <c r="AS25" s="72" t="s">
        <v>239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Layout-19</v>
      </c>
      <c r="AV25" s="46">
        <f>IF(FormFields[[#This Row],[Exists FL]]=0,IF(FormFields[[#This Row],[Form Name]]="","id",""),SUM($AT$3:FormFields[[#This Row],[Exists FL]],IF(VLOOKUP('Table Seed Map'!$A$18,SeedMap[],9,0),VLOOKUP('Table Seed Map'!$A$18,SeedMap[],9,0),0)))</f>
        <v>19</v>
      </c>
      <c r="AW25" s="45">
        <f>FormFields[[#This Row],[NO8]]</f>
        <v>19</v>
      </c>
      <c r="AX25" s="46">
        <f>[Form]</f>
        <v>5</v>
      </c>
      <c r="AY25" s="46">
        <f>[ID]</f>
        <v>23</v>
      </c>
      <c r="AZ25" s="74">
        <v>4</v>
      </c>
    </row>
    <row r="26" spans="1:52">
      <c r="M26" s="49" t="str">
        <f>'Table Seed Map'!$A$11&amp;"-"&amp;(COUNTA($Q$1:FormFields[[#This Row],[ID]])-2)</f>
        <v>Form Fields-24</v>
      </c>
      <c r="N26" s="53" t="s">
        <v>1040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ResourceAction/NewActionForm/idn2</v>
      </c>
      <c r="Q26" s="45">
        <f>FormFields[[#This Row],[No]]</f>
        <v>24</v>
      </c>
      <c r="R26" s="85">
        <f>VLOOKUP(FormFields[[#This Row],[Form Name]],ResourceForms[[FormName]:[No]],2,0)</f>
        <v>5</v>
      </c>
      <c r="S26" s="56" t="s">
        <v>112</v>
      </c>
      <c r="T26" s="56" t="s">
        <v>234</v>
      </c>
      <c r="U26" s="56" t="s">
        <v>1046</v>
      </c>
      <c r="V26" s="64" t="s">
        <v>1041</v>
      </c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COUNTIF($AB$2:FormFields[[#This Row],[Exists]],1)-1+VLOOKUP('Table Seed Map'!$A$11,SeedMap[],9,0)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idn2</v>
      </c>
      <c r="AF26" s="91">
        <f>IF(FormFields[[#This Row],[Rel]]="",IF(EXACT($AF25,FormFields[[#Headers],[Relation]]),"relation",""),VLOOKUP(FormFields[[#This Row],[Rel]],RelationTable[[Display]:[RELID]],2,0))</f>
        <v>8</v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1</v>
      </c>
      <c r="AK26" s="46" t="str">
        <f>'Table Seed Map'!$A$13&amp;"-"&amp;COUNTIF($AJ$2:FormFields[[#This Row],[Exists FO]],1)</f>
        <v>Field Options-7</v>
      </c>
      <c r="AL26" s="46">
        <f>IF(FormFields[[#This Row],[Exists FO]]=0,$AL25,IF($AL25=0,IF(ISNUMBER(VLOOKUP('Table Seed Map'!$A$13,SeedMap[],9,0)),VLOOKUP('Table Seed Map'!$A$13,SeedMap[],9,0)+1,1),IFERROR($AL25+1,0)))</f>
        <v>7</v>
      </c>
      <c r="AM26" s="46">
        <f>FormFields[[#This Row],[NO4]]</f>
        <v>7</v>
      </c>
      <c r="AN26" s="48">
        <f>[ID]</f>
        <v>24</v>
      </c>
      <c r="AO26" s="72" t="s">
        <v>274</v>
      </c>
      <c r="AP26" s="72" t="s">
        <v>1060</v>
      </c>
      <c r="AQ26" s="72"/>
      <c r="AR26" s="72"/>
      <c r="AS26" s="72" t="s">
        <v>239</v>
      </c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Layout-20</v>
      </c>
      <c r="AV26" s="46">
        <f>IF(FormFields[[#This Row],[Exists FL]]=0,IF(FormFields[[#This Row],[Form Name]]="","id",""),SUM($AT$3:FormFields[[#This Row],[Exists FL]],IF(VLOOKUP('Table Seed Map'!$A$18,SeedMap[],9,0),VLOOKUP('Table Seed Map'!$A$18,SeedMap[],9,0),0)))</f>
        <v>20</v>
      </c>
      <c r="AW26" s="45">
        <f>FormFields[[#This Row],[NO8]]</f>
        <v>20</v>
      </c>
      <c r="AX26" s="46">
        <f>[Form]</f>
        <v>5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1047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ResourceAction/AddActionForm/resource</v>
      </c>
      <c r="Q27" s="45">
        <f>FormFields[[#This Row],[No]]</f>
        <v>25</v>
      </c>
      <c r="R27" s="85">
        <f>VLOOKUP(FormFields[[#This Row],[Form Name]],ResourceForms[[FormName]:[No]],2,0)</f>
        <v>6</v>
      </c>
      <c r="S27" s="56" t="s">
        <v>23</v>
      </c>
      <c r="T27" s="56" t="s">
        <v>231</v>
      </c>
      <c r="U27" s="56" t="s">
        <v>949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COUNTIF($AB$2:FormFields[[#This Row],[Exists]],1)-1+VLOOKUP('Table Seed Map'!$A$11,SeedMap[],9,0)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resource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Options-7</v>
      </c>
      <c r="AL27" s="46">
        <f>IF(FormFields[[#This Row],[Exists FO]]=0,$AL26,IF($AL26=0,IF(ISNUMBER(VLOOKUP('Table Seed Map'!$A$13,SeedMap[],9,0)),VLOOKUP('Table Seed Map'!$A$13,SeedMap[],9,0)+1,1),IFERROR($AL26+1,0)))</f>
        <v>7</v>
      </c>
      <c r="AM27" s="46">
        <f>FormFields[[#This Row],[NO4]]</f>
        <v>7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0</v>
      </c>
      <c r="AU27" s="46" t="str">
        <f>'Table Seed Map'!$A$18&amp;"-"&amp;SUM($AT$2:FormFields[[#This Row],[Exists FL]])</f>
        <v>Form Layout-20</v>
      </c>
      <c r="AV2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7" s="45" t="str">
        <f>FormFields[[#This Row],[NO8]]</f>
        <v/>
      </c>
      <c r="AX27" s="46">
        <f>[Form]</f>
        <v>6</v>
      </c>
      <c r="AY27" s="46">
        <f>[ID]</f>
        <v>25</v>
      </c>
      <c r="AZ27" s="74"/>
    </row>
    <row r="28" spans="1:52">
      <c r="M28" s="49" t="str">
        <f>'Table Seed Map'!$A$11&amp;"-"&amp;(COUNTA($Q$1:FormFields[[#This Row],[ID]])-2)</f>
        <v>Form Fields-26</v>
      </c>
      <c r="N28" s="53" t="s">
        <v>1047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ResourceAction/AddActionForm/name</v>
      </c>
      <c r="Q28" s="45">
        <f>FormFields[[#This Row],[No]]</f>
        <v>26</v>
      </c>
      <c r="R28" s="85">
        <f>VLOOKUP(FormFields[[#This Row],[Form Name]],ResourceForms[[FormName]:[No]],2,0)</f>
        <v>6</v>
      </c>
      <c r="S28" s="56" t="s">
        <v>26</v>
      </c>
      <c r="T28" s="56" t="s">
        <v>231</v>
      </c>
      <c r="U28" s="56" t="s">
        <v>847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COUNTIF($AB$2:FormFields[[#This Row],[Exists]],1)-1+VLOOKUP('Table Seed Map'!$A$11,SeedMap[],9,0)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name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Options-7</v>
      </c>
      <c r="AL28" s="46">
        <f>IF(FormFields[[#This Row],[Exists FO]]=0,$AL27,IF($AL27=0,IF(ISNUMBER(VLOOKUP('Table Seed Map'!$A$13,SeedMap[],9,0)),VLOOKUP('Table Seed Map'!$A$13,SeedMap[],9,0)+1,1),IFERROR($AL27+1,0)))</f>
        <v>7</v>
      </c>
      <c r="AM28" s="46">
        <f>FormFields[[#This Row],[NO4]]</f>
        <v>7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0</v>
      </c>
      <c r="AU28" s="46" t="str">
        <f>'Table Seed Map'!$A$18&amp;"-"&amp;SUM($AT$2:FormFields[[#This Row],[Exists FL]])</f>
        <v>Form Layout-20</v>
      </c>
      <c r="AV28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8" s="45" t="str">
        <f>FormFields[[#This Row],[NO8]]</f>
        <v/>
      </c>
      <c r="AX28" s="46">
        <f>[Form]</f>
        <v>6</v>
      </c>
      <c r="AY28" s="46">
        <f>[ID]</f>
        <v>26</v>
      </c>
      <c r="AZ28" s="74"/>
    </row>
    <row r="29" spans="1:52">
      <c r="M29" s="49" t="str">
        <f>'Table Seed Map'!$A$11&amp;"-"&amp;(COUNTA($Q$1:FormFields[[#This Row],[ID]])-2)</f>
        <v>Form Fields-27</v>
      </c>
      <c r="N29" s="53" t="s">
        <v>1047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ResourceAction/AddActionForm/menu</v>
      </c>
      <c r="Q29" s="45">
        <f>FormFields[[#This Row],[No]]</f>
        <v>27</v>
      </c>
      <c r="R29" s="85">
        <f>VLOOKUP(FormFields[[#This Row],[Form Name]],ResourceForms[[FormName]:[No]],2,0)</f>
        <v>6</v>
      </c>
      <c r="S29" s="56" t="s">
        <v>265</v>
      </c>
      <c r="T29" s="56" t="s">
        <v>231</v>
      </c>
      <c r="U29" s="56" t="s">
        <v>1043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COUNTIF($AB$2:FormFields[[#This Row],[Exists]],1)-1+VLOOKUP('Table Seed Map'!$A$11,SeedMap[],9,0)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menu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Options-7</v>
      </c>
      <c r="AL29" s="46">
        <f>IF(FormFields[[#This Row],[Exists FO]]=0,$AL28,IF($AL28=0,IF(ISNUMBER(VLOOKUP('Table Seed Map'!$A$13,SeedMap[],9,0)),VLOOKUP('Table Seed Map'!$A$13,SeedMap[],9,0)+1,1),IFERROR($AL28+1,0)))</f>
        <v>7</v>
      </c>
      <c r="AM29" s="46">
        <f>FormFields[[#This Row],[NO4]]</f>
        <v>7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0</v>
      </c>
      <c r="AU29" s="46" t="str">
        <f>'Table Seed Map'!$A$18&amp;"-"&amp;SUM($AT$2:FormFields[[#This Row],[Exists FL]])</f>
        <v>Form Layout-20</v>
      </c>
      <c r="AV29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9" s="45" t="str">
        <f>FormFields[[#This Row],[NO8]]</f>
        <v/>
      </c>
      <c r="AX29" s="46">
        <f>[Form]</f>
        <v>6</v>
      </c>
      <c r="AY29" s="46">
        <f>[ID]</f>
        <v>27</v>
      </c>
      <c r="AZ29" s="74"/>
    </row>
    <row r="30" spans="1:52">
      <c r="M30" s="49" t="str">
        <f>'Table Seed Map'!$A$11&amp;"-"&amp;(COUNTA($Q$1:FormFields[[#This Row],[ID]])-2)</f>
        <v>Form Fields-28</v>
      </c>
      <c r="N30" s="53" t="s">
        <v>1047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ResourceAction/AddActionForm/title</v>
      </c>
      <c r="Q30" s="45">
        <f>FormFields[[#This Row],[No]]</f>
        <v>28</v>
      </c>
      <c r="R30" s="85">
        <f>VLOOKUP(FormFields[[#This Row],[Form Name]],ResourceForms[[FormName]:[No]],2,0)</f>
        <v>6</v>
      </c>
      <c r="S30" s="56" t="s">
        <v>30</v>
      </c>
      <c r="T30" s="56" t="s">
        <v>231</v>
      </c>
      <c r="U30" s="56" t="s">
        <v>1042</v>
      </c>
      <c r="V30" s="64"/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COUNTIF($AB$2:FormFields[[#This Row],[Exists]],1)-1+VLOOKUP('Table Seed Map'!$A$11,SeedMap[],9,0)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title</v>
      </c>
      <c r="AF30" s="91" t="str">
        <f>IF(FormFields[[#This Row],[Rel]]="",IF(EXACT($AF29,FormFields[[#Headers],[Relation]]),"relation",""),VLOOKUP(FormFields[[#This Row],[Rel]],RelationTable[[Display]:[RELID]],2,0))</f>
        <v/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0</v>
      </c>
      <c r="AK30" s="46" t="str">
        <f>'Table Seed Map'!$A$13&amp;"-"&amp;COUNTIF($AJ$2:FormFields[[#This Row],[Exists FO]],1)</f>
        <v>Field Options-7</v>
      </c>
      <c r="AL30" s="46">
        <f>IF(FormFields[[#This Row],[Exists FO]]=0,$AL29,IF($AL29=0,IF(ISNUMBER(VLOOKUP('Table Seed Map'!$A$13,SeedMap[],9,0)),VLOOKUP('Table Seed Map'!$A$13,SeedMap[],9,0)+1,1),IFERROR($AL29+1,0)))</f>
        <v>7</v>
      </c>
      <c r="AM30" s="46">
        <f>FormFields[[#This Row],[NO4]]</f>
        <v>7</v>
      </c>
      <c r="AN30" s="48">
        <f>[ID]</f>
        <v>28</v>
      </c>
      <c r="AO30" s="72"/>
      <c r="AP30" s="72"/>
      <c r="AQ30" s="72"/>
      <c r="AR30" s="72"/>
      <c r="AS30" s="72"/>
      <c r="AT30" s="46">
        <f>IF(OR(FormFields[[#This Row],[Colspan]]="",FormFields[[#This Row],[Colspan]]="colspan"),0,1)</f>
        <v>0</v>
      </c>
      <c r="AU30" s="46" t="str">
        <f>'Table Seed Map'!$A$18&amp;"-"&amp;SUM($AT$2:FormFields[[#This Row],[Exists FL]])</f>
        <v>Form Layout-20</v>
      </c>
      <c r="AV3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0" s="45" t="str">
        <f>FormFields[[#This Row],[NO8]]</f>
        <v/>
      </c>
      <c r="AX30" s="46">
        <f>[Form]</f>
        <v>6</v>
      </c>
      <c r="AY30" s="46">
        <f>[ID]</f>
        <v>28</v>
      </c>
      <c r="AZ30" s="74"/>
    </row>
    <row r="31" spans="1:52">
      <c r="M31" s="49" t="str">
        <f>'Table Seed Map'!$A$11&amp;"-"&amp;(COUNTA($Q$1:FormFields[[#This Row],[ID]])-2)</f>
        <v>Form Fields-29</v>
      </c>
      <c r="N31" s="53" t="s">
        <v>1047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ResourceAction/AddActionForm/description</v>
      </c>
      <c r="Q31" s="45">
        <f>FormFields[[#This Row],[No]]</f>
        <v>29</v>
      </c>
      <c r="R31" s="85">
        <f>VLOOKUP(FormFields[[#This Row],[Form Name]],ResourceForms[[FormName]:[No]],2,0)</f>
        <v>6</v>
      </c>
      <c r="S31" s="56" t="s">
        <v>28</v>
      </c>
      <c r="T31" s="56" t="s">
        <v>930</v>
      </c>
      <c r="U31" s="56" t="s">
        <v>242</v>
      </c>
      <c r="V31" s="64"/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COUNTIF($AB$2:FormFields[[#This Row],[Exists]],1)-1+VLOOKUP('Table Seed Map'!$A$11,SeedMap[],9,0)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description</v>
      </c>
      <c r="AF31" s="91" t="str">
        <f>IF(FormFields[[#This Row],[Rel]]="",IF(EXACT($AF30,FormFields[[#Headers],[Relation]]),"relation",""),VLOOKUP(FormFields[[#This Row],[Rel]],RelationTable[[Display]:[RELID]],2,0))</f>
        <v/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0</v>
      </c>
      <c r="AK31" s="46" t="str">
        <f>'Table Seed Map'!$A$13&amp;"-"&amp;COUNTIF($AJ$2:FormFields[[#This Row],[Exists FO]],1)</f>
        <v>Field Options-7</v>
      </c>
      <c r="AL31" s="46">
        <f>IF(FormFields[[#This Row],[Exists FO]]=0,$AL30,IF($AL30=0,IF(ISNUMBER(VLOOKUP('Table Seed Map'!$A$13,SeedMap[],9,0)),VLOOKUP('Table Seed Map'!$A$13,SeedMap[],9,0)+1,1),IFERROR($AL30+1,0)))</f>
        <v>7</v>
      </c>
      <c r="AM31" s="46">
        <f>FormFields[[#This Row],[NO4]]</f>
        <v>7</v>
      </c>
      <c r="AN31" s="48">
        <f>[ID]</f>
        <v>29</v>
      </c>
      <c r="AO31" s="72"/>
      <c r="AP31" s="72"/>
      <c r="AQ31" s="72"/>
      <c r="AR31" s="72"/>
      <c r="AS31" s="72"/>
      <c r="AT31" s="46">
        <f>IF(OR(FormFields[[#This Row],[Colspan]]="",FormFields[[#This Row],[Colspan]]="colspan"),0,1)</f>
        <v>0</v>
      </c>
      <c r="AU31" s="46" t="str">
        <f>'Table Seed Map'!$A$18&amp;"-"&amp;SUM($AT$2:FormFields[[#This Row],[Exists FL]])</f>
        <v>Form Layout-20</v>
      </c>
      <c r="AV31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1" s="45" t="str">
        <f>FormFields[[#This Row],[NO8]]</f>
        <v/>
      </c>
      <c r="AX31" s="46">
        <f>[Form]</f>
        <v>6</v>
      </c>
      <c r="AY31" s="46">
        <f>[ID]</f>
        <v>29</v>
      </c>
      <c r="AZ31" s="74"/>
    </row>
    <row r="32" spans="1:52">
      <c r="M32" s="49" t="str">
        <f>'Table Seed Map'!$A$11&amp;"-"&amp;(COUNTA($Q$1:FormFields[[#This Row],[ID]])-2)</f>
        <v>Form Fields-30</v>
      </c>
      <c r="N32" s="53" t="s">
        <v>1047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ResourceAction/AddActionForm/type</v>
      </c>
      <c r="Q32" s="45">
        <f>FormFields[[#This Row],[No]]</f>
        <v>30</v>
      </c>
      <c r="R32" s="85">
        <f>VLOOKUP(FormFields[[#This Row],[Form Name]],ResourceForms[[FormName]:[No]],2,0)</f>
        <v>6</v>
      </c>
      <c r="S32" s="56" t="s">
        <v>48</v>
      </c>
      <c r="T32" s="56" t="s">
        <v>234</v>
      </c>
      <c r="U32" s="56" t="s">
        <v>1044</v>
      </c>
      <c r="V32" s="64" t="s">
        <v>1041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COUNTIF($AB$2:FormFields[[#This Row],[Exists]],1)-1+VLOOKUP('Table Seed Map'!$A$11,SeedMap[],9,0)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type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Options-8</v>
      </c>
      <c r="AL32" s="46">
        <f>IF(FormFields[[#This Row],[Exists FO]]=0,$AL31,IF($AL31=0,IF(ISNUMBER(VLOOKUP('Table Seed Map'!$A$13,SeedMap[],9,0)),VLOOKUP('Table Seed Map'!$A$13,SeedMap[],9,0)+1,1),IFERROR($AL31+1,0)))</f>
        <v>8</v>
      </c>
      <c r="AM32" s="46">
        <f>FormFields[[#This Row],[NO4]]</f>
        <v>8</v>
      </c>
      <c r="AN32" s="48">
        <f>[ID]</f>
        <v>30</v>
      </c>
      <c r="AO32" s="72" t="s">
        <v>1072</v>
      </c>
      <c r="AP32" s="72"/>
      <c r="AQ32" s="72"/>
      <c r="AR32" s="72"/>
      <c r="AS32" s="72"/>
      <c r="AT32" s="46">
        <f>IF(OR(FormFields[[#This Row],[Colspan]]="",FormFields[[#This Row],[Colspan]]="colspan"),0,1)</f>
        <v>0</v>
      </c>
      <c r="AU32" s="46" t="str">
        <f>'Table Seed Map'!$A$18&amp;"-"&amp;SUM($AT$2:FormFields[[#This Row],[Exists FL]])</f>
        <v>Form Layout-20</v>
      </c>
      <c r="AV32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2" s="45" t="str">
        <f>FormFields[[#This Row],[NO8]]</f>
        <v/>
      </c>
      <c r="AX32" s="46">
        <f>[Form]</f>
        <v>6</v>
      </c>
      <c r="AY32" s="46">
        <f>[ID]</f>
        <v>30</v>
      </c>
      <c r="AZ32" s="74"/>
    </row>
    <row r="33" spans="13:52">
      <c r="M33" s="49" t="str">
        <f>'Table Seed Map'!$A$11&amp;"-"&amp;(COUNTA($Q$1:FormFields[[#This Row],[ID]])-2)</f>
        <v>Form Fields-31</v>
      </c>
      <c r="N33" s="53" t="s">
        <v>1047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ResourceAction/AddActionForm/idn1</v>
      </c>
      <c r="Q33" s="45">
        <f>FormFields[[#This Row],[No]]</f>
        <v>31</v>
      </c>
      <c r="R33" s="85">
        <f>VLOOKUP(FormFields[[#This Row],[Form Name]],ResourceForms[[FormName]:[No]],2,0)</f>
        <v>6</v>
      </c>
      <c r="S33" s="56" t="s">
        <v>111</v>
      </c>
      <c r="T33" s="56" t="s">
        <v>234</v>
      </c>
      <c r="U33" s="56" t="s">
        <v>1045</v>
      </c>
      <c r="V33" s="64" t="s">
        <v>1041</v>
      </c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COUNTIF($AB$2:FormFields[[#This Row],[Exists]],1)-1+VLOOKUP('Table Seed Map'!$A$11,SeedMap[],9,0)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idn1</v>
      </c>
      <c r="AF33" s="91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1</v>
      </c>
      <c r="AK33" s="46" t="str">
        <f>'Table Seed Map'!$A$13&amp;"-"&amp;COUNTIF($AJ$2:FormFields[[#This Row],[Exists FO]],1)</f>
        <v>Field Options-9</v>
      </c>
      <c r="AL33" s="46">
        <f>IF(FormFields[[#This Row],[Exists FO]]=0,$AL32,IF($AL32=0,IF(ISNUMBER(VLOOKUP('Table Seed Map'!$A$13,SeedMap[],9,0)),VLOOKUP('Table Seed Map'!$A$13,SeedMap[],9,0)+1,1),IFERROR($AL32+1,0)))</f>
        <v>9</v>
      </c>
      <c r="AM33" s="46">
        <f>FormFields[[#This Row],[NO4]]</f>
        <v>9</v>
      </c>
      <c r="AN33" s="48">
        <f>[ID]</f>
        <v>31</v>
      </c>
      <c r="AO33" s="72" t="s">
        <v>274</v>
      </c>
      <c r="AP33" s="72" t="s">
        <v>1059</v>
      </c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6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1047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ResourceAction/AddActionForm/idn2</v>
      </c>
      <c r="Q34" s="45">
        <f>FormFields[[#This Row],[No]]</f>
        <v>32</v>
      </c>
      <c r="R34" s="85">
        <f>VLOOKUP(FormFields[[#This Row],[Form Name]],ResourceForms[[FormName]:[No]],2,0)</f>
        <v>6</v>
      </c>
      <c r="S34" s="56" t="s">
        <v>112</v>
      </c>
      <c r="T34" s="56" t="s">
        <v>234</v>
      </c>
      <c r="U34" s="56" t="s">
        <v>1046</v>
      </c>
      <c r="V34" s="64" t="s">
        <v>1041</v>
      </c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COUNTIF($AB$2:FormFields[[#This Row],[Exists]],1)-1+VLOOKUP('Table Seed Map'!$A$11,SeedMap[],9,0)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idn2</v>
      </c>
      <c r="AF34" s="91">
        <f>IF(FormFields[[#This Row],[Rel]]="",IF(EXACT($AF33,FormFields[[#Headers],[Relation]]),"relation",""),VLOOKUP(FormFields[[#This Row],[Rel]],RelationTable[[Display]:[RELID]],2,0))</f>
        <v>8</v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1</v>
      </c>
      <c r="AK34" s="46" t="str">
        <f>'Table Seed Map'!$A$13&amp;"-"&amp;COUNTIF($AJ$2:FormFields[[#This Row],[Exists FO]],1)</f>
        <v>Field Options-10</v>
      </c>
      <c r="AL34" s="46">
        <f>IF(FormFields[[#This Row],[Exists FO]]=0,$AL33,IF($AL33=0,IF(ISNUMBER(VLOOKUP('Table Seed Map'!$A$13,SeedMap[],9,0)),VLOOKUP('Table Seed Map'!$A$13,SeedMap[],9,0)+1,1),IFERROR($AL33+1,0)))</f>
        <v>10</v>
      </c>
      <c r="AM34" s="46">
        <f>FormFields[[#This Row],[NO4]]</f>
        <v>10</v>
      </c>
      <c r="AN34" s="48">
        <f>[ID]</f>
        <v>32</v>
      </c>
      <c r="AO34" s="72" t="s">
        <v>274</v>
      </c>
      <c r="AP34" s="72" t="s">
        <v>1060</v>
      </c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6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948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ResourceForm/NewFormForm/resource</v>
      </c>
      <c r="Q35" s="45">
        <f>FormFields[[#This Row],[No]]</f>
        <v>33</v>
      </c>
      <c r="R35" s="85">
        <f>VLOOKUP(FormFields[[#This Row],[Form Name]],ResourceForms[[FormName]:[No]],2,0)</f>
        <v>7</v>
      </c>
      <c r="S35" s="56" t="s">
        <v>23</v>
      </c>
      <c r="T35" s="56" t="s">
        <v>234</v>
      </c>
      <c r="U35" s="56" t="s">
        <v>949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COUNTIF($AB$2:FormFields[[#This Row],[Exists]],1)-1+VLOOKUP('Table Seed Map'!$A$11,SeedMap[],9,0)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resource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1</v>
      </c>
      <c r="AK35" s="46" t="str">
        <f>'Table Seed Map'!$A$13&amp;"-"&amp;COUNTIF($AJ$2:FormFields[[#This Row],[Exists FO]],1)</f>
        <v>Field Options-11</v>
      </c>
      <c r="AL35" s="46">
        <f>IF(FormFields[[#This Row],[Exists FO]]=0,$AL34,IF($AL34=0,IF(ISNUMBER(VLOOKUP('Table Seed Map'!$A$13,SeedMap[],9,0)),VLOOKUP('Table Seed Map'!$A$13,SeedMap[],9,0)+1,1),IFERROR($AL34+1,0)))</f>
        <v>11</v>
      </c>
      <c r="AM35" s="46">
        <f>FormFields[[#This Row],[NO4]]</f>
        <v>11</v>
      </c>
      <c r="AN35" s="48">
        <f>[ID]</f>
        <v>33</v>
      </c>
      <c r="AO35" s="72" t="s">
        <v>671</v>
      </c>
      <c r="AP35" s="72"/>
      <c r="AQ35" s="72" t="s">
        <v>21</v>
      </c>
      <c r="AR35" s="72" t="s">
        <v>26</v>
      </c>
      <c r="AS35" s="72" t="s">
        <v>672</v>
      </c>
      <c r="AT35" s="46">
        <f>IF(OR(FormFields[[#This Row],[Colspan]]="",FormFields[[#This Row],[Colspan]]="colspan"),0,1)</f>
        <v>1</v>
      </c>
      <c r="AU35" s="46" t="str">
        <f>'Table Seed Map'!$A$18&amp;"-"&amp;SUM($AT$2:FormFields[[#This Row],[Exists FL]])</f>
        <v>Form Layout-21</v>
      </c>
      <c r="AV35" s="46">
        <f>IF(FormFields[[#This Row],[Exists FL]]=0,IF(FormFields[[#This Row],[Form Name]]="","id",""),SUM($AT$3:FormFields[[#This Row],[Exists FL]],IF(VLOOKUP('Table Seed Map'!$A$18,SeedMap[],9,0),VLOOKUP('Table Seed Map'!$A$18,SeedMap[],9,0),0)))</f>
        <v>21</v>
      </c>
      <c r="AW35" s="45">
        <f>FormFields[[#This Row],[NO8]]</f>
        <v>21</v>
      </c>
      <c r="AX35" s="46">
        <f>[Form]</f>
        <v>7</v>
      </c>
      <c r="AY35" s="46">
        <f>[ID]</f>
        <v>33</v>
      </c>
      <c r="AZ35" s="74">
        <v>12</v>
      </c>
    </row>
    <row r="36" spans="13:52">
      <c r="M36" s="49" t="str">
        <f>'Table Seed Map'!$A$11&amp;"-"&amp;(COUNTA($Q$1:FormFields[[#This Row],[ID]])-2)</f>
        <v>Form Fields-34</v>
      </c>
      <c r="N36" s="53" t="s">
        <v>948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ResourceForm/NewFormForm/name</v>
      </c>
      <c r="Q36" s="45">
        <f>FormFields[[#This Row],[No]]</f>
        <v>34</v>
      </c>
      <c r="R36" s="85">
        <f>VLOOKUP(FormFields[[#This Row],[Form Name]],ResourceForms[[FormName]:[No]],2,0)</f>
        <v>7</v>
      </c>
      <c r="S36" s="56" t="s">
        <v>26</v>
      </c>
      <c r="T36" s="56" t="s">
        <v>231</v>
      </c>
      <c r="U36" s="56" t="s">
        <v>241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COUNTIF($AB$2:FormFields[[#This Row],[Exists]],1)-1+VLOOKUP('Table Seed Map'!$A$11,SeedMap[],9,0)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name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Options-11</v>
      </c>
      <c r="AL36" s="46">
        <f>IF(FormFields[[#This Row],[Exists FO]]=0,$AL35,IF($AL35=0,IF(ISNUMBER(VLOOKUP('Table Seed Map'!$A$13,SeedMap[],9,0)),VLOOKUP('Table Seed Map'!$A$13,SeedMap[],9,0)+1,1),IFERROR($AL35+1,0)))</f>
        <v>11</v>
      </c>
      <c r="AM36" s="46">
        <f>FormFields[[#This Row],[NO4]]</f>
        <v>11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1</v>
      </c>
      <c r="AU36" s="46" t="str">
        <f>'Table Seed Map'!$A$18&amp;"-"&amp;SUM($AT$2:FormFields[[#This Row],[Exists FL]])</f>
        <v>Form Layout-22</v>
      </c>
      <c r="AV36" s="46">
        <f>IF(FormFields[[#This Row],[Exists FL]]=0,IF(FormFields[[#This Row],[Form Name]]="","id",""),SUM($AT$3:FormFields[[#This Row],[Exists FL]],IF(VLOOKUP('Table Seed Map'!$A$18,SeedMap[],9,0),VLOOKUP('Table Seed Map'!$A$18,SeedMap[],9,0),0)))</f>
        <v>22</v>
      </c>
      <c r="AW36" s="45">
        <f>FormFields[[#This Row],[NO8]]</f>
        <v>22</v>
      </c>
      <c r="AX36" s="46">
        <f>[Form]</f>
        <v>7</v>
      </c>
      <c r="AY36" s="46">
        <f>[ID]</f>
        <v>34</v>
      </c>
      <c r="AZ36" s="74">
        <v>4</v>
      </c>
    </row>
    <row r="37" spans="13:52">
      <c r="M37" s="49" t="str">
        <f>'Table Seed Map'!$A$11&amp;"-"&amp;(COUNTA($Q$1:FormFields[[#This Row],[ID]])-2)</f>
        <v>Form Fields-35</v>
      </c>
      <c r="N37" s="53" t="s">
        <v>948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ResourceForm/NewFormForm/title</v>
      </c>
      <c r="Q37" s="45">
        <f>FormFields[[#This Row],[No]]</f>
        <v>35</v>
      </c>
      <c r="R37" s="85">
        <f>VLOOKUP(FormFields[[#This Row],[Form Name]],ResourceForms[[FormName]:[No]],2,0)</f>
        <v>7</v>
      </c>
      <c r="S37" s="56" t="s">
        <v>30</v>
      </c>
      <c r="T37" s="56" t="s">
        <v>231</v>
      </c>
      <c r="U37" s="56" t="s">
        <v>950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COUNTIF($AB$2:FormFields[[#This Row],[Exists]],1)-1+VLOOKUP('Table Seed Map'!$A$11,SeedMap[],9,0)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Options-11</v>
      </c>
      <c r="AL37" s="46">
        <f>IF(FormFields[[#This Row],[Exists FO]]=0,$AL36,IF($AL36=0,IF(ISNUMBER(VLOOKUP('Table Seed Map'!$A$13,SeedMap[],9,0)),VLOOKUP('Table Seed Map'!$A$13,SeedMap[],9,0)+1,1),IFERROR($AL36+1,0)))</f>
        <v>11</v>
      </c>
      <c r="AM37" s="46">
        <f>FormFields[[#This Row],[NO4]]</f>
        <v>11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1</v>
      </c>
      <c r="AU37" s="46" t="str">
        <f>'Table Seed Map'!$A$18&amp;"-"&amp;SUM($AT$2:FormFields[[#This Row],[Exists FL]])</f>
        <v>Form Layout-23</v>
      </c>
      <c r="AV37" s="46">
        <f>IF(FormFields[[#This Row],[Exists FL]]=0,IF(FormFields[[#This Row],[Form Name]]="","id",""),SUM($AT$3:FormFields[[#This Row],[Exists FL]],IF(VLOOKUP('Table Seed Map'!$A$18,SeedMap[],9,0),VLOOKUP('Table Seed Map'!$A$18,SeedMap[],9,0),0)))</f>
        <v>23</v>
      </c>
      <c r="AW37" s="45">
        <f>FormFields[[#This Row],[NO8]]</f>
        <v>23</v>
      </c>
      <c r="AX37" s="46">
        <f>[Form]</f>
        <v>7</v>
      </c>
      <c r="AY37" s="46">
        <f>[ID]</f>
        <v>35</v>
      </c>
      <c r="AZ37" s="74">
        <v>4</v>
      </c>
    </row>
    <row r="38" spans="13:52">
      <c r="M38" s="49" t="str">
        <f>'Table Seed Map'!$A$11&amp;"-"&amp;(COUNTA($Q$1:FormFields[[#This Row],[ID]])-2)</f>
        <v>Form Fields-36</v>
      </c>
      <c r="N38" s="53" t="s">
        <v>948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ResourceForm/NewFormForm/action_text</v>
      </c>
      <c r="Q38" s="45">
        <f>FormFields[[#This Row],[No]]</f>
        <v>36</v>
      </c>
      <c r="R38" s="85">
        <f>VLOOKUP(FormFields[[#This Row],[Form Name]],ResourceForms[[FormName]:[No]],2,0)</f>
        <v>7</v>
      </c>
      <c r="S38" s="56" t="s">
        <v>63</v>
      </c>
      <c r="T38" s="56" t="s">
        <v>231</v>
      </c>
      <c r="U38" s="56" t="s">
        <v>243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COUNTIF($AB$2:FormFields[[#This Row],[Exists]],1)-1+VLOOKUP('Table Seed Map'!$A$11,SeedMap[],9,0)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action_text</v>
      </c>
      <c r="AF38" s="91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0</v>
      </c>
      <c r="AK38" s="46" t="str">
        <f>'Table Seed Map'!$A$13&amp;"-"&amp;COUNTIF($AJ$2:FormFields[[#This Row],[Exists FO]],1)</f>
        <v>Field Options-11</v>
      </c>
      <c r="AL38" s="46">
        <f>IF(FormFields[[#This Row],[Exists FO]]=0,$AL37,IF($AL37=0,IF(ISNUMBER(VLOOKUP('Table Seed Map'!$A$13,SeedMap[],9,0)),VLOOKUP('Table Seed Map'!$A$13,SeedMap[],9,0)+1,1),IFERROR($AL37+1,0)))</f>
        <v>11</v>
      </c>
      <c r="AM38" s="46">
        <f>FormFields[[#This Row],[NO4]]</f>
        <v>11</v>
      </c>
      <c r="AN38" s="48">
        <f>[ID]</f>
        <v>36</v>
      </c>
      <c r="AO38" s="72"/>
      <c r="AP38" s="72"/>
      <c r="AQ38" s="72"/>
      <c r="AR38" s="72"/>
      <c r="AS38" s="72"/>
      <c r="AT38" s="46">
        <f>IF(OR(FormFields[[#This Row],[Colspan]]="",FormFields[[#This Row],[Colspan]]="colspan"),0,1)</f>
        <v>1</v>
      </c>
      <c r="AU38" s="46" t="str">
        <f>'Table Seed Map'!$A$18&amp;"-"&amp;SUM($AT$2:FormFields[[#This Row],[Exists FL]])</f>
        <v>Form Layout-24</v>
      </c>
      <c r="AV38" s="46">
        <f>IF(FormFields[[#This Row],[Exists FL]]=0,IF(FormFields[[#This Row],[Form Name]]="","id",""),SUM($AT$3:FormFields[[#This Row],[Exists FL]],IF(VLOOKUP('Table Seed Map'!$A$18,SeedMap[],9,0),VLOOKUP('Table Seed Map'!$A$18,SeedMap[],9,0),0)))</f>
        <v>24</v>
      </c>
      <c r="AW38" s="45">
        <f>FormFields[[#This Row],[NO8]]</f>
        <v>24</v>
      </c>
      <c r="AX38" s="46">
        <f>[Form]</f>
        <v>7</v>
      </c>
      <c r="AY38" s="46">
        <f>[ID]</f>
        <v>36</v>
      </c>
      <c r="AZ38" s="74">
        <v>4</v>
      </c>
    </row>
    <row r="39" spans="13:52">
      <c r="M39" s="49" t="str">
        <f>'Table Seed Map'!$A$11&amp;"-"&amp;(COUNTA($Q$1:FormFields[[#This Row],[ID]])-2)</f>
        <v>Form Fields-37</v>
      </c>
      <c r="N39" s="53" t="s">
        <v>948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ResourceForm/NewFormForm/description</v>
      </c>
      <c r="Q39" s="45">
        <f>FormFields[[#This Row],[No]]</f>
        <v>37</v>
      </c>
      <c r="R39" s="85">
        <f>VLOOKUP(FormFields[[#This Row],[Form Name]],ResourceForms[[FormName]:[No]],2,0)</f>
        <v>7</v>
      </c>
      <c r="S39" s="56" t="s">
        <v>28</v>
      </c>
      <c r="T39" s="56" t="s">
        <v>930</v>
      </c>
      <c r="U39" s="56" t="s">
        <v>242</v>
      </c>
      <c r="V39" s="64"/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COUNTIF($AB$2:FormFields[[#This Row],[Exists]],1)-1+VLOOKUP('Table Seed Map'!$A$11,SeedMap[],9,0)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description</v>
      </c>
      <c r="AF39" s="91" t="str">
        <f>IF(FormFields[[#This Row],[Rel]]="",IF(EXACT($AF38,FormFields[[#Headers],[Relation]]),"relation",""),VLOOKUP(FormFields[[#This Row],[Rel]],RelationTable[[Display]:[RELID]],2,0))</f>
        <v/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0</v>
      </c>
      <c r="AK39" s="46" t="str">
        <f>'Table Seed Map'!$A$13&amp;"-"&amp;COUNTIF($AJ$2:FormFields[[#This Row],[Exists FO]],1)</f>
        <v>Field Options-11</v>
      </c>
      <c r="AL39" s="46">
        <f>IF(FormFields[[#This Row],[Exists FO]]=0,$AL38,IF($AL38=0,IF(ISNUMBER(VLOOKUP('Table Seed Map'!$A$13,SeedMap[],9,0)),VLOOKUP('Table Seed Map'!$A$13,SeedMap[],9,0)+1,1),IFERROR($AL38+1,0)))</f>
        <v>11</v>
      </c>
      <c r="AM39" s="46">
        <f>FormFields[[#This Row],[NO4]]</f>
        <v>11</v>
      </c>
      <c r="AN39" s="48">
        <f>[ID]</f>
        <v>37</v>
      </c>
      <c r="AO39" s="72"/>
      <c r="AP39" s="72"/>
      <c r="AQ39" s="72"/>
      <c r="AR39" s="72"/>
      <c r="AS39" s="72"/>
      <c r="AT39" s="46">
        <f>IF(OR(FormFields[[#This Row],[Colspan]]="",FormFields[[#This Row],[Colspan]]="colspan"),0,1)</f>
        <v>1</v>
      </c>
      <c r="AU39" s="46" t="str">
        <f>'Table Seed Map'!$A$18&amp;"-"&amp;SUM($AT$2:FormFields[[#This Row],[Exists FL]])</f>
        <v>Form Layout-25</v>
      </c>
      <c r="AV39" s="46">
        <f>IF(FormFields[[#This Row],[Exists FL]]=0,IF(FormFields[[#This Row],[Form Name]]="","id",""),SUM($AT$3:FormFields[[#This Row],[Exists FL]],IF(VLOOKUP('Table Seed Map'!$A$18,SeedMap[],9,0),VLOOKUP('Table Seed Map'!$A$18,SeedMap[],9,0),0)))</f>
        <v>25</v>
      </c>
      <c r="AW39" s="45">
        <f>FormFields[[#This Row],[NO8]]</f>
        <v>25</v>
      </c>
      <c r="AX39" s="46">
        <f>[Form]</f>
        <v>7</v>
      </c>
      <c r="AY39" s="46">
        <f>[ID]</f>
        <v>37</v>
      </c>
      <c r="AZ39" s="74">
        <v>12</v>
      </c>
    </row>
    <row r="40" spans="13:52">
      <c r="M40" s="49" t="str">
        <f>'Table Seed Map'!$A$11&amp;"-"&amp;(COUNTA($Q$1:FormFields[[#This Row],[ID]])-2)</f>
        <v>Form Fields-38</v>
      </c>
      <c r="N40" s="53" t="s">
        <v>963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ResourceForm/AddResourceForm/resource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23</v>
      </c>
      <c r="T40" s="56" t="s">
        <v>231</v>
      </c>
      <c r="U40" s="56" t="s">
        <v>949</v>
      </c>
      <c r="V40" s="64"/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COUNTIF($AB$2:FormFields[[#This Row],[Exists]],1)-1+VLOOKUP('Table Seed Map'!$A$11,SeedMap[],9,0)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resource</v>
      </c>
      <c r="AF40" s="91" t="str">
        <f>IF(FormFields[[#This Row],[Rel]]="",IF(EXACT($AF39,FormFields[[#Headers],[Relation]]),"relation",""),VLOOKUP(FormFields[[#This Row],[Rel]],RelationTable[[Display]:[RELID]],2,0))</f>
        <v/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0</v>
      </c>
      <c r="AK40" s="46" t="str">
        <f>'Table Seed Map'!$A$13&amp;"-"&amp;COUNTIF($AJ$2:FormFields[[#This Row],[Exists FO]],1)</f>
        <v>Field Options-11</v>
      </c>
      <c r="AL40" s="46">
        <f>IF(FormFields[[#This Row],[Exists FO]]=0,$AL39,IF($AL39=0,IF(ISNUMBER(VLOOKUP('Table Seed Map'!$A$13,SeedMap[],9,0)),VLOOKUP('Table Seed Map'!$A$13,SeedMap[],9,0)+1,1),IFERROR($AL39+1,0)))</f>
        <v>11</v>
      </c>
      <c r="AM40" s="46">
        <f>FormFields[[#This Row],[NO4]]</f>
        <v>11</v>
      </c>
      <c r="AN40" s="48">
        <f>[ID]</f>
        <v>38</v>
      </c>
      <c r="AO40" s="72"/>
      <c r="AP40" s="72"/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Layout-25</v>
      </c>
      <c r="AV4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7" t="str">
        <f>'Table Seed Map'!$A$11&amp;"-"&amp;(COUNTA($Q$1:FormFields[[#This Row],[ID]])-2)</f>
        <v>Form Fields-39</v>
      </c>
      <c r="N41" s="53" t="s">
        <v>963</v>
      </c>
      <c r="O41" s="45">
        <f>IF(FormFields[[#This Row],[Form Name]]="","id",COUNTA($N$3:FormFields[[#This Row],[Form Name]])+IF(VLOOKUP('Table Seed Map'!$A$11,SeedMap[],9,0),VLOOKUP('Table Seed Map'!$A$11,SeedMap[],9,0),0))</f>
        <v>39</v>
      </c>
      <c r="P41" s="47" t="str">
        <f>FormFields[[#This Row],[Form Name]]&amp;"/"&amp;FormFields[[#This Row],[Name]]</f>
        <v>ResourceForm/AddResourceForm/name</v>
      </c>
      <c r="Q41" s="45">
        <f>FormFields[[#This Row],[No]]</f>
        <v>39</v>
      </c>
      <c r="R41" s="52">
        <f>VLOOKUP(FormFields[[#This Row],[Form Name]],ResourceForms[[FormName]:[No]],2,0)</f>
        <v>8</v>
      </c>
      <c r="S41" s="55" t="s">
        <v>26</v>
      </c>
      <c r="T41" s="55" t="s">
        <v>231</v>
      </c>
      <c r="U41" s="56" t="s">
        <v>241</v>
      </c>
      <c r="V41" s="58"/>
      <c r="W41" s="58"/>
      <c r="X41" s="58"/>
      <c r="Y41" s="58"/>
      <c r="Z41" s="59" t="str">
        <f>'Table Seed Map'!$A$12&amp;"-"&amp;(COUNTIF($AB$2:FormFields[[#This Row],[Exists]],1)-1)</f>
        <v>Field Data-39</v>
      </c>
      <c r="AA41" s="60">
        <f>COUNTIF($AB$2:FormFields[[#This Row],[Exists]],1)-1+VLOOKUP('Table Seed Map'!$A$11,SeedMap[],9,0)</f>
        <v>39</v>
      </c>
      <c r="AB41" s="60">
        <f>IF(AND(FormFields[[#This Row],[Attribute]]="",FormFields[[#This Row],[Relation]]=""),0,1)</f>
        <v>1</v>
      </c>
      <c r="AC41" s="60">
        <f>FormFields[[#This Row],[NO2]]</f>
        <v>39</v>
      </c>
      <c r="AD41" s="62">
        <f>[ID]</f>
        <v>39</v>
      </c>
      <c r="AE41" s="60" t="str">
        <f>[Name]</f>
        <v>name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0</v>
      </c>
      <c r="AK41" s="45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1"/>
      <c r="AP41" s="71"/>
      <c r="AQ41" s="71"/>
      <c r="AR41" s="71"/>
      <c r="AS41" s="71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Layout-25</v>
      </c>
      <c r="AV41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61"/>
    </row>
    <row r="42" spans="13:52">
      <c r="M42" s="47" t="str">
        <f>'Table Seed Map'!$A$11&amp;"-"&amp;(COUNTA($Q$1:FormFields[[#This Row],[ID]])-2)</f>
        <v>Form Fields-40</v>
      </c>
      <c r="N42" s="53" t="s">
        <v>963</v>
      </c>
      <c r="O42" s="45">
        <f>IF(FormFields[[#This Row],[Form Name]]="","id",COUNTA($N$3:FormFields[[#This Row],[Form Name]])+IF(VLOOKUP('Table Seed Map'!$A$11,SeedMap[],9,0),VLOOKUP('Table Seed Map'!$A$11,SeedMap[],9,0),0))</f>
        <v>40</v>
      </c>
      <c r="P42" s="47" t="str">
        <f>FormFields[[#This Row],[Form Name]]&amp;"/"&amp;FormFields[[#This Row],[Name]]</f>
        <v>ResourceForm/AddResourceForm/title</v>
      </c>
      <c r="Q42" s="45">
        <f>FormFields[[#This Row],[No]]</f>
        <v>40</v>
      </c>
      <c r="R42" s="52">
        <f>VLOOKUP(FormFields[[#This Row],[Form Name]],ResourceForms[[FormName]:[No]],2,0)</f>
        <v>8</v>
      </c>
      <c r="S42" s="55" t="s">
        <v>30</v>
      </c>
      <c r="T42" s="55" t="s">
        <v>231</v>
      </c>
      <c r="U42" s="56" t="s">
        <v>950</v>
      </c>
      <c r="V42" s="58"/>
      <c r="W42" s="58"/>
      <c r="X42" s="58"/>
      <c r="Y42" s="58"/>
      <c r="Z42" s="59" t="str">
        <f>'Table Seed Map'!$A$12&amp;"-"&amp;(COUNTIF($AB$2:FormFields[[#This Row],[Exists]],1)-1)</f>
        <v>Field Data-40</v>
      </c>
      <c r="AA42" s="60">
        <f>COUNTIF($AB$2:FormFields[[#This Row],[Exists]],1)-1+VLOOKUP('Table Seed Map'!$A$11,SeedMap[],9,0)</f>
        <v>40</v>
      </c>
      <c r="AB42" s="60">
        <f>IF(AND(FormFields[[#This Row],[Attribute]]="",FormFields[[#This Row],[Relation]]=""),0,1)</f>
        <v>1</v>
      </c>
      <c r="AC42" s="60">
        <f>FormFields[[#This Row],[NO2]]</f>
        <v>40</v>
      </c>
      <c r="AD42" s="62">
        <f>[ID]</f>
        <v>40</v>
      </c>
      <c r="AE42" s="60" t="str">
        <f>[Name]</f>
        <v>title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0</v>
      </c>
      <c r="AK42" s="45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5">
        <f>FormFields[[#This Row],[NO4]]</f>
        <v>11</v>
      </c>
      <c r="AN42" s="38">
        <f>[ID]</f>
        <v>40</v>
      </c>
      <c r="AO42" s="71"/>
      <c r="AP42" s="71"/>
      <c r="AQ42" s="71"/>
      <c r="AR42" s="71"/>
      <c r="AS42" s="71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Layout-25</v>
      </c>
      <c r="AV4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61"/>
    </row>
    <row r="43" spans="13:52">
      <c r="M43" s="47" t="str">
        <f>'Table Seed Map'!$A$11&amp;"-"&amp;(COUNTA($Q$1:FormFields[[#This Row],[ID]])-2)</f>
        <v>Form Fields-41</v>
      </c>
      <c r="N43" s="53" t="s">
        <v>963</v>
      </c>
      <c r="O43" s="45">
        <f>IF(FormFields[[#This Row],[Form Name]]="","id",COUNTA($N$3:FormFields[[#This Row],[Form Name]])+IF(VLOOKUP('Table Seed Map'!$A$11,SeedMap[],9,0),VLOOKUP('Table Seed Map'!$A$11,SeedMap[],9,0),0))</f>
        <v>41</v>
      </c>
      <c r="P43" s="47" t="str">
        <f>FormFields[[#This Row],[Form Name]]&amp;"/"&amp;FormFields[[#This Row],[Name]]</f>
        <v>ResourceForm/AddResourceForm/action_text</v>
      </c>
      <c r="Q43" s="45">
        <f>FormFields[[#This Row],[No]]</f>
        <v>41</v>
      </c>
      <c r="R43" s="52">
        <f>VLOOKUP(FormFields[[#This Row],[Form Name]],ResourceForms[[FormName]:[No]],2,0)</f>
        <v>8</v>
      </c>
      <c r="S43" s="55" t="s">
        <v>63</v>
      </c>
      <c r="T43" s="55" t="s">
        <v>231</v>
      </c>
      <c r="U43" s="56" t="s">
        <v>243</v>
      </c>
      <c r="V43" s="58"/>
      <c r="W43" s="58"/>
      <c r="X43" s="58"/>
      <c r="Y43" s="58"/>
      <c r="Z43" s="59" t="str">
        <f>'Table Seed Map'!$A$12&amp;"-"&amp;(COUNTIF($AB$2:FormFields[[#This Row],[Exists]],1)-1)</f>
        <v>Field Data-41</v>
      </c>
      <c r="AA43" s="60">
        <f>COUNTIF($AB$2:FormFields[[#This Row],[Exists]],1)-1+VLOOKUP('Table Seed Map'!$A$11,SeedMap[],9,0)</f>
        <v>41</v>
      </c>
      <c r="AB43" s="60">
        <f>IF(AND(FormFields[[#This Row],[Attribute]]="",FormFields[[#This Row],[Relation]]=""),0,1)</f>
        <v>1</v>
      </c>
      <c r="AC43" s="60">
        <f>FormFields[[#This Row],[NO2]]</f>
        <v>41</v>
      </c>
      <c r="AD43" s="62">
        <f>[ID]</f>
        <v>41</v>
      </c>
      <c r="AE43" s="60" t="str">
        <f>[Name]</f>
        <v>action_text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0</v>
      </c>
      <c r="AK43" s="45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5">
        <f>FormFields[[#This Row],[NO4]]</f>
        <v>11</v>
      </c>
      <c r="AN43" s="38">
        <f>[ID]</f>
        <v>41</v>
      </c>
      <c r="AO43" s="71"/>
      <c r="AP43" s="71"/>
      <c r="AQ43" s="71"/>
      <c r="AR43" s="71"/>
      <c r="AS43" s="71"/>
      <c r="AT43" s="45">
        <f>IF(OR(FormFields[[#This Row],[Colspan]]="",FormFields[[#This Row],[Colspan]]="colspan"),0,1)</f>
        <v>0</v>
      </c>
      <c r="AU43" s="45" t="str">
        <f>'Table Seed Map'!$A$18&amp;"-"&amp;SUM($AT$2:FormFields[[#This Row],[Exists FL]])</f>
        <v>Form Layout-25</v>
      </c>
      <c r="AV43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3" s="45" t="str">
        <f>FormFields[[#This Row],[NO8]]</f>
        <v/>
      </c>
      <c r="AX43" s="45">
        <f>[Form]</f>
        <v>8</v>
      </c>
      <c r="AY43" s="45">
        <f>[ID]</f>
        <v>41</v>
      </c>
      <c r="AZ43" s="61"/>
    </row>
    <row r="44" spans="13:52">
      <c r="M44" s="47" t="str">
        <f>'Table Seed Map'!$A$11&amp;"-"&amp;(COUNTA($Q$1:FormFields[[#This Row],[ID]])-2)</f>
        <v>Form Fields-42</v>
      </c>
      <c r="N44" s="53" t="s">
        <v>963</v>
      </c>
      <c r="O44" s="45">
        <f>IF(FormFields[[#This Row],[Form Name]]="","id",COUNTA($N$3:FormFields[[#This Row],[Form Name]])+IF(VLOOKUP('Table Seed Map'!$A$11,SeedMap[],9,0),VLOOKUP('Table Seed Map'!$A$11,SeedMap[],9,0),0))</f>
        <v>42</v>
      </c>
      <c r="P44" s="47" t="str">
        <f>FormFields[[#This Row],[Form Name]]&amp;"/"&amp;FormFields[[#This Row],[Name]]</f>
        <v>ResourceForm/AddResourceForm/description</v>
      </c>
      <c r="Q44" s="45">
        <f>FormFields[[#This Row],[No]]</f>
        <v>42</v>
      </c>
      <c r="R44" s="52">
        <f>VLOOKUP(FormFields[[#This Row],[Form Name]],ResourceForms[[FormName]:[No]],2,0)</f>
        <v>8</v>
      </c>
      <c r="S44" s="55" t="s">
        <v>28</v>
      </c>
      <c r="T44" s="55" t="s">
        <v>930</v>
      </c>
      <c r="U44" s="55" t="s">
        <v>242</v>
      </c>
      <c r="V44" s="58"/>
      <c r="W44" s="58"/>
      <c r="X44" s="58"/>
      <c r="Y44" s="58"/>
      <c r="Z44" s="59" t="str">
        <f>'Table Seed Map'!$A$12&amp;"-"&amp;(COUNTIF($AB$2:FormFields[[#This Row],[Exists]],1)-1)</f>
        <v>Field Data-42</v>
      </c>
      <c r="AA44" s="60">
        <f>COUNTIF($AB$2:FormFields[[#This Row],[Exists]],1)-1+VLOOKUP('Table Seed Map'!$A$11,SeedMap[],9,0)</f>
        <v>42</v>
      </c>
      <c r="AB44" s="60">
        <f>IF(AND(FormFields[[#This Row],[Attribute]]="",FormFields[[#This Row],[Relation]]=""),0,1)</f>
        <v>1</v>
      </c>
      <c r="AC44" s="60">
        <f>FormFields[[#This Row],[NO2]]</f>
        <v>42</v>
      </c>
      <c r="AD44" s="62">
        <f>[ID]</f>
        <v>42</v>
      </c>
      <c r="AE44" s="60" t="str">
        <f>[Name]</f>
        <v>description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5">
        <f>FormFields[[#This Row],[NO4]]</f>
        <v>11</v>
      </c>
      <c r="AN44" s="38">
        <f>[ID]</f>
        <v>42</v>
      </c>
      <c r="AO44" s="71"/>
      <c r="AP44" s="71"/>
      <c r="AQ44" s="71"/>
      <c r="AR44" s="71"/>
      <c r="AS44" s="71"/>
      <c r="AT44" s="45">
        <f>IF(OR(FormFields[[#This Row],[Colspan]]="",FormFields[[#This Row],[Colspan]]="colspan"),0,1)</f>
        <v>0</v>
      </c>
      <c r="AU44" s="45" t="str">
        <f>'Table Seed Map'!$A$18&amp;"-"&amp;SUM($AT$2:FormFields[[#This Row],[Exists FL]])</f>
        <v>Form Layout-25</v>
      </c>
      <c r="AV44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4" s="45" t="str">
        <f>FormFields[[#This Row],[NO8]]</f>
        <v/>
      </c>
      <c r="AX44" s="45">
        <f>[Form]</f>
        <v>8</v>
      </c>
      <c r="AY44" s="45">
        <f>[ID]</f>
        <v>42</v>
      </c>
      <c r="AZ44" s="61"/>
    </row>
    <row r="45" spans="13:52">
      <c r="M45" s="51" t="str">
        <f>'Table Seed Map'!$A$11&amp;"-"&amp;(COUNTA($Q$1:FormFields[[#This Row],[ID]])-2)</f>
        <v>Form Fields-43</v>
      </c>
      <c r="N45" s="53" t="s">
        <v>967</v>
      </c>
      <c r="O45" s="50">
        <f>IF(FormFields[[#This Row],[Form Name]]="","id",COUNTA($N$3:FormFields[[#This Row],[Form Name]])+IF(VLOOKUP('Table Seed Map'!$A$11,SeedMap[],9,0),VLOOKUP('Table Seed Map'!$A$11,SeedMap[],9,0),0))</f>
        <v>43</v>
      </c>
      <c r="P45" s="51" t="str">
        <f>FormFields[[#This Row],[Form Name]]&amp;"/"&amp;FormFields[[#This Row],[Name]]</f>
        <v>ResourceFormField/CreateFormField/resource_form</v>
      </c>
      <c r="Q45" s="45">
        <f>FormFields[[#This Row],[No]]</f>
        <v>43</v>
      </c>
      <c r="R45" s="92">
        <f>VLOOKUP(FormFields[[#This Row],[Form Name]],ResourceForms[[FormName]:[No]],2,0)</f>
        <v>9</v>
      </c>
      <c r="S45" s="57" t="s">
        <v>116</v>
      </c>
      <c r="T45" s="57" t="s">
        <v>234</v>
      </c>
      <c r="U45" s="57" t="s">
        <v>968</v>
      </c>
      <c r="V45" s="67"/>
      <c r="W45" s="67"/>
      <c r="X45" s="67"/>
      <c r="Y45" s="67"/>
      <c r="Z45" s="68" t="str">
        <f>'Table Seed Map'!$A$12&amp;"-"&amp;(COUNTIF($AB$2:FormFields[[#This Row],[Exists]],1)-1)</f>
        <v>Field Data-43</v>
      </c>
      <c r="AA45" s="60">
        <f>COUNTIF($AB$2:FormFields[[#This Row],[Exists]],1)-1+VLOOKUP('Table Seed Map'!$A$11,SeedMap[],9,0)</f>
        <v>43</v>
      </c>
      <c r="AB45" s="69">
        <f>IF(AND(FormFields[[#This Row],[Attribute]]="",FormFields[[#This Row],[Relation]]=""),0,1)</f>
        <v>1</v>
      </c>
      <c r="AC45" s="69">
        <f>FormFields[[#This Row],[NO2]]</f>
        <v>43</v>
      </c>
      <c r="AD45" s="70">
        <f>[ID]</f>
        <v>43</v>
      </c>
      <c r="AE45" s="69" t="str">
        <f>[Name]</f>
        <v>resource_form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50">
        <f>IF(OR(FormFields[[#This Row],[Option Type]]="",FormFields[[#This Row],[Option Type]]="type"),0,1)</f>
        <v>0</v>
      </c>
      <c r="AK45" s="50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50">
        <f>FormFields[[#This Row],[NO4]]</f>
        <v>11</v>
      </c>
      <c r="AN45" s="39">
        <f>[ID]</f>
        <v>43</v>
      </c>
      <c r="AO45" s="73"/>
      <c r="AP45" s="73"/>
      <c r="AQ45" s="73"/>
      <c r="AR45" s="73"/>
      <c r="AS45" s="73"/>
      <c r="AT45" s="50">
        <f>IF(OR(FormFields[[#This Row],[Colspan]]="",FormFields[[#This Row],[Colspan]]="colspan"),0,1)</f>
        <v>0</v>
      </c>
      <c r="AU45" s="50" t="str">
        <f>'Table Seed Map'!$A$18&amp;"-"&amp;SUM($AT$2:FormFields[[#This Row],[Exists FL]])</f>
        <v>Form Layout-25</v>
      </c>
      <c r="AV45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5" s="45" t="str">
        <f>FormFields[[#This Row],[NO8]]</f>
        <v/>
      </c>
      <c r="AX45" s="50">
        <f>[Form]</f>
        <v>9</v>
      </c>
      <c r="AY45" s="50">
        <f>[ID]</f>
        <v>43</v>
      </c>
      <c r="AZ45" s="75"/>
    </row>
    <row r="46" spans="13:52">
      <c r="M46" s="51" t="str">
        <f>'Table Seed Map'!$A$11&amp;"-"&amp;(COUNTA($Q$1:FormFields[[#This Row],[ID]])-2)</f>
        <v>Form Fields-44</v>
      </c>
      <c r="N46" s="53" t="s">
        <v>967</v>
      </c>
      <c r="O46" s="50">
        <f>IF(FormFields[[#This Row],[Form Name]]="","id",COUNTA($N$3:FormFields[[#This Row],[Form Name]])+IF(VLOOKUP('Table Seed Map'!$A$11,SeedMap[],9,0),VLOOKUP('Table Seed Map'!$A$11,SeedMap[],9,0),0))</f>
        <v>44</v>
      </c>
      <c r="P46" s="51" t="str">
        <f>FormFields[[#This Row],[Form Name]]&amp;"/"&amp;FormFields[[#This Row],[Name]]</f>
        <v>ResourceFormField/CreateFormField/name</v>
      </c>
      <c r="Q46" s="45">
        <f>FormFields[[#This Row],[No]]</f>
        <v>44</v>
      </c>
      <c r="R46" s="92">
        <f>VLOOKUP(FormFields[[#This Row],[Form Name]],ResourceForms[[FormName]:[No]],2,0)</f>
        <v>9</v>
      </c>
      <c r="S46" s="57" t="s">
        <v>26</v>
      </c>
      <c r="T46" s="57" t="s">
        <v>231</v>
      </c>
      <c r="U46" s="57" t="s">
        <v>1</v>
      </c>
      <c r="V46" s="67"/>
      <c r="W46" s="67"/>
      <c r="X46" s="67"/>
      <c r="Y46" s="67"/>
      <c r="Z46" s="68" t="str">
        <f>'Table Seed Map'!$A$12&amp;"-"&amp;(COUNTIF($AB$2:FormFields[[#This Row],[Exists]],1)-1)</f>
        <v>Field Data-44</v>
      </c>
      <c r="AA46" s="60">
        <f>COUNTIF($AB$2:FormFields[[#This Row],[Exists]],1)-1+VLOOKUP('Table Seed Map'!$A$11,SeedMap[],9,0)</f>
        <v>44</v>
      </c>
      <c r="AB46" s="69">
        <f>IF(AND(FormFields[[#This Row],[Attribute]]="",FormFields[[#This Row],[Relation]]=""),0,1)</f>
        <v>1</v>
      </c>
      <c r="AC46" s="69">
        <f>FormFields[[#This Row],[NO2]]</f>
        <v>44</v>
      </c>
      <c r="AD46" s="70">
        <f>[ID]</f>
        <v>44</v>
      </c>
      <c r="AE46" s="69" t="str">
        <f>[Name]</f>
        <v>name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50">
        <f>IF(OR(FormFields[[#This Row],[Option Type]]="",FormFields[[#This Row],[Option Type]]="type"),0,1)</f>
        <v>0</v>
      </c>
      <c r="AK46" s="50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50">
        <f>FormFields[[#This Row],[NO4]]</f>
        <v>11</v>
      </c>
      <c r="AN46" s="39">
        <f>[ID]</f>
        <v>44</v>
      </c>
      <c r="AO46" s="73"/>
      <c r="AP46" s="73"/>
      <c r="AQ46" s="73"/>
      <c r="AR46" s="73"/>
      <c r="AS46" s="73"/>
      <c r="AT46" s="50">
        <f>IF(OR(FormFields[[#This Row],[Colspan]]="",FormFields[[#This Row],[Colspan]]="colspan"),0,1)</f>
        <v>0</v>
      </c>
      <c r="AU46" s="50" t="str">
        <f>'Table Seed Map'!$A$18&amp;"-"&amp;SUM($AT$2:FormFields[[#This Row],[Exists FL]])</f>
        <v>Form Layout-25</v>
      </c>
      <c r="AV4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50">
        <f>[Form]</f>
        <v>9</v>
      </c>
      <c r="AY46" s="50">
        <f>[ID]</f>
        <v>44</v>
      </c>
      <c r="AZ46" s="75"/>
    </row>
    <row r="47" spans="13:52">
      <c r="M47" s="51" t="str">
        <f>'Table Seed Map'!$A$11&amp;"-"&amp;(COUNTA($Q$1:FormFields[[#This Row],[ID]])-2)</f>
        <v>Form Fields-45</v>
      </c>
      <c r="N47" s="53" t="s">
        <v>967</v>
      </c>
      <c r="O47" s="50">
        <f>IF(FormFields[[#This Row],[Form Name]]="","id",COUNTA($N$3:FormFields[[#This Row],[Form Name]])+IF(VLOOKUP('Table Seed Map'!$A$11,SeedMap[],9,0),VLOOKUP('Table Seed Map'!$A$11,SeedMap[],9,0),0))</f>
        <v>45</v>
      </c>
      <c r="P47" s="51" t="str">
        <f>FormFields[[#This Row],[Form Name]]&amp;"/"&amp;FormFields[[#This Row],[Name]]</f>
        <v>ResourceFormField/CreateFormField/type</v>
      </c>
      <c r="Q47" s="45">
        <f>FormFields[[#This Row],[No]]</f>
        <v>45</v>
      </c>
      <c r="R47" s="92">
        <f>VLOOKUP(FormFields[[#This Row],[Form Name]],ResourceForms[[FormName]:[No]],2,0)</f>
        <v>9</v>
      </c>
      <c r="S47" s="57" t="s">
        <v>48</v>
      </c>
      <c r="T47" s="57" t="s">
        <v>231</v>
      </c>
      <c r="U47" s="57" t="s">
        <v>14</v>
      </c>
      <c r="V47" s="67"/>
      <c r="W47" s="67"/>
      <c r="X47" s="67"/>
      <c r="Y47" s="67"/>
      <c r="Z47" s="68" t="str">
        <f>'Table Seed Map'!$A$12&amp;"-"&amp;(COUNTIF($AB$2:FormFields[[#This Row],[Exists]],1)-1)</f>
        <v>Field Data-45</v>
      </c>
      <c r="AA47" s="60">
        <f>COUNTIF($AB$2:FormFields[[#This Row],[Exists]],1)-1+VLOOKUP('Table Seed Map'!$A$11,SeedMap[],9,0)</f>
        <v>45</v>
      </c>
      <c r="AB47" s="69">
        <f>IF(AND(FormFields[[#This Row],[Attribute]]="",FormFields[[#This Row],[Relation]]=""),0,1)</f>
        <v>1</v>
      </c>
      <c r="AC47" s="69">
        <f>FormFields[[#This Row],[NO2]]</f>
        <v>45</v>
      </c>
      <c r="AD47" s="70">
        <f>[ID]</f>
        <v>45</v>
      </c>
      <c r="AE47" s="69" t="str">
        <f>[Name]</f>
        <v>type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50">
        <f>IF(OR(FormFields[[#This Row],[Option Type]]="",FormFields[[#This Row],[Option Type]]="type"),0,1)</f>
        <v>0</v>
      </c>
      <c r="AK47" s="50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50">
        <f>FormFields[[#This Row],[NO4]]</f>
        <v>11</v>
      </c>
      <c r="AN47" s="39">
        <f>[ID]</f>
        <v>45</v>
      </c>
      <c r="AO47" s="73"/>
      <c r="AP47" s="73"/>
      <c r="AQ47" s="73"/>
      <c r="AR47" s="73"/>
      <c r="AS47" s="73"/>
      <c r="AT47" s="50">
        <f>IF(OR(FormFields[[#This Row],[Colspan]]="",FormFields[[#This Row],[Colspan]]="colspan"),0,1)</f>
        <v>0</v>
      </c>
      <c r="AU47" s="50" t="str">
        <f>'Table Seed Map'!$A$18&amp;"-"&amp;SUM($AT$2:FormFields[[#This Row],[Exists FL]])</f>
        <v>Form Layout-25</v>
      </c>
      <c r="AV47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50">
        <f>[Form]</f>
        <v>9</v>
      </c>
      <c r="AY47" s="50">
        <f>[ID]</f>
        <v>45</v>
      </c>
      <c r="AZ47" s="75"/>
    </row>
    <row r="48" spans="13:52">
      <c r="M48" s="51" t="str">
        <f>'Table Seed Map'!$A$11&amp;"-"&amp;(COUNTA($Q$1:FormFields[[#This Row],[ID]])-2)</f>
        <v>Form Fields-46</v>
      </c>
      <c r="N48" s="53" t="s">
        <v>967</v>
      </c>
      <c r="O48" s="50">
        <f>IF(FormFields[[#This Row],[Form Name]]="","id",COUNTA($N$3:FormFields[[#This Row],[Form Name]])+IF(VLOOKUP('Table Seed Map'!$A$11,SeedMap[],9,0),VLOOKUP('Table Seed Map'!$A$11,SeedMap[],9,0),0))</f>
        <v>46</v>
      </c>
      <c r="P48" s="51" t="str">
        <f>FormFields[[#This Row],[Form Name]]&amp;"/"&amp;FormFields[[#This Row],[Name]]</f>
        <v>ResourceFormField/CreateFormField/label</v>
      </c>
      <c r="Q48" s="45">
        <f>FormFields[[#This Row],[No]]</f>
        <v>46</v>
      </c>
      <c r="R48" s="92">
        <f>VLOOKUP(FormFields[[#This Row],[Form Name]],ResourceForms[[FormName]:[No]],2,0)</f>
        <v>9</v>
      </c>
      <c r="S48" s="57" t="s">
        <v>230</v>
      </c>
      <c r="T48" s="57" t="s">
        <v>231</v>
      </c>
      <c r="U48" s="57" t="s">
        <v>244</v>
      </c>
      <c r="V48" s="67"/>
      <c r="W48" s="67"/>
      <c r="X48" s="67"/>
      <c r="Y48" s="67"/>
      <c r="Z48" s="68" t="str">
        <f>'Table Seed Map'!$A$12&amp;"-"&amp;(COUNTIF($AB$2:FormFields[[#This Row],[Exists]],1)-1)</f>
        <v>Field Data-46</v>
      </c>
      <c r="AA48" s="60">
        <f>COUNTIF($AB$2:FormFields[[#This Row],[Exists]],1)-1+VLOOKUP('Table Seed Map'!$A$11,SeedMap[],9,0)</f>
        <v>46</v>
      </c>
      <c r="AB48" s="69">
        <f>IF(AND(FormFields[[#This Row],[Attribute]]="",FormFields[[#This Row],[Relation]]=""),0,1)</f>
        <v>1</v>
      </c>
      <c r="AC48" s="69">
        <f>FormFields[[#This Row],[NO2]]</f>
        <v>46</v>
      </c>
      <c r="AD48" s="70">
        <f>[ID]</f>
        <v>46</v>
      </c>
      <c r="AE48" s="69" t="str">
        <f>[Name]</f>
        <v>label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50">
        <f>IF(OR(FormFields[[#This Row],[Option Type]]="",FormFields[[#This Row],[Option Type]]="type"),0,1)</f>
        <v>0</v>
      </c>
      <c r="AK48" s="50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50">
        <f>FormFields[[#This Row],[NO4]]</f>
        <v>11</v>
      </c>
      <c r="AN48" s="39">
        <f>[ID]</f>
        <v>46</v>
      </c>
      <c r="AO48" s="73"/>
      <c r="AP48" s="73"/>
      <c r="AQ48" s="73"/>
      <c r="AR48" s="73"/>
      <c r="AS48" s="73"/>
      <c r="AT48" s="50">
        <f>IF(OR(FormFields[[#This Row],[Colspan]]="",FormFields[[#This Row],[Colspan]]="colspan"),0,1)</f>
        <v>0</v>
      </c>
      <c r="AU48" s="50" t="str">
        <f>'Table Seed Map'!$A$18&amp;"-"&amp;SUM($AT$2:FormFields[[#This Row],[Exists FL]])</f>
        <v>Form Layout-25</v>
      </c>
      <c r="AV48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50">
        <f>[Form]</f>
        <v>9</v>
      </c>
      <c r="AY48" s="50">
        <f>[ID]</f>
        <v>46</v>
      </c>
      <c r="AZ48" s="75"/>
    </row>
    <row r="49" spans="13:52">
      <c r="M49" s="51" t="str">
        <f>'Table Seed Map'!$A$11&amp;"-"&amp;(COUNTA($Q$1:FormFields[[#This Row],[ID]])-2)</f>
        <v>Form Fields-47</v>
      </c>
      <c r="N49" s="53" t="s">
        <v>967</v>
      </c>
      <c r="O49" s="50">
        <f>IF(FormFields[[#This Row],[Form Name]]="","id",COUNTA($N$3:FormFields[[#This Row],[Form Name]])+IF(VLOOKUP('Table Seed Map'!$A$11,SeedMap[],9,0),VLOOKUP('Table Seed Map'!$A$11,SeedMap[],9,0),0))</f>
        <v>47</v>
      </c>
      <c r="P49" s="51" t="str">
        <f>FormFields[[#This Row],[Form Name]]&amp;"/"&amp;FormFields[[#This Row],[Name]]</f>
        <v>ResourceFormField/CreateFormField/relation</v>
      </c>
      <c r="Q49" s="45">
        <f>FormFields[[#This Row],[No]]</f>
        <v>47</v>
      </c>
      <c r="R49" s="92">
        <f>VLOOKUP(FormFields[[#This Row],[Form Name]],ResourceForms[[FormName]:[No]],2,0)</f>
        <v>9</v>
      </c>
      <c r="S49" s="57" t="s">
        <v>55</v>
      </c>
      <c r="T49" s="57" t="s">
        <v>234</v>
      </c>
      <c r="U49" s="57" t="s">
        <v>245</v>
      </c>
      <c r="V49" s="67" t="s">
        <v>969</v>
      </c>
      <c r="W49" s="67"/>
      <c r="X49" s="67"/>
      <c r="Y49" s="67"/>
      <c r="Z49" s="68" t="str">
        <f>'Table Seed Map'!$A$12&amp;"-"&amp;(COUNTIF($AB$2:FormFields[[#This Row],[Exists]],1)-1)</f>
        <v>Field Data-47</v>
      </c>
      <c r="AA49" s="60">
        <f>COUNTIF($AB$2:FormFields[[#This Row],[Exists]],1)-1+VLOOKUP('Table Seed Map'!$A$11,SeedMap[],9,0)</f>
        <v>47</v>
      </c>
      <c r="AB49" s="69">
        <f>IF(AND(FormFields[[#This Row],[Attribute]]="",FormFields[[#This Row],[Relation]]=""),0,1)</f>
        <v>1</v>
      </c>
      <c r="AC49" s="69">
        <f>FormFields[[#This Row],[NO2]]</f>
        <v>47</v>
      </c>
      <c r="AD49" s="70">
        <f>[ID]</f>
        <v>47</v>
      </c>
      <c r="AE49" s="69" t="str">
        <f>[Name]</f>
        <v>relation</v>
      </c>
      <c r="AF49" s="91">
        <f>IF(FormFields[[#This Row],[Rel]]="",IF(EXACT($AF48,FormFields[[#Headers],[Relation]]),"relation",""),VLOOKUP(FormFields[[#This Row],[Rel]],RelationTable[[Display]:[RELID]],2,0))</f>
        <v>21</v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50">
        <f>IF(OR(FormFields[[#This Row],[Option Type]]="",FormFields[[#This Row],[Option Type]]="type"),0,1)</f>
        <v>1</v>
      </c>
      <c r="AK49" s="50" t="str">
        <f>'Table Seed Map'!$A$13&amp;"-"&amp;COUNTIF($AJ$2:FormFields[[#This Row],[Exists FO]],1)</f>
        <v>Field Options-12</v>
      </c>
      <c r="AL49" s="46">
        <f>IF(FormFields[[#This Row],[Exists FO]]=0,$AL48,IF($AL48=0,IF(ISNUMBER(VLOOKUP('Table Seed Map'!$A$13,SeedMap[],9,0)),VLOOKUP('Table Seed Map'!$A$13,SeedMap[],9,0)+1,1),IFERROR($AL48+1,0)))</f>
        <v>12</v>
      </c>
      <c r="AM49" s="50">
        <f>FormFields[[#This Row],[NO4]]</f>
        <v>12</v>
      </c>
      <c r="AN49" s="39">
        <f>[ID]</f>
        <v>47</v>
      </c>
      <c r="AO49" s="73" t="s">
        <v>671</v>
      </c>
      <c r="AP49" s="73"/>
      <c r="AQ49" s="73" t="s">
        <v>21</v>
      </c>
      <c r="AR49" s="73" t="s">
        <v>26</v>
      </c>
      <c r="AS49" s="73" t="s">
        <v>672</v>
      </c>
      <c r="AT49" s="50">
        <f>IF(OR(FormFields[[#This Row],[Colspan]]="",FormFields[[#This Row],[Colspan]]="colspan"),0,1)</f>
        <v>0</v>
      </c>
      <c r="AU49" s="50" t="str">
        <f>'Table Seed Map'!$A$18&amp;"-"&amp;SUM($AT$2:FormFields[[#This Row],[Exists FL]])</f>
        <v>Form Layout-25</v>
      </c>
      <c r="AV49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50">
        <f>[Form]</f>
        <v>9</v>
      </c>
      <c r="AY49" s="50">
        <f>[ID]</f>
        <v>47</v>
      </c>
      <c r="AZ49" s="75"/>
    </row>
    <row r="50" spans="13:52">
      <c r="M50" s="51" t="str">
        <f>'Table Seed Map'!$A$11&amp;"-"&amp;(COUNTA($Q$1:FormFields[[#This Row],[ID]])-2)</f>
        <v>Form Fields-48</v>
      </c>
      <c r="N50" s="53" t="s">
        <v>967</v>
      </c>
      <c r="O50" s="50">
        <f>IF(FormFields[[#This Row],[Form Name]]="","id",COUNTA($N$3:FormFields[[#This Row],[Form Name]])+IF(VLOOKUP('Table Seed Map'!$A$11,SeedMap[],9,0),VLOOKUP('Table Seed Map'!$A$11,SeedMap[],9,0),0))</f>
        <v>48</v>
      </c>
      <c r="P50" s="51" t="str">
        <f>FormFields[[#This Row],[Form Name]]&amp;"/"&amp;FormFields[[#This Row],[Name]]</f>
        <v>ResourceFormField/CreateFormField/attribute</v>
      </c>
      <c r="Q50" s="45">
        <f>FormFields[[#This Row],[No]]</f>
        <v>48</v>
      </c>
      <c r="R50" s="92">
        <f>VLOOKUP(FormFields[[#This Row],[Form Name]],ResourceForms[[FormName]:[No]],2,0)</f>
        <v>9</v>
      </c>
      <c r="S50" s="57" t="s">
        <v>124</v>
      </c>
      <c r="T50" s="57" t="s">
        <v>231</v>
      </c>
      <c r="U50" s="57" t="s">
        <v>246</v>
      </c>
      <c r="V50" s="67" t="s">
        <v>969</v>
      </c>
      <c r="W50" s="67"/>
      <c r="X50" s="67"/>
      <c r="Y50" s="67"/>
      <c r="Z50" s="68" t="str">
        <f>'Table Seed Map'!$A$12&amp;"-"&amp;(COUNTIF($AB$2:FormFields[[#This Row],[Exists]],1)-1)</f>
        <v>Field Data-48</v>
      </c>
      <c r="AA50" s="60">
        <f>COUNTIF($AB$2:FormFields[[#This Row],[Exists]],1)-1+VLOOKUP('Table Seed Map'!$A$11,SeedMap[],9,0)</f>
        <v>48</v>
      </c>
      <c r="AB50" s="69">
        <f>IF(AND(FormFields[[#This Row],[Attribute]]="",FormFields[[#This Row],[Relation]]=""),0,1)</f>
        <v>1</v>
      </c>
      <c r="AC50" s="69">
        <f>FormFields[[#This Row],[NO2]]</f>
        <v>48</v>
      </c>
      <c r="AD50" s="70">
        <f>[ID]</f>
        <v>48</v>
      </c>
      <c r="AE50" s="69" t="str">
        <f>[Name]</f>
        <v>attribute</v>
      </c>
      <c r="AF50" s="91">
        <f>IF(FormFields[[#This Row],[Rel]]="",IF(EXACT($AF49,FormFields[[#Headers],[Relation]]),"relation",""),VLOOKUP(FormFields[[#This Row],[Rel]],RelationTable[[Display]:[RELID]],2,0))</f>
        <v>21</v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50">
        <f>IF(OR(FormFields[[#This Row],[Option Type]]="",FormFields[[#This Row],[Option Type]]="type"),0,1)</f>
        <v>0</v>
      </c>
      <c r="AK50" s="50" t="str">
        <f>'Table Seed Map'!$A$13&amp;"-"&amp;COUNTIF($AJ$2:FormFields[[#This Row],[Exists FO]],1)</f>
        <v>Field Options-12</v>
      </c>
      <c r="AL50" s="46">
        <f>IF(FormFields[[#This Row],[Exists FO]]=0,$AL49,IF($AL49=0,IF(ISNUMBER(VLOOKUP('Table Seed Map'!$A$13,SeedMap[],9,0)),VLOOKUP('Table Seed Map'!$A$13,SeedMap[],9,0)+1,1),IFERROR($AL49+1,0)))</f>
        <v>12</v>
      </c>
      <c r="AM50" s="50">
        <f>FormFields[[#This Row],[NO4]]</f>
        <v>12</v>
      </c>
      <c r="AN50" s="39">
        <f>[ID]</f>
        <v>48</v>
      </c>
      <c r="AO50" s="73"/>
      <c r="AP50" s="73"/>
      <c r="AQ50" s="73"/>
      <c r="AR50" s="73"/>
      <c r="AS50" s="73"/>
      <c r="AT50" s="50">
        <f>IF(OR(FormFields[[#This Row],[Colspan]]="",FormFields[[#This Row],[Colspan]]="colspan"),0,1)</f>
        <v>0</v>
      </c>
      <c r="AU50" s="50" t="str">
        <f>'Table Seed Map'!$A$18&amp;"-"&amp;SUM($AT$2:FormFields[[#This Row],[Exists FL]])</f>
        <v>Form Layout-25</v>
      </c>
      <c r="AV5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50">
        <f>[Form]</f>
        <v>9</v>
      </c>
      <c r="AY50" s="50">
        <f>[ID]</f>
        <v>48</v>
      </c>
      <c r="AZ50" s="75"/>
    </row>
    <row r="51" spans="13:52">
      <c r="M51" s="51" t="str">
        <f>'Table Seed Map'!$A$11&amp;"-"&amp;(COUNTA($Q$1:FormFields[[#This Row],[ID]])-2)</f>
        <v>Form Fields-49</v>
      </c>
      <c r="N51" s="53" t="s">
        <v>976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ResourceList/CreateListForm/resource</v>
      </c>
      <c r="Q51" s="45">
        <f>FormFields[[#This Row],[No]]</f>
        <v>49</v>
      </c>
      <c r="R51" s="92">
        <f>VLOOKUP(FormFields[[#This Row],[Form Name]],ResourceForms[[FormName]:[No]],2,0)</f>
        <v>10</v>
      </c>
      <c r="S51" s="57" t="s">
        <v>23</v>
      </c>
      <c r="T51" s="57" t="s">
        <v>234</v>
      </c>
      <c r="U51" s="57" t="s">
        <v>949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COUNTIF($AB$2:FormFields[[#This Row],[Exists]],1)-1+VLOOKUP('Table Seed Map'!$A$11,SeedMap[],9,0)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1</v>
      </c>
      <c r="AK51" s="50" t="str">
        <f>'Table Seed Map'!$A$13&amp;"-"&amp;COUNTIF($AJ$2:FormFields[[#This Row],[Exists FO]],1)</f>
        <v>Field Options-13</v>
      </c>
      <c r="AL51" s="46">
        <f>IF(FormFields[[#This Row],[Exists FO]]=0,$AL50,IF($AL50=0,IF(ISNUMBER(VLOOKUP('Table Seed Map'!$A$13,SeedMap[],9,0)),VLOOKUP('Table Seed Map'!$A$13,SeedMap[],9,0)+1,1),IFERROR($AL50+1,0)))</f>
        <v>13</v>
      </c>
      <c r="AM51" s="50">
        <f>FormFields[[#This Row],[NO4]]</f>
        <v>13</v>
      </c>
      <c r="AN51" s="39">
        <f>[ID]</f>
        <v>49</v>
      </c>
      <c r="AO51" s="73" t="s">
        <v>671</v>
      </c>
      <c r="AP51" s="73"/>
      <c r="AQ51" s="73" t="s">
        <v>21</v>
      </c>
      <c r="AR51" s="73" t="s">
        <v>26</v>
      </c>
      <c r="AS51" s="73" t="s">
        <v>672</v>
      </c>
      <c r="AT51" s="50">
        <f>IF(OR(FormFields[[#This Row],[Colspan]]="",FormFields[[#This Row],[Colspan]]="colspan"),0,1)</f>
        <v>1</v>
      </c>
      <c r="AU51" s="50" t="str">
        <f>'Table Seed Map'!$A$18&amp;"-"&amp;SUM($AT$2:FormFields[[#This Row],[Exists FL]])</f>
        <v>Form Layout-26</v>
      </c>
      <c r="AV51" s="50">
        <f>IF(FormFields[[#This Row],[Exists FL]]=0,IF(FormFields[[#This Row],[Form Name]]="","id",""),SUM($AT$3:FormFields[[#This Row],[Exists FL]],IF(VLOOKUP('Table Seed Map'!$A$18,SeedMap[],9,0),VLOOKUP('Table Seed Map'!$A$18,SeedMap[],9,0),0)))</f>
        <v>26</v>
      </c>
      <c r="AW51" s="45">
        <f>FormFields[[#This Row],[NO8]]</f>
        <v>26</v>
      </c>
      <c r="AX51" s="50">
        <f>[Form]</f>
        <v>10</v>
      </c>
      <c r="AY51" s="50">
        <f>[ID]</f>
        <v>49</v>
      </c>
      <c r="AZ51" s="75">
        <v>12</v>
      </c>
    </row>
    <row r="52" spans="13:52">
      <c r="M52" s="51" t="str">
        <f>'Table Seed Map'!$A$11&amp;"-"&amp;(COUNTA($Q$1:FormFields[[#This Row],[ID]])-2)</f>
        <v>Form Fields-50</v>
      </c>
      <c r="N52" s="53" t="s">
        <v>976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ResourceList/CreateListForm/name</v>
      </c>
      <c r="Q52" s="45">
        <f>FormFields[[#This Row],[No]]</f>
        <v>50</v>
      </c>
      <c r="R52" s="92">
        <f>VLOOKUP(FormFields[[#This Row],[Form Name]],ResourceForms[[FormName]:[No]],2,0)</f>
        <v>10</v>
      </c>
      <c r="S52" s="57" t="s">
        <v>26</v>
      </c>
      <c r="T52" s="57" t="s">
        <v>231</v>
      </c>
      <c r="U52" s="57" t="s">
        <v>879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COUNTIF($AB$2:FormFields[[#This Row],[Exists]],1)-1+VLOOKUP('Table Seed Map'!$A$11,SeedMap[],9,0)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Options-13</v>
      </c>
      <c r="AL52" s="46">
        <f>IF(FormFields[[#This Row],[Exists FO]]=0,$AL51,IF($AL51=0,IF(ISNUMBER(VLOOKUP('Table Seed Map'!$A$13,SeedMap[],9,0)),VLOOKUP('Table Seed Map'!$A$13,SeedMap[],9,0)+1,1),IFERROR($AL51+1,0)))</f>
        <v>13</v>
      </c>
      <c r="AM52" s="50">
        <f>FormFields[[#This Row],[NO4]]</f>
        <v>13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1</v>
      </c>
      <c r="AU52" s="50" t="str">
        <f>'Table Seed Map'!$A$18&amp;"-"&amp;SUM($AT$2:FormFields[[#This Row],[Exists FL]])</f>
        <v>Form Layout-27</v>
      </c>
      <c r="AV52" s="50">
        <f>IF(FormFields[[#This Row],[Exists FL]]=0,IF(FormFields[[#This Row],[Form Name]]="","id",""),SUM($AT$3:FormFields[[#This Row],[Exists FL]],IF(VLOOKUP('Table Seed Map'!$A$18,SeedMap[],9,0),VLOOKUP('Table Seed Map'!$A$18,SeedMap[],9,0),0)))</f>
        <v>27</v>
      </c>
      <c r="AW52" s="45">
        <f>FormFields[[#This Row],[NO8]]</f>
        <v>27</v>
      </c>
      <c r="AX52" s="50">
        <f>[Form]</f>
        <v>10</v>
      </c>
      <c r="AY52" s="50">
        <f>[ID]</f>
        <v>50</v>
      </c>
      <c r="AZ52" s="75">
        <v>3</v>
      </c>
    </row>
    <row r="53" spans="13:52">
      <c r="M53" s="51" t="str">
        <f>'Table Seed Map'!$A$11&amp;"-"&amp;(COUNTA($Q$1:FormFields[[#This Row],[ID]])-2)</f>
        <v>Form Fields-51</v>
      </c>
      <c r="N53" s="53" t="s">
        <v>976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ResourceList/CreateListForm/title</v>
      </c>
      <c r="Q53" s="45">
        <f>FormFields[[#This Row],[No]]</f>
        <v>51</v>
      </c>
      <c r="R53" s="92">
        <f>VLOOKUP(FormFields[[#This Row],[Form Name]],ResourceForms[[FormName]:[No]],2,0)</f>
        <v>10</v>
      </c>
      <c r="S53" s="57" t="s">
        <v>30</v>
      </c>
      <c r="T53" s="57" t="s">
        <v>231</v>
      </c>
      <c r="U53" s="57" t="s">
        <v>236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COUNTIF($AB$2:FormFields[[#This Row],[Exists]],1)-1+VLOOKUP('Table Seed Map'!$A$11,SeedMap[],9,0)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title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Options-13</v>
      </c>
      <c r="AL53" s="46">
        <f>IF(FormFields[[#This Row],[Exists FO]]=0,$AL52,IF($AL52=0,IF(ISNUMBER(VLOOKUP('Table Seed Map'!$A$13,SeedMap[],9,0)),VLOOKUP('Table Seed Map'!$A$13,SeedMap[],9,0)+1,1),IFERROR($AL52+1,0)))</f>
        <v>13</v>
      </c>
      <c r="AM53" s="50">
        <f>FormFields[[#This Row],[NO4]]</f>
        <v>13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1</v>
      </c>
      <c r="AU53" s="50" t="str">
        <f>'Table Seed Map'!$A$18&amp;"-"&amp;SUM($AT$2:FormFields[[#This Row],[Exists FL]])</f>
        <v>Form Layout-28</v>
      </c>
      <c r="AV53" s="50">
        <f>IF(FormFields[[#This Row],[Exists FL]]=0,IF(FormFields[[#This Row],[Form Name]]="","id",""),SUM($AT$3:FormFields[[#This Row],[Exists FL]],IF(VLOOKUP('Table Seed Map'!$A$18,SeedMap[],9,0),VLOOKUP('Table Seed Map'!$A$18,SeedMap[],9,0),0)))</f>
        <v>28</v>
      </c>
      <c r="AW53" s="45">
        <f>FormFields[[#This Row],[NO8]]</f>
        <v>28</v>
      </c>
      <c r="AX53" s="50">
        <f>[Form]</f>
        <v>10</v>
      </c>
      <c r="AY53" s="50">
        <f>[ID]</f>
        <v>51</v>
      </c>
      <c r="AZ53" s="75">
        <v>3</v>
      </c>
    </row>
    <row r="54" spans="13:52">
      <c r="M54" s="51" t="str">
        <f>'Table Seed Map'!$A$11&amp;"-"&amp;(COUNTA($Q$1:FormFields[[#This Row],[ID]])-2)</f>
        <v>Form Fields-52</v>
      </c>
      <c r="N54" s="53" t="s">
        <v>976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ResourceList/CreateListForm/identity</v>
      </c>
      <c r="Q54" s="95">
        <f>FormFields[[#This Row],[No]]</f>
        <v>52</v>
      </c>
      <c r="R54" s="92">
        <f>VLOOKUP(FormFields[[#This Row],[Form Name]],ResourceForms[[FormName]:[No]],2,0)</f>
        <v>10</v>
      </c>
      <c r="S54" s="57" t="s">
        <v>1496</v>
      </c>
      <c r="T54" s="57" t="s">
        <v>231</v>
      </c>
      <c r="U54" s="57" t="s">
        <v>1497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99">
        <f>COUNTIF($AB$2:FormFields[[#This Row],[Exists]],1)-1+VLOOKUP('Table Seed Map'!$A$11,SeedMap[],9,0)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identity</v>
      </c>
      <c r="AF54" s="93" t="str">
        <f>IF(FormFields[[#This Row],[Rel]]="",IF(EXACT($AF53,FormFields[[#Headers],[Relation]]),"relation",""),VLOOKUP(FormFields[[#This Row],[Rel]],RelationTable[[Display]:[RELID]],2,0))</f>
        <v/>
      </c>
      <c r="AG54" s="115" t="str">
        <f>IF(FormFields[[#This Row],[Rel1]]="",IF(EXACT($AG53,FormFields[[#Headers],[R1]]),"nest_relation1",""),VLOOKUP(FormFields[[#This Row],[Rel1]],RelationTable[[Display]:[RELID]],2,0))</f>
        <v/>
      </c>
      <c r="AH54" s="93" t="str">
        <f>IF(FormFields[[#This Row],[Rel2]]="",IF(EXACT($AH53,FormFields[[#Headers],[R2]]),"nest_relation2",""),VLOOKUP(FormFields[[#This Row],[Rel2]],RelationTable[[Display]:[RELID]],2,0))</f>
        <v/>
      </c>
      <c r="AI54" s="93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Options-13</v>
      </c>
      <c r="AL54" s="50">
        <f>IF(FormFields[[#This Row],[Exists FO]]=0,$AL53,IF($AL53=0,IF(ISNUMBER(VLOOKUP('Table Seed Map'!$A$13,SeedMap[],9,0)),VLOOKUP('Table Seed Map'!$A$13,SeedMap[],9,0)+1,1),IFERROR($AL53+1,0)))</f>
        <v>13</v>
      </c>
      <c r="AM54" s="50">
        <f>FormFields[[#This Row],[NO4]]</f>
        <v>13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1</v>
      </c>
      <c r="AU54" s="50" t="str">
        <f>'Table Seed Map'!$A$18&amp;"-"&amp;SUM($AT$2:FormFields[[#This Row],[Exists FL]])</f>
        <v>Form Layout-29</v>
      </c>
      <c r="AV54" s="50">
        <f>IF(FormFields[[#This Row],[Exists FL]]=0,IF(FormFields[[#This Row],[Form Name]]="","id",""),SUM($AT$3:FormFields[[#This Row],[Exists FL]],IF(VLOOKUP('Table Seed Map'!$A$18,SeedMap[],9,0),VLOOKUP('Table Seed Map'!$A$18,SeedMap[],9,0),0)))</f>
        <v>29</v>
      </c>
      <c r="AW54" s="95">
        <f>FormFields[[#This Row],[NO8]]</f>
        <v>29</v>
      </c>
      <c r="AX54" s="50">
        <f>[Form]</f>
        <v>10</v>
      </c>
      <c r="AY54" s="50">
        <f>[ID]</f>
        <v>52</v>
      </c>
      <c r="AZ54" s="75">
        <v>3</v>
      </c>
    </row>
    <row r="55" spans="13:52">
      <c r="M55" s="51" t="str">
        <f>'Table Seed Map'!$A$11&amp;"-"&amp;(COUNTA($Q$1:FormFields[[#This Row],[ID]])-2)</f>
        <v>Form Fields-53</v>
      </c>
      <c r="N55" s="53" t="s">
        <v>976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ResourceList/CreateListForm/items_per_page</v>
      </c>
      <c r="Q55" s="45">
        <f>FormFields[[#This Row],[No]]</f>
        <v>53</v>
      </c>
      <c r="R55" s="92">
        <f>VLOOKUP(FormFields[[#This Row],[Form Name]],ResourceForms[[FormName]:[No]],2,0)</f>
        <v>10</v>
      </c>
      <c r="S55" s="57" t="s">
        <v>61</v>
      </c>
      <c r="T55" s="57" t="s">
        <v>231</v>
      </c>
      <c r="U55" s="57" t="s">
        <v>977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COUNTIF($AB$2:FormFields[[#This Row],[Exists]],1)-1+VLOOKUP('Table Seed Map'!$A$11,SeedMap[],9,0)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items_per_page</v>
      </c>
      <c r="AF55" s="91" t="str">
        <f>IF(FormFields[[#This Row],[Rel]]="",IF(EXACT($AF53,FormFields[[#Headers],[Relation]]),"relation",""),VLOOKUP(FormFields[[#This Row],[Rel]],RelationTable[[Display]:[RELID]],2,0))</f>
        <v/>
      </c>
      <c r="AG55" s="90" t="str">
        <f>IF(FormFields[[#This Row],[Rel1]]="",IF(EXACT($AG53,FormFields[[#Headers],[R1]]),"nest_relation1",""),VLOOKUP(FormFields[[#This Row],[Rel1]],RelationTable[[Display]:[RELID]],2,0))</f>
        <v/>
      </c>
      <c r="AH55" s="91" t="str">
        <f>IF(FormFields[[#This Row],[Rel2]]="",IF(EXACT($AH53,FormFields[[#Headers],[R2]]),"nest_relation2",""),VLOOKUP(FormFields[[#This Row],[Rel2]],RelationTable[[Display]:[RELID]],2,0))</f>
        <v/>
      </c>
      <c r="AI55" s="91" t="str">
        <f>IF(FormFields[[#This Row],[Rel3]]="",IF(EXACT($AI53,FormFields[[#Headers],[R3]]),"nest_relation3",""),VLOOKUP(FormFields[[#This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0</v>
      </c>
      <c r="AK55" s="50" t="str">
        <f>'Table Seed Map'!$A$13&amp;"-"&amp;COUNTIF($AJ$2:FormFields[[#This Row],[Exists FO]],1)</f>
        <v>Field Options-13</v>
      </c>
      <c r="AL55" s="46">
        <f>IF(FormFields[[#This Row],[Exists FO]]=0,$AL53,IF($AL53=0,IF(ISNUMBER(VLOOKUP('Table Seed Map'!$A$13,SeedMap[],9,0)),VLOOKUP('Table Seed Map'!$A$13,SeedMap[],9,0)+1,1),IFERROR($AL53+1,0)))</f>
        <v>13</v>
      </c>
      <c r="AM55" s="50">
        <f>FormFields[[#This Row],[NO4]]</f>
        <v>13</v>
      </c>
      <c r="AN55" s="39">
        <f>[ID]</f>
        <v>53</v>
      </c>
      <c r="AO55" s="73"/>
      <c r="AP55" s="73"/>
      <c r="AQ55" s="73"/>
      <c r="AR55" s="73"/>
      <c r="AS55" s="73"/>
      <c r="AT55" s="50">
        <f>IF(OR(FormFields[[#This Row],[Colspan]]="",FormFields[[#This Row],[Colspan]]="colspan"),0,1)</f>
        <v>1</v>
      </c>
      <c r="AU55" s="50" t="str">
        <f>'Table Seed Map'!$A$18&amp;"-"&amp;SUM($AT$2:FormFields[[#This Row],[Exists FL]])</f>
        <v>Form Layout-30</v>
      </c>
      <c r="AV55" s="50">
        <f>IF(FormFields[[#This Row],[Exists FL]]=0,IF(FormFields[[#This Row],[Form Name]]="","id",""),SUM($AT$3:FormFields[[#This Row],[Exists FL]],IF(VLOOKUP('Table Seed Map'!$A$18,SeedMap[],9,0),VLOOKUP('Table Seed Map'!$A$18,SeedMap[],9,0),0)))</f>
        <v>30</v>
      </c>
      <c r="AW55" s="45">
        <f>FormFields[[#This Row],[NO8]]</f>
        <v>30</v>
      </c>
      <c r="AX55" s="50">
        <f>[Form]</f>
        <v>10</v>
      </c>
      <c r="AY55" s="50">
        <f>[ID]</f>
        <v>53</v>
      </c>
      <c r="AZ55" s="75">
        <v>3</v>
      </c>
    </row>
    <row r="56" spans="13:52">
      <c r="M56" s="51" t="str">
        <f>'Table Seed Map'!$A$11&amp;"-"&amp;(COUNTA($Q$1:FormFields[[#This Row],[ID]])-2)</f>
        <v>Form Fields-54</v>
      </c>
      <c r="N56" s="53" t="s">
        <v>976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ResourceList/CreateListForm/description</v>
      </c>
      <c r="Q56" s="45">
        <f>FormFields[[#This Row],[No]]</f>
        <v>54</v>
      </c>
      <c r="R56" s="92">
        <f>VLOOKUP(FormFields[[#This Row],[Form Name]],ResourceForms[[FormName]:[No]],2,0)</f>
        <v>10</v>
      </c>
      <c r="S56" s="57" t="s">
        <v>28</v>
      </c>
      <c r="T56" s="57" t="s">
        <v>930</v>
      </c>
      <c r="U56" s="57" t="s">
        <v>242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COUNTIF($AB$2:FormFields[[#This Row],[Exists]],1)-1+VLOOKUP('Table Seed Map'!$A$11,SeedMap[],9,0)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description</v>
      </c>
      <c r="AF56" s="91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Options-13</v>
      </c>
      <c r="AL56" s="46">
        <f>IF(FormFields[[#This Row],[Exists FO]]=0,$AL55,IF($AL55=0,IF(ISNUMBER(VLOOKUP('Table Seed Map'!$A$13,SeedMap[],9,0)),VLOOKUP('Table Seed Map'!$A$13,SeedMap[],9,0)+1,1),IFERROR($AL55+1,0)))</f>
        <v>13</v>
      </c>
      <c r="AM56" s="50">
        <f>FormFields[[#This Row],[NO4]]</f>
        <v>13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1</v>
      </c>
      <c r="AU56" s="50" t="str">
        <f>'Table Seed Map'!$A$18&amp;"-"&amp;SUM($AT$2:FormFields[[#This Row],[Exists FL]])</f>
        <v>Form Layout-31</v>
      </c>
      <c r="AV56" s="50">
        <f>IF(FormFields[[#This Row],[Exists FL]]=0,IF(FormFields[[#This Row],[Form Name]]="","id",""),SUM($AT$3:FormFields[[#This Row],[Exists FL]],IF(VLOOKUP('Table Seed Map'!$A$18,SeedMap[],9,0),VLOOKUP('Table Seed Map'!$A$18,SeedMap[],9,0),0)))</f>
        <v>31</v>
      </c>
      <c r="AW56" s="45">
        <f>FormFields[[#This Row],[NO8]]</f>
        <v>31</v>
      </c>
      <c r="AX56" s="50">
        <f>[Form]</f>
        <v>10</v>
      </c>
      <c r="AY56" s="50">
        <f>[ID]</f>
        <v>54</v>
      </c>
      <c r="AZ56" s="75">
        <v>12</v>
      </c>
    </row>
    <row r="57" spans="13:52">
      <c r="M57" s="51" t="str">
        <f>'Table Seed Map'!$A$11&amp;"-"&amp;(COUNTA($Q$1:FormFields[[#This Row],[ID]])-2)</f>
        <v>Form Fields-55</v>
      </c>
      <c r="N57" s="53" t="s">
        <v>982</v>
      </c>
      <c r="O57" s="50">
        <f>IF(FormFields[[#This Row],[Form Name]]="","id",COUNTA($N$3:FormFields[[#This Row],[Form Name]])+IF(VLOOKUP('Table Seed Map'!$A$11,SeedMap[],9,0),VLOOKUP('Table Seed Map'!$A$11,SeedMap[],9,0),0))</f>
        <v>55</v>
      </c>
      <c r="P57" s="51" t="str">
        <f>FormFields[[#This Row],[Form Name]]&amp;"/"&amp;FormFields[[#This Row],[Name]]</f>
        <v>ResourceList/AddResourceList/resource</v>
      </c>
      <c r="Q57" s="45">
        <f>FormFields[[#This Row],[No]]</f>
        <v>55</v>
      </c>
      <c r="R57" s="92">
        <f>VLOOKUP(FormFields[[#This Row],[Form Name]],ResourceForms[[FormName]:[No]],2,0)</f>
        <v>11</v>
      </c>
      <c r="S57" s="57" t="s">
        <v>23</v>
      </c>
      <c r="T57" s="57" t="s">
        <v>231</v>
      </c>
      <c r="U57" s="57" t="s">
        <v>204</v>
      </c>
      <c r="V57" s="67"/>
      <c r="W57" s="67"/>
      <c r="X57" s="67"/>
      <c r="Y57" s="67"/>
      <c r="Z57" s="68" t="str">
        <f>'Table Seed Map'!$A$12&amp;"-"&amp;(COUNTIF($AB$2:FormFields[[#This Row],[Exists]],1)-1)</f>
        <v>Field Data-55</v>
      </c>
      <c r="AA57" s="60">
        <f>COUNTIF($AB$2:FormFields[[#This Row],[Exists]],1)-1+VLOOKUP('Table Seed Map'!$A$11,SeedMap[],9,0)</f>
        <v>55</v>
      </c>
      <c r="AB57" s="69">
        <f>IF(AND(FormFields[[#This Row],[Attribute]]="",FormFields[[#This Row],[Relation]]=""),0,1)</f>
        <v>1</v>
      </c>
      <c r="AC57" s="69">
        <f>FormFields[[#This Row],[NO2]]</f>
        <v>55</v>
      </c>
      <c r="AD57" s="70">
        <f>[ID]</f>
        <v>55</v>
      </c>
      <c r="AE57" s="69" t="str">
        <f>[Name]</f>
        <v>resource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50">
        <f>IF(OR(FormFields[[#This Row],[Option Type]]="",FormFields[[#This Row],[Option Type]]="type"),0,1)</f>
        <v>0</v>
      </c>
      <c r="AK57" s="50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50">
        <f>FormFields[[#This Row],[NO4]]</f>
        <v>13</v>
      </c>
      <c r="AN57" s="39">
        <f>[ID]</f>
        <v>55</v>
      </c>
      <c r="AO57" s="73"/>
      <c r="AP57" s="73"/>
      <c r="AQ57" s="73"/>
      <c r="AR57" s="73"/>
      <c r="AS57" s="73"/>
      <c r="AT57" s="50">
        <f>IF(OR(FormFields[[#This Row],[Colspan]]="",FormFields[[#This Row],[Colspan]]="colspan"),0,1)</f>
        <v>1</v>
      </c>
      <c r="AU57" s="50" t="str">
        <f>'Table Seed Map'!$A$18&amp;"-"&amp;SUM($AT$2:FormFields[[#This Row],[Exists FL]])</f>
        <v>Form Layout-32</v>
      </c>
      <c r="AV57" s="50">
        <f>IF(FormFields[[#This Row],[Exists FL]]=0,IF(FormFields[[#This Row],[Form Name]]="","id",""),SUM($AT$3:FormFields[[#This Row],[Exists FL]],IF(VLOOKUP('Table Seed Map'!$A$18,SeedMap[],9,0),VLOOKUP('Table Seed Map'!$A$18,SeedMap[],9,0),0)))</f>
        <v>32</v>
      </c>
      <c r="AW57" s="45">
        <f>FormFields[[#This Row],[NO8]]</f>
        <v>32</v>
      </c>
      <c r="AX57" s="50">
        <f>[Form]</f>
        <v>11</v>
      </c>
      <c r="AY57" s="50">
        <f>[ID]</f>
        <v>55</v>
      </c>
      <c r="AZ57" s="75">
        <v>12</v>
      </c>
    </row>
    <row r="58" spans="13:52">
      <c r="M58" s="94" t="str">
        <f>'Table Seed Map'!$A$11&amp;"-"&amp;(COUNTA($Q$1:FormFields[[#This Row],[ID]])-2)</f>
        <v>Form Fields-56</v>
      </c>
      <c r="N58" s="53" t="s">
        <v>982</v>
      </c>
      <c r="O58" s="95">
        <f>IF(FormFields[[#This Row],[Form Name]]="","id",COUNTA($N$3:FormFields[[#This Row],[Form Name]])+IF(VLOOKUP('Table Seed Map'!$A$11,SeedMap[],9,0),VLOOKUP('Table Seed Map'!$A$11,SeedMap[],9,0),0))</f>
        <v>56</v>
      </c>
      <c r="P58" s="94" t="str">
        <f>FormFields[[#This Row],[Form Name]]&amp;"/"&amp;FormFields[[#This Row],[Name]]</f>
        <v>ResourceList/AddResourceList/name</v>
      </c>
      <c r="Q58" s="45">
        <f>FormFields[[#This Row],[No]]</f>
        <v>56</v>
      </c>
      <c r="R58" s="96">
        <f>VLOOKUP(FormFields[[#This Row],[Form Name]],ResourceForms[[FormName]:[No]],2,0)</f>
        <v>11</v>
      </c>
      <c r="S58" s="57" t="s">
        <v>26</v>
      </c>
      <c r="T58" s="57" t="s">
        <v>231</v>
      </c>
      <c r="U58" s="57" t="s">
        <v>879</v>
      </c>
      <c r="V58" s="97"/>
      <c r="W58" s="97"/>
      <c r="X58" s="97"/>
      <c r="Y58" s="97"/>
      <c r="Z58" s="98" t="str">
        <f>'Table Seed Map'!$A$12&amp;"-"&amp;(COUNTIF($AB$2:FormFields[[#This Row],[Exists]],1)-1)</f>
        <v>Field Data-56</v>
      </c>
      <c r="AA58" s="60">
        <f>COUNTIF($AB$2:FormFields[[#This Row],[Exists]],1)-1+VLOOKUP('Table Seed Map'!$A$11,SeedMap[],9,0)</f>
        <v>56</v>
      </c>
      <c r="AB58" s="99">
        <f>IF(AND(FormFields[[#This Row],[Attribute]]="",FormFields[[#This Row],[Relation]]=""),0,1)</f>
        <v>1</v>
      </c>
      <c r="AC58" s="99">
        <f>FormFields[[#This Row],[NO2]]</f>
        <v>56</v>
      </c>
      <c r="AD58" s="100">
        <f>[ID]</f>
        <v>56</v>
      </c>
      <c r="AE58" s="99" t="str">
        <f>[Name]</f>
        <v>name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95">
        <f>IF(OR(FormFields[[#This Row],[Option Type]]="",FormFields[[#This Row],[Option Type]]="type"),0,1)</f>
        <v>0</v>
      </c>
      <c r="AK58" s="95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95">
        <f>FormFields[[#This Row],[NO4]]</f>
        <v>13</v>
      </c>
      <c r="AN58" s="101">
        <f>[ID]</f>
        <v>56</v>
      </c>
      <c r="AO58" s="102"/>
      <c r="AP58" s="102"/>
      <c r="AQ58" s="102"/>
      <c r="AR58" s="102"/>
      <c r="AS58" s="102"/>
      <c r="AT58" s="95">
        <f>IF(OR(FormFields[[#This Row],[Colspan]]="",FormFields[[#This Row],[Colspan]]="colspan"),0,1)</f>
        <v>1</v>
      </c>
      <c r="AU58" s="95" t="str">
        <f>'Table Seed Map'!$A$18&amp;"-"&amp;SUM($AT$2:FormFields[[#This Row],[Exists FL]])</f>
        <v>Form Layout-33</v>
      </c>
      <c r="AV58" s="95">
        <f>IF(FormFields[[#This Row],[Exists FL]]=0,IF(FormFields[[#This Row],[Form Name]]="","id",""),SUM($AT$3:FormFields[[#This Row],[Exists FL]],IF(VLOOKUP('Table Seed Map'!$A$18,SeedMap[],9,0),VLOOKUP('Table Seed Map'!$A$18,SeedMap[],9,0),0)))</f>
        <v>33</v>
      </c>
      <c r="AW58" s="45">
        <f>FormFields[[#This Row],[NO8]]</f>
        <v>33</v>
      </c>
      <c r="AX58" s="95">
        <f>[Form]</f>
        <v>11</v>
      </c>
      <c r="AY58" s="95">
        <f>[ID]</f>
        <v>56</v>
      </c>
      <c r="AZ58" s="103">
        <v>6</v>
      </c>
    </row>
    <row r="59" spans="13:52">
      <c r="M59" s="94" t="str">
        <f>'Table Seed Map'!$A$11&amp;"-"&amp;(COUNTA($Q$1:FormFields[[#This Row],[ID]])-2)</f>
        <v>Form Fields-57</v>
      </c>
      <c r="N59" s="53" t="s">
        <v>982</v>
      </c>
      <c r="O59" s="95">
        <f>IF(FormFields[[#This Row],[Form Name]]="","id",COUNTA($N$3:FormFields[[#This Row],[Form Name]])+IF(VLOOKUP('Table Seed Map'!$A$11,SeedMap[],9,0),VLOOKUP('Table Seed Map'!$A$11,SeedMap[],9,0),0))</f>
        <v>57</v>
      </c>
      <c r="P59" s="94" t="str">
        <f>FormFields[[#This Row],[Form Name]]&amp;"/"&amp;FormFields[[#This Row],[Name]]</f>
        <v>ResourceList/AddResourceList/title</v>
      </c>
      <c r="Q59" s="45">
        <f>FormFields[[#This Row],[No]]</f>
        <v>57</v>
      </c>
      <c r="R59" s="96">
        <f>VLOOKUP(FormFields[[#This Row],[Form Name]],ResourceForms[[FormName]:[No]],2,0)</f>
        <v>11</v>
      </c>
      <c r="S59" s="57" t="s">
        <v>30</v>
      </c>
      <c r="T59" s="57" t="s">
        <v>231</v>
      </c>
      <c r="U59" s="57" t="s">
        <v>236</v>
      </c>
      <c r="V59" s="97"/>
      <c r="W59" s="97"/>
      <c r="X59" s="97"/>
      <c r="Y59" s="97"/>
      <c r="Z59" s="98" t="str">
        <f>'Table Seed Map'!$A$12&amp;"-"&amp;(COUNTIF($AB$2:FormFields[[#This Row],[Exists]],1)-1)</f>
        <v>Field Data-57</v>
      </c>
      <c r="AA59" s="60">
        <f>COUNTIF($AB$2:FormFields[[#This Row],[Exists]],1)-1+VLOOKUP('Table Seed Map'!$A$11,SeedMap[],9,0)</f>
        <v>57</v>
      </c>
      <c r="AB59" s="99">
        <f>IF(AND(FormFields[[#This Row],[Attribute]]="",FormFields[[#This Row],[Relation]]=""),0,1)</f>
        <v>1</v>
      </c>
      <c r="AC59" s="99">
        <f>FormFields[[#This Row],[NO2]]</f>
        <v>57</v>
      </c>
      <c r="AD59" s="100">
        <f>[ID]</f>
        <v>57</v>
      </c>
      <c r="AE59" s="99" t="str">
        <f>[Name]</f>
        <v>title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95">
        <f>IF(OR(FormFields[[#This Row],[Option Type]]="",FormFields[[#This Row],[Option Type]]="type"),0,1)</f>
        <v>0</v>
      </c>
      <c r="AK59" s="95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95">
        <f>FormFields[[#This Row],[NO4]]</f>
        <v>13</v>
      </c>
      <c r="AN59" s="101">
        <f>[ID]</f>
        <v>57</v>
      </c>
      <c r="AO59" s="102"/>
      <c r="AP59" s="102"/>
      <c r="AQ59" s="102"/>
      <c r="AR59" s="102"/>
      <c r="AS59" s="102"/>
      <c r="AT59" s="95">
        <f>IF(OR(FormFields[[#This Row],[Colspan]]="",FormFields[[#This Row],[Colspan]]="colspan"),0,1)</f>
        <v>1</v>
      </c>
      <c r="AU59" s="95" t="str">
        <f>'Table Seed Map'!$A$18&amp;"-"&amp;SUM($AT$2:FormFields[[#This Row],[Exists FL]])</f>
        <v>Form Layout-34</v>
      </c>
      <c r="AV59" s="95">
        <f>IF(FormFields[[#This Row],[Exists FL]]=0,IF(FormFields[[#This Row],[Form Name]]="","id",""),SUM($AT$3:FormFields[[#This Row],[Exists FL]],IF(VLOOKUP('Table Seed Map'!$A$18,SeedMap[],9,0),VLOOKUP('Table Seed Map'!$A$18,SeedMap[],9,0),0)))</f>
        <v>34</v>
      </c>
      <c r="AW59" s="45">
        <f>FormFields[[#This Row],[NO8]]</f>
        <v>34</v>
      </c>
      <c r="AX59" s="95">
        <f>[Form]</f>
        <v>11</v>
      </c>
      <c r="AY59" s="95">
        <f>[ID]</f>
        <v>57</v>
      </c>
      <c r="AZ59" s="103">
        <v>6</v>
      </c>
    </row>
    <row r="60" spans="13:52">
      <c r="M60" s="94" t="str">
        <f>'Table Seed Map'!$A$11&amp;"-"&amp;(COUNTA($Q$1:FormFields[[#This Row],[ID]])-2)</f>
        <v>Form Fields-58</v>
      </c>
      <c r="N60" s="53" t="s">
        <v>982</v>
      </c>
      <c r="O60" s="95">
        <f>IF(FormFields[[#This Row],[Form Name]]="","id",COUNTA($N$3:FormFields[[#This Row],[Form Name]])+IF(VLOOKUP('Table Seed Map'!$A$11,SeedMap[],9,0),VLOOKUP('Table Seed Map'!$A$11,SeedMap[],9,0),0))</f>
        <v>58</v>
      </c>
      <c r="P60" s="94" t="str">
        <f>FormFields[[#This Row],[Form Name]]&amp;"/"&amp;FormFields[[#This Row],[Name]]</f>
        <v>ResourceList/AddResourceList/identity</v>
      </c>
      <c r="Q60" s="95">
        <f>FormFields[[#This Row],[No]]</f>
        <v>58</v>
      </c>
      <c r="R60" s="96">
        <f>VLOOKUP(FormFields[[#This Row],[Form Name]],ResourceForms[[FormName]:[No]],2,0)</f>
        <v>11</v>
      </c>
      <c r="S60" s="57" t="s">
        <v>1496</v>
      </c>
      <c r="T60" s="57" t="s">
        <v>231</v>
      </c>
      <c r="U60" s="57" t="s">
        <v>1497</v>
      </c>
      <c r="V60" s="97"/>
      <c r="W60" s="97"/>
      <c r="X60" s="97"/>
      <c r="Y60" s="97"/>
      <c r="Z60" s="98" t="str">
        <f>'Table Seed Map'!$A$12&amp;"-"&amp;(COUNTIF($AB$2:FormFields[[#This Row],[Exists]],1)-1)</f>
        <v>Field Data-58</v>
      </c>
      <c r="AA60" s="99">
        <f>COUNTIF($AB$2:FormFields[[#This Row],[Exists]],1)-1+VLOOKUP('Table Seed Map'!$A$11,SeedMap[],9,0)</f>
        <v>58</v>
      </c>
      <c r="AB60" s="99">
        <f>IF(AND(FormFields[[#This Row],[Attribute]]="",FormFields[[#This Row],[Relation]]=""),0,1)</f>
        <v>1</v>
      </c>
      <c r="AC60" s="99">
        <f>FormFields[[#This Row],[NO2]]</f>
        <v>58</v>
      </c>
      <c r="AD60" s="100">
        <f>[ID]</f>
        <v>58</v>
      </c>
      <c r="AE60" s="99" t="str">
        <f>[Name]</f>
        <v>identity</v>
      </c>
      <c r="AF60" s="93" t="str">
        <f>IF(FormFields[[#This Row],[Rel]]="",IF(EXACT($AF59,FormFields[[#Headers],[Relation]]),"relation",""),VLOOKUP(FormFields[[#This Row],[Rel]],RelationTable[[Display]:[RELID]],2,0))</f>
        <v/>
      </c>
      <c r="AG60" s="115" t="str">
        <f>IF(FormFields[[#This Row],[Rel1]]="",IF(EXACT($AG59,FormFields[[#Headers],[R1]]),"nest_relation1",""),VLOOKUP(FormFields[[#This Row],[Rel1]],RelationTable[[Display]:[RELID]],2,0))</f>
        <v/>
      </c>
      <c r="AH60" s="93" t="str">
        <f>IF(FormFields[[#This Row],[Rel2]]="",IF(EXACT($AH59,FormFields[[#Headers],[R2]]),"nest_relation2",""),VLOOKUP(FormFields[[#This Row],[Rel2]],RelationTable[[Display]:[RELID]],2,0))</f>
        <v/>
      </c>
      <c r="AI60" s="93" t="str">
        <f>IF(FormFields[[#This Row],[Rel3]]="",IF(EXACT($AI59,FormFields[[#Headers],[R3]]),"nest_relation3",""),VLOOKUP(FormFields[[#This Row],[Rel3]],RelationTable[[Display]:[RELID]],2,0))</f>
        <v/>
      </c>
      <c r="AJ60" s="95">
        <f>IF(OR(FormFields[[#This Row],[Option Type]]="",FormFields[[#This Row],[Option Type]]="type"),0,1)</f>
        <v>0</v>
      </c>
      <c r="AK60" s="95" t="str">
        <f>'Table Seed Map'!$A$13&amp;"-"&amp;COUNTIF($AJ$2:FormFields[[#This Row],[Exists FO]],1)</f>
        <v>Field Options-13</v>
      </c>
      <c r="AL60" s="50">
        <f>IF(FormFields[[#This Row],[Exists FO]]=0,$AL59,IF($AL59=0,IF(ISNUMBER(VLOOKUP('Table Seed Map'!$A$13,SeedMap[],9,0)),VLOOKUP('Table Seed Map'!$A$13,SeedMap[],9,0)+1,1),IFERROR($AL59+1,0)))</f>
        <v>13</v>
      </c>
      <c r="AM60" s="95">
        <f>FormFields[[#This Row],[NO4]]</f>
        <v>13</v>
      </c>
      <c r="AN60" s="101">
        <f>[ID]</f>
        <v>58</v>
      </c>
      <c r="AO60" s="102"/>
      <c r="AP60" s="102"/>
      <c r="AQ60" s="102"/>
      <c r="AR60" s="102"/>
      <c r="AS60" s="102"/>
      <c r="AT60" s="95">
        <f>IF(OR(FormFields[[#This Row],[Colspan]]="",FormFields[[#This Row],[Colspan]]="colspan"),0,1)</f>
        <v>1</v>
      </c>
      <c r="AU60" s="95" t="str">
        <f>'Table Seed Map'!$A$18&amp;"-"&amp;SUM($AT$2:FormFields[[#This Row],[Exists FL]])</f>
        <v>Form Layout-35</v>
      </c>
      <c r="AV60" s="95">
        <f>IF(FormFields[[#This Row],[Exists FL]]=0,IF(FormFields[[#This Row],[Form Name]]="","id",""),SUM($AT$3:FormFields[[#This Row],[Exists FL]],IF(VLOOKUP('Table Seed Map'!$A$18,SeedMap[],9,0),VLOOKUP('Table Seed Map'!$A$18,SeedMap[],9,0),0)))</f>
        <v>35</v>
      </c>
      <c r="AW60" s="95">
        <f>FormFields[[#This Row],[NO8]]</f>
        <v>35</v>
      </c>
      <c r="AX60" s="95">
        <f>[Form]</f>
        <v>11</v>
      </c>
      <c r="AY60" s="95">
        <f>[ID]</f>
        <v>58</v>
      </c>
      <c r="AZ60" s="103">
        <v>6</v>
      </c>
    </row>
    <row r="61" spans="13:52">
      <c r="M61" s="94" t="str">
        <f>'Table Seed Map'!$A$11&amp;"-"&amp;(COUNTA($Q$1:FormFields[[#This Row],[ID]])-2)</f>
        <v>Form Fields-59</v>
      </c>
      <c r="N61" s="53" t="s">
        <v>982</v>
      </c>
      <c r="O61" s="95">
        <f>IF(FormFields[[#This Row],[Form Name]]="","id",COUNTA($N$3:FormFields[[#This Row],[Form Name]])+IF(VLOOKUP('Table Seed Map'!$A$11,SeedMap[],9,0),VLOOKUP('Table Seed Map'!$A$11,SeedMap[],9,0),0))</f>
        <v>59</v>
      </c>
      <c r="P61" s="94" t="str">
        <f>FormFields[[#This Row],[Form Name]]&amp;"/"&amp;FormFields[[#This Row],[Name]]</f>
        <v>ResourceList/AddResourceList/items_per_page</v>
      </c>
      <c r="Q61" s="45">
        <f>FormFields[[#This Row],[No]]</f>
        <v>59</v>
      </c>
      <c r="R61" s="96">
        <f>VLOOKUP(FormFields[[#This Row],[Form Name]],ResourceForms[[FormName]:[No]],2,0)</f>
        <v>11</v>
      </c>
      <c r="S61" s="57" t="s">
        <v>61</v>
      </c>
      <c r="T61" s="57" t="s">
        <v>231</v>
      </c>
      <c r="U61" s="57" t="s">
        <v>977</v>
      </c>
      <c r="V61" s="97"/>
      <c r="W61" s="97"/>
      <c r="X61" s="97"/>
      <c r="Y61" s="97"/>
      <c r="Z61" s="98" t="str">
        <f>'Table Seed Map'!$A$12&amp;"-"&amp;(COUNTIF($AB$2:FormFields[[#This Row],[Exists]],1)-1)</f>
        <v>Field Data-59</v>
      </c>
      <c r="AA61" s="60">
        <f>COUNTIF($AB$2:FormFields[[#This Row],[Exists]],1)-1+VLOOKUP('Table Seed Map'!$A$11,SeedMap[],9,0)</f>
        <v>59</v>
      </c>
      <c r="AB61" s="99">
        <f>IF(AND(FormFields[[#This Row],[Attribute]]="",FormFields[[#This Row],[Relation]]=""),0,1)</f>
        <v>1</v>
      </c>
      <c r="AC61" s="99">
        <f>FormFields[[#This Row],[NO2]]</f>
        <v>59</v>
      </c>
      <c r="AD61" s="100">
        <f>[ID]</f>
        <v>59</v>
      </c>
      <c r="AE61" s="99" t="str">
        <f>[Name]</f>
        <v>items_per_page</v>
      </c>
      <c r="AF61" s="91" t="str">
        <f>IF(FormFields[[#This Row],[Rel]]="",IF(EXACT($AF59,FormFields[[#Headers],[Relation]]),"relation",""),VLOOKUP(FormFields[[#This Row],[Rel]],RelationTable[[Display]:[RELID]],2,0))</f>
        <v/>
      </c>
      <c r="AG61" s="90" t="str">
        <f>IF(FormFields[[#This Row],[Rel1]]="",IF(EXACT($AG59,FormFields[[#Headers],[R1]]),"nest_relation1",""),VLOOKUP(FormFields[[#This Row],[Rel1]],RelationTable[[Display]:[RELID]],2,0))</f>
        <v/>
      </c>
      <c r="AH61" s="91" t="str">
        <f>IF(FormFields[[#This Row],[Rel2]]="",IF(EXACT($AH59,FormFields[[#Headers],[R2]]),"nest_relation2",""),VLOOKUP(FormFields[[#This Row],[Rel2]],RelationTable[[Display]:[RELID]],2,0))</f>
        <v/>
      </c>
      <c r="AI61" s="91" t="str">
        <f>IF(FormFields[[#This Row],[Rel3]]="",IF(EXACT($AI59,FormFields[[#Headers],[R3]]),"nest_relation3",""),VLOOKUP(FormFields[[#This Row],[Rel3]],RelationTable[[Display]:[RELID]],2,0))</f>
        <v/>
      </c>
      <c r="AJ61" s="95">
        <f>IF(OR(FormFields[[#This Row],[Option Type]]="",FormFields[[#This Row],[Option Type]]="type"),0,1)</f>
        <v>0</v>
      </c>
      <c r="AK61" s="95" t="str">
        <f>'Table Seed Map'!$A$13&amp;"-"&amp;COUNTIF($AJ$2:FormFields[[#This Row],[Exists FO]],1)</f>
        <v>Field Options-13</v>
      </c>
      <c r="AL61" s="46">
        <f>IF(FormFields[[#This Row],[Exists FO]]=0,$AL59,IF($AL59=0,IF(ISNUMBER(VLOOKUP('Table Seed Map'!$A$13,SeedMap[],9,0)),VLOOKUP('Table Seed Map'!$A$13,SeedMap[],9,0)+1,1),IFERROR($AL59+1,0)))</f>
        <v>13</v>
      </c>
      <c r="AM61" s="95">
        <f>FormFields[[#This Row],[NO4]]</f>
        <v>13</v>
      </c>
      <c r="AN61" s="101">
        <f>[ID]</f>
        <v>59</v>
      </c>
      <c r="AO61" s="102"/>
      <c r="AP61" s="102"/>
      <c r="AQ61" s="102"/>
      <c r="AR61" s="102"/>
      <c r="AS61" s="102"/>
      <c r="AT61" s="95">
        <f>IF(OR(FormFields[[#This Row],[Colspan]]="",FormFields[[#This Row],[Colspan]]="colspan"),0,1)</f>
        <v>1</v>
      </c>
      <c r="AU61" s="95" t="str">
        <f>'Table Seed Map'!$A$18&amp;"-"&amp;SUM($AT$2:FormFields[[#This Row],[Exists FL]])</f>
        <v>Form Layout-36</v>
      </c>
      <c r="AV61" s="95">
        <f>IF(FormFields[[#This Row],[Exists FL]]=0,IF(FormFields[[#This Row],[Form Name]]="","id",""),SUM($AT$3:FormFields[[#This Row],[Exists FL]],IF(VLOOKUP('Table Seed Map'!$A$18,SeedMap[],9,0),VLOOKUP('Table Seed Map'!$A$18,SeedMap[],9,0),0)))</f>
        <v>36</v>
      </c>
      <c r="AW61" s="45">
        <f>FormFields[[#This Row],[NO8]]</f>
        <v>36</v>
      </c>
      <c r="AX61" s="95">
        <f>[Form]</f>
        <v>11</v>
      </c>
      <c r="AY61" s="95">
        <f>[ID]</f>
        <v>59</v>
      </c>
      <c r="AZ61" s="103">
        <v>6</v>
      </c>
    </row>
    <row r="62" spans="13:52">
      <c r="M62" s="51" t="str">
        <f>'Table Seed Map'!$A$11&amp;"-"&amp;(COUNTA($Q$1:FormFields[[#This Row],[ID]])-2)</f>
        <v>Form Fields-60</v>
      </c>
      <c r="N62" s="53" t="s">
        <v>982</v>
      </c>
      <c r="O62" s="50">
        <f>IF(FormFields[[#This Row],[Form Name]]="","id",COUNTA($N$3:FormFields[[#This Row],[Form Name]])+IF(VLOOKUP('Table Seed Map'!$A$11,SeedMap[],9,0),VLOOKUP('Table Seed Map'!$A$11,SeedMap[],9,0),0))</f>
        <v>60</v>
      </c>
      <c r="P62" s="51" t="str">
        <f>FormFields[[#This Row],[Form Name]]&amp;"/"&amp;FormFields[[#This Row],[Name]]</f>
        <v>ResourceList/AddResourceList/description</v>
      </c>
      <c r="Q62" s="45">
        <f>FormFields[[#This Row],[No]]</f>
        <v>60</v>
      </c>
      <c r="R62" s="92">
        <f>VLOOKUP(FormFields[[#This Row],[Form Name]],ResourceForms[[FormName]:[No]],2,0)</f>
        <v>11</v>
      </c>
      <c r="S62" s="57" t="s">
        <v>28</v>
      </c>
      <c r="T62" s="57" t="s">
        <v>930</v>
      </c>
      <c r="U62" s="57" t="s">
        <v>242</v>
      </c>
      <c r="V62" s="67"/>
      <c r="W62" s="67"/>
      <c r="X62" s="67"/>
      <c r="Y62" s="67"/>
      <c r="Z62" s="68" t="str">
        <f>'Table Seed Map'!$A$12&amp;"-"&amp;(COUNTIF($AB$2:FormFields[[#This Row],[Exists]],1)-1)</f>
        <v>Field Data-60</v>
      </c>
      <c r="AA62" s="60">
        <f>COUNTIF($AB$2:FormFields[[#This Row],[Exists]],1)-1+VLOOKUP('Table Seed Map'!$A$11,SeedMap[],9,0)</f>
        <v>60</v>
      </c>
      <c r="AB62" s="69">
        <f>IF(AND(FormFields[[#This Row],[Attribute]]="",FormFields[[#This Row],[Relation]]=""),0,1)</f>
        <v>1</v>
      </c>
      <c r="AC62" s="69">
        <f>FormFields[[#This Row],[NO2]]</f>
        <v>60</v>
      </c>
      <c r="AD62" s="70">
        <f>[ID]</f>
        <v>60</v>
      </c>
      <c r="AE62" s="69" t="str">
        <f>[Name]</f>
        <v>description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50">
        <f>IF(OR(FormFields[[#This Row],[Option Type]]="",FormFields[[#This Row],[Option Type]]="type"),0,1)</f>
        <v>0</v>
      </c>
      <c r="AK62" s="50" t="str">
        <f>'Table Seed Map'!$A$13&amp;"-"&amp;COUNTIF($AJ$2:FormFields[[#This Row],[Exists FO]],1)</f>
        <v>Field Options-13</v>
      </c>
      <c r="AL62" s="46">
        <f>IF(FormFields[[#This Row],[Exists FO]]=0,$AL61,IF($AL61=0,IF(ISNUMBER(VLOOKUP('Table Seed Map'!$A$13,SeedMap[],9,0)),VLOOKUP('Table Seed Map'!$A$13,SeedMap[],9,0)+1,1),IFERROR($AL61+1,0)))</f>
        <v>13</v>
      </c>
      <c r="AM62" s="50">
        <f>FormFields[[#This Row],[NO4]]</f>
        <v>13</v>
      </c>
      <c r="AN62" s="39">
        <f>[ID]</f>
        <v>60</v>
      </c>
      <c r="AO62" s="73"/>
      <c r="AP62" s="73"/>
      <c r="AQ62" s="73"/>
      <c r="AR62" s="73"/>
      <c r="AS62" s="73"/>
      <c r="AT62" s="50">
        <f>IF(OR(FormFields[[#This Row],[Colspan]]="",FormFields[[#This Row],[Colspan]]="colspan"),0,1)</f>
        <v>1</v>
      </c>
      <c r="AU62" s="50" t="str">
        <f>'Table Seed Map'!$A$18&amp;"-"&amp;SUM($AT$2:FormFields[[#This Row],[Exists FL]])</f>
        <v>Form Layout-37</v>
      </c>
      <c r="AV62" s="50">
        <f>IF(FormFields[[#This Row],[Exists FL]]=0,IF(FormFields[[#This Row],[Form Name]]="","id",""),SUM($AT$3:FormFields[[#This Row],[Exists FL]],IF(VLOOKUP('Table Seed Map'!$A$18,SeedMap[],9,0),VLOOKUP('Table Seed Map'!$A$18,SeedMap[],9,0),0)))</f>
        <v>37</v>
      </c>
      <c r="AW62" s="45">
        <f>FormFields[[#This Row],[NO8]]</f>
        <v>37</v>
      </c>
      <c r="AX62" s="50">
        <f>[Form]</f>
        <v>11</v>
      </c>
      <c r="AY62" s="50">
        <f>[ID]</f>
        <v>60</v>
      </c>
      <c r="AZ62" s="75">
        <v>12</v>
      </c>
    </row>
    <row r="63" spans="13:52">
      <c r="M63" s="49" t="str">
        <f>'Table Seed Map'!$A$11&amp;"-"&amp;(COUNTA($Q$1:FormFields[[#This Row],[ID]])-2)</f>
        <v>Form Fields-61</v>
      </c>
      <c r="N63" s="53" t="s">
        <v>1022</v>
      </c>
      <c r="O63" s="46">
        <f>IF(FormFields[[#This Row],[Form Name]]="","id",COUNTA($N$3:FormFields[[#This Row],[Form Name]])+IF(VLOOKUP('Table Seed Map'!$A$11,SeedMap[],9,0),VLOOKUP('Table Seed Map'!$A$11,SeedMap[],9,0),0))</f>
        <v>61</v>
      </c>
      <c r="P63" s="49" t="str">
        <f>FormFields[[#This Row],[Form Name]]&amp;"/"&amp;FormFields[[#This Row],[Name]]</f>
        <v>ResourceData/CreateDataForm/resource</v>
      </c>
      <c r="Q63" s="45">
        <f>FormFields[[#This Row],[No]]</f>
        <v>61</v>
      </c>
      <c r="R63" s="85">
        <f>VLOOKUP(FormFields[[#This Row],[Form Name]],ResourceForms[[FormName]:[No]],2,0)</f>
        <v>12</v>
      </c>
      <c r="S63" s="56" t="s">
        <v>23</v>
      </c>
      <c r="T63" s="56" t="s">
        <v>234</v>
      </c>
      <c r="U63" s="56" t="s">
        <v>949</v>
      </c>
      <c r="V63" s="64"/>
      <c r="W63" s="64"/>
      <c r="X63" s="64"/>
      <c r="Y63" s="64"/>
      <c r="Z63" s="65" t="str">
        <f>'Table Seed Map'!$A$12&amp;"-"&amp;(COUNTIF($AB$2:FormFields[[#This Row],[Exists]],1)-1)</f>
        <v>Field Data-61</v>
      </c>
      <c r="AA63" s="60">
        <f>COUNTIF($AB$2:FormFields[[#This Row],[Exists]],1)-1+VLOOKUP('Table Seed Map'!$A$11,SeedMap[],9,0)</f>
        <v>61</v>
      </c>
      <c r="AB63" s="63">
        <f>IF(AND(FormFields[[#This Row],[Attribute]]="",FormFields[[#This Row],[Relation]]=""),0,1)</f>
        <v>1</v>
      </c>
      <c r="AC63" s="63">
        <f>FormFields[[#This Row],[NO2]]</f>
        <v>61</v>
      </c>
      <c r="AD63" s="66">
        <f>[ID]</f>
        <v>61</v>
      </c>
      <c r="AE63" s="63" t="str">
        <f>[Name]</f>
        <v>resource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46">
        <f>IF(OR(FormFields[[#This Row],[Option Type]]="",FormFields[[#This Row],[Option Type]]="type"),0,1)</f>
        <v>1</v>
      </c>
      <c r="AK63" s="46" t="str">
        <f>'Table Seed Map'!$A$13&amp;"-"&amp;COUNTIF($AJ$2:FormFields[[#This Row],[Exists FO]],1)</f>
        <v>Field Options-14</v>
      </c>
      <c r="AL63" s="46">
        <f>IF(FormFields[[#This Row],[Exists FO]]=0,$AL62,IF($AL62=0,IF(ISNUMBER(VLOOKUP('Table Seed Map'!$A$13,SeedMap[],9,0)),VLOOKUP('Table Seed Map'!$A$13,SeedMap[],9,0)+1,1),IFERROR($AL62+1,0)))</f>
        <v>14</v>
      </c>
      <c r="AM63" s="46">
        <f>FormFields[[#This Row],[NO4]]</f>
        <v>14</v>
      </c>
      <c r="AN63" s="48">
        <f>[ID]</f>
        <v>61</v>
      </c>
      <c r="AO63" s="72" t="s">
        <v>671</v>
      </c>
      <c r="AP63" s="72"/>
      <c r="AQ63" s="72" t="s">
        <v>21</v>
      </c>
      <c r="AR63" s="72" t="s">
        <v>26</v>
      </c>
      <c r="AS63" s="72" t="s">
        <v>672</v>
      </c>
      <c r="AT63" s="46">
        <f>IF(OR(FormFields[[#This Row],[Colspan]]="",FormFields[[#This Row],[Colspan]]="colspan"),0,1)</f>
        <v>1</v>
      </c>
      <c r="AU63" s="46" t="str">
        <f>'Table Seed Map'!$A$18&amp;"-"&amp;SUM($AT$2:FormFields[[#This Row],[Exists FL]])</f>
        <v>Form Layout-38</v>
      </c>
      <c r="AV63" s="46">
        <f>IF(FormFields[[#This Row],[Exists FL]]=0,IF(FormFields[[#This Row],[Form Name]]="","id",""),SUM($AT$3:FormFields[[#This Row],[Exists FL]],IF(VLOOKUP('Table Seed Map'!$A$18,SeedMap[],9,0),VLOOKUP('Table Seed Map'!$A$18,SeedMap[],9,0),0)))</f>
        <v>38</v>
      </c>
      <c r="AW63" s="45">
        <f>FormFields[[#This Row],[NO8]]</f>
        <v>38</v>
      </c>
      <c r="AX63" s="46">
        <f>[Form]</f>
        <v>12</v>
      </c>
      <c r="AY63" s="46">
        <f>[ID]</f>
        <v>61</v>
      </c>
      <c r="AZ63" s="74">
        <v>12</v>
      </c>
    </row>
    <row r="64" spans="13:52">
      <c r="M64" s="49" t="str">
        <f>'Table Seed Map'!$A$11&amp;"-"&amp;(COUNTA($Q$1:FormFields[[#This Row],[ID]])-2)</f>
        <v>Form Fields-62</v>
      </c>
      <c r="N64" s="53" t="s">
        <v>1022</v>
      </c>
      <c r="O64" s="46">
        <f>IF(FormFields[[#This Row],[Form Name]]="","id",COUNTA($N$3:FormFields[[#This Row],[Form Name]])+IF(VLOOKUP('Table Seed Map'!$A$11,SeedMap[],9,0),VLOOKUP('Table Seed Map'!$A$11,SeedMap[],9,0),0))</f>
        <v>62</v>
      </c>
      <c r="P64" s="49" t="str">
        <f>FormFields[[#This Row],[Form Name]]&amp;"/"&amp;FormFields[[#This Row],[Name]]</f>
        <v>ResourceData/CreateDataForm/name</v>
      </c>
      <c r="Q64" s="45">
        <f>FormFields[[#This Row],[No]]</f>
        <v>62</v>
      </c>
      <c r="R64" s="85">
        <f>VLOOKUP(FormFields[[#This Row],[Form Name]],ResourceForms[[FormName]:[No]],2,0)</f>
        <v>12</v>
      </c>
      <c r="S64" s="56" t="s">
        <v>26</v>
      </c>
      <c r="T64" s="56" t="s">
        <v>231</v>
      </c>
      <c r="U64" s="56" t="s">
        <v>1</v>
      </c>
      <c r="V64" s="64"/>
      <c r="W64" s="64"/>
      <c r="X64" s="64"/>
      <c r="Y64" s="64"/>
      <c r="Z64" s="65" t="str">
        <f>'Table Seed Map'!$A$12&amp;"-"&amp;(COUNTIF($AB$2:FormFields[[#This Row],[Exists]],1)-1)</f>
        <v>Field Data-62</v>
      </c>
      <c r="AA64" s="60">
        <f>COUNTIF($AB$2:FormFields[[#This Row],[Exists]],1)-1+VLOOKUP('Table Seed Map'!$A$11,SeedMap[],9,0)</f>
        <v>62</v>
      </c>
      <c r="AB64" s="63">
        <f>IF(AND(FormFields[[#This Row],[Attribute]]="",FormFields[[#This Row],[Relation]]=""),0,1)</f>
        <v>1</v>
      </c>
      <c r="AC64" s="63">
        <f>FormFields[[#This Row],[NO2]]</f>
        <v>62</v>
      </c>
      <c r="AD64" s="66">
        <f>[ID]</f>
        <v>62</v>
      </c>
      <c r="AE64" s="63" t="str">
        <f>[Name]</f>
        <v>name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46">
        <f>IF(OR(FormFields[[#This Row],[Option Type]]="",FormFields[[#This Row],[Option Type]]="type"),0,1)</f>
        <v>0</v>
      </c>
      <c r="AK64" s="46" t="str">
        <f>'Table Seed Map'!$A$13&amp;"-"&amp;COUNTIF($AJ$2:FormFields[[#This Row],[Exists FO]],1)</f>
        <v>Field Options-14</v>
      </c>
      <c r="AL64" s="46">
        <f>IF(FormFields[[#This Row],[Exists FO]]=0,$AL63,IF($AL63=0,IF(ISNUMBER(VLOOKUP('Table Seed Map'!$A$13,SeedMap[],9,0)),VLOOKUP('Table Seed Map'!$A$13,SeedMap[],9,0)+1,1),IFERROR($AL63+1,0)))</f>
        <v>14</v>
      </c>
      <c r="AM64" s="46">
        <f>FormFields[[#This Row],[NO4]]</f>
        <v>14</v>
      </c>
      <c r="AN64" s="48">
        <f>[ID]</f>
        <v>62</v>
      </c>
      <c r="AO64" s="72"/>
      <c r="AP64" s="72"/>
      <c r="AQ64" s="72"/>
      <c r="AR64" s="72"/>
      <c r="AS64" s="72"/>
      <c r="AT64" s="46">
        <f>IF(OR(FormFields[[#This Row],[Colspan]]="",FormFields[[#This Row],[Colspan]]="colspan"),0,1)</f>
        <v>1</v>
      </c>
      <c r="AU64" s="46" t="str">
        <f>'Table Seed Map'!$A$18&amp;"-"&amp;SUM($AT$2:FormFields[[#This Row],[Exists FL]])</f>
        <v>Form Layout-39</v>
      </c>
      <c r="AV64" s="46">
        <f>IF(FormFields[[#This Row],[Exists FL]]=0,IF(FormFields[[#This Row],[Form Name]]="","id",""),SUM($AT$3:FormFields[[#This Row],[Exists FL]],IF(VLOOKUP('Table Seed Map'!$A$18,SeedMap[],9,0),VLOOKUP('Table Seed Map'!$A$18,SeedMap[],9,0),0)))</f>
        <v>39</v>
      </c>
      <c r="AW64" s="45">
        <f>FormFields[[#This Row],[NO8]]</f>
        <v>39</v>
      </c>
      <c r="AX64" s="46">
        <f>[Form]</f>
        <v>12</v>
      </c>
      <c r="AY64" s="46">
        <f>[ID]</f>
        <v>62</v>
      </c>
      <c r="AZ64" s="74">
        <v>6</v>
      </c>
    </row>
    <row r="65" spans="13:52">
      <c r="M65" s="49" t="str">
        <f>'Table Seed Map'!$A$11&amp;"-"&amp;(COUNTA($Q$1:FormFields[[#This Row],[ID]])-2)</f>
        <v>Form Fields-63</v>
      </c>
      <c r="N65" s="53" t="s">
        <v>1022</v>
      </c>
      <c r="O65" s="46">
        <f>IF(FormFields[[#This Row],[Form Name]]="","id",COUNTA($N$3:FormFields[[#This Row],[Form Name]])+IF(VLOOKUP('Table Seed Map'!$A$11,SeedMap[],9,0),VLOOKUP('Table Seed Map'!$A$11,SeedMap[],9,0),0))</f>
        <v>63</v>
      </c>
      <c r="P65" s="49" t="str">
        <f>FormFields[[#This Row],[Form Name]]&amp;"/"&amp;FormFields[[#This Row],[Name]]</f>
        <v>ResourceData/CreateDataForm/title_field</v>
      </c>
      <c r="Q65" s="45">
        <f>FormFields[[#This Row],[No]]</f>
        <v>63</v>
      </c>
      <c r="R65" s="85">
        <f>VLOOKUP(FormFields[[#This Row],[Form Name]],ResourceForms[[FormName]:[No]],2,0)</f>
        <v>12</v>
      </c>
      <c r="S65" s="56" t="s">
        <v>54</v>
      </c>
      <c r="T65" s="56" t="s">
        <v>231</v>
      </c>
      <c r="U65" s="56" t="s">
        <v>908</v>
      </c>
      <c r="V65" s="64"/>
      <c r="W65" s="64"/>
      <c r="X65" s="64"/>
      <c r="Y65" s="64"/>
      <c r="Z65" s="65" t="str">
        <f>'Table Seed Map'!$A$12&amp;"-"&amp;(COUNTIF($AB$2:FormFields[[#This Row],[Exists]],1)-1)</f>
        <v>Field Data-63</v>
      </c>
      <c r="AA65" s="60">
        <f>COUNTIF($AB$2:FormFields[[#This Row],[Exists]],1)-1+VLOOKUP('Table Seed Map'!$A$11,SeedMap[],9,0)</f>
        <v>63</v>
      </c>
      <c r="AB65" s="63">
        <f>IF(AND(FormFields[[#This Row],[Attribute]]="",FormFields[[#This Row],[Relation]]=""),0,1)</f>
        <v>1</v>
      </c>
      <c r="AC65" s="63">
        <f>FormFields[[#This Row],[NO2]]</f>
        <v>63</v>
      </c>
      <c r="AD65" s="66">
        <f>[ID]</f>
        <v>63</v>
      </c>
      <c r="AE65" s="63" t="str">
        <f>[Name]</f>
        <v>title_field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46">
        <f>IF(OR(FormFields[[#This Row],[Option Type]]="",FormFields[[#This Row],[Option Type]]="type"),0,1)</f>
        <v>0</v>
      </c>
      <c r="AK65" s="46" t="str">
        <f>'Table Seed Map'!$A$13&amp;"-"&amp;COUNTIF($AJ$2:FormFields[[#This Row],[Exists FO]],1)</f>
        <v>Field Options-14</v>
      </c>
      <c r="AL65" s="46">
        <f>IF(FormFields[[#This Row],[Exists FO]]=0,$AL64,IF($AL64=0,IF(ISNUMBER(VLOOKUP('Table Seed Map'!$A$13,SeedMap[],9,0)),VLOOKUP('Table Seed Map'!$A$13,SeedMap[],9,0)+1,1),IFERROR($AL64+1,0)))</f>
        <v>14</v>
      </c>
      <c r="AM65" s="46">
        <f>FormFields[[#This Row],[NO4]]</f>
        <v>14</v>
      </c>
      <c r="AN65" s="48">
        <f>[ID]</f>
        <v>63</v>
      </c>
      <c r="AO65" s="72"/>
      <c r="AP65" s="72"/>
      <c r="AQ65" s="72"/>
      <c r="AR65" s="72"/>
      <c r="AS65" s="72"/>
      <c r="AT65" s="46">
        <f>IF(OR(FormFields[[#This Row],[Colspan]]="",FormFields[[#This Row],[Colspan]]="colspan"),0,1)</f>
        <v>1</v>
      </c>
      <c r="AU65" s="46" t="str">
        <f>'Table Seed Map'!$A$18&amp;"-"&amp;SUM($AT$2:FormFields[[#This Row],[Exists FL]])</f>
        <v>Form Layout-40</v>
      </c>
      <c r="AV65" s="46">
        <f>IF(FormFields[[#This Row],[Exists FL]]=0,IF(FormFields[[#This Row],[Form Name]]="","id",""),SUM($AT$3:FormFields[[#This Row],[Exists FL]],IF(VLOOKUP('Table Seed Map'!$A$18,SeedMap[],9,0),VLOOKUP('Table Seed Map'!$A$18,SeedMap[],9,0),0)))</f>
        <v>40</v>
      </c>
      <c r="AW65" s="45">
        <f>FormFields[[#This Row],[NO8]]</f>
        <v>40</v>
      </c>
      <c r="AX65" s="46">
        <f>[Form]</f>
        <v>12</v>
      </c>
      <c r="AY65" s="46">
        <f>[ID]</f>
        <v>63</v>
      </c>
      <c r="AZ65" s="74">
        <v>6</v>
      </c>
    </row>
    <row r="66" spans="13:52">
      <c r="M66" s="49" t="str">
        <f>'Table Seed Map'!$A$11&amp;"-"&amp;(COUNTA($Q$1:FormFields[[#This Row],[ID]])-2)</f>
        <v>Form Fields-64</v>
      </c>
      <c r="N66" s="53" t="s">
        <v>1022</v>
      </c>
      <c r="O66" s="46">
        <f>IF(FormFields[[#This Row],[Form Name]]="","id",COUNTA($N$3:FormFields[[#This Row],[Form Name]])+IF(VLOOKUP('Table Seed Map'!$A$11,SeedMap[],9,0),VLOOKUP('Table Seed Map'!$A$11,SeedMap[],9,0),0))</f>
        <v>64</v>
      </c>
      <c r="P66" s="49" t="str">
        <f>FormFields[[#This Row],[Form Name]]&amp;"/"&amp;FormFields[[#This Row],[Name]]</f>
        <v>ResourceData/CreateDataForm/description</v>
      </c>
      <c r="Q66" s="45">
        <f>FormFields[[#This Row],[No]]</f>
        <v>64</v>
      </c>
      <c r="R66" s="85">
        <f>VLOOKUP(FormFields[[#This Row],[Form Name]],ResourceForms[[FormName]:[No]],2,0)</f>
        <v>12</v>
      </c>
      <c r="S66" s="56" t="s">
        <v>28</v>
      </c>
      <c r="T66" s="56" t="s">
        <v>930</v>
      </c>
      <c r="U66" s="56" t="s">
        <v>242</v>
      </c>
      <c r="V66" s="64"/>
      <c r="W66" s="64"/>
      <c r="X66" s="64"/>
      <c r="Y66" s="64"/>
      <c r="Z66" s="65" t="str">
        <f>'Table Seed Map'!$A$12&amp;"-"&amp;(COUNTIF($AB$2:FormFields[[#This Row],[Exists]],1)-1)</f>
        <v>Field Data-64</v>
      </c>
      <c r="AA66" s="60">
        <f>COUNTIF($AB$2:FormFields[[#This Row],[Exists]],1)-1+VLOOKUP('Table Seed Map'!$A$11,SeedMap[],9,0)</f>
        <v>64</v>
      </c>
      <c r="AB66" s="63">
        <f>IF(AND(FormFields[[#This Row],[Attribute]]="",FormFields[[#This Row],[Relation]]=""),0,1)</f>
        <v>1</v>
      </c>
      <c r="AC66" s="63">
        <f>FormFields[[#This Row],[NO2]]</f>
        <v>64</v>
      </c>
      <c r="AD66" s="66">
        <f>[ID]</f>
        <v>64</v>
      </c>
      <c r="AE66" s="63" t="str">
        <f>[Name]</f>
        <v>description</v>
      </c>
      <c r="AF66" s="91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1" t="str">
        <f>IF(FormFields[[#This Row],[Rel2]]="",IF(EXACT($AH65,FormFields[[#Headers],[R2]]),"nest_relation2",""),VLOOKUP(FormFields[[#This Row],[Rel2]],RelationTable[[Display]:[RELID]],2,0))</f>
        <v/>
      </c>
      <c r="AI66" s="91" t="str">
        <f>IF(FormFields[[#This Row],[Rel3]]="",IF(EXACT($AI65,FormFields[[#Headers],[R3]]),"nest_relation3",""),VLOOKUP(FormFields[[#This Row],[Rel3]],RelationTable[[Display]:[RELID]],2,0))</f>
        <v/>
      </c>
      <c r="AJ66" s="46">
        <f>IF(OR(FormFields[[#This Row],[Option Type]]="",FormFields[[#This Row],[Option Type]]="type"),0,1)</f>
        <v>0</v>
      </c>
      <c r="AK66" s="46" t="str">
        <f>'Table Seed Map'!$A$13&amp;"-"&amp;COUNTIF($AJ$2:FormFields[[#This Row],[Exists FO]],1)</f>
        <v>Field Options-14</v>
      </c>
      <c r="AL66" s="46">
        <f>IF(FormFields[[#This Row],[Exists FO]]=0,$AL65,IF($AL65=0,IF(ISNUMBER(VLOOKUP('Table Seed Map'!$A$13,SeedMap[],9,0)),VLOOKUP('Table Seed Map'!$A$13,SeedMap[],9,0)+1,1),IFERROR($AL65+1,0)))</f>
        <v>14</v>
      </c>
      <c r="AM66" s="46">
        <f>FormFields[[#This Row],[NO4]]</f>
        <v>14</v>
      </c>
      <c r="AN66" s="48">
        <f>[ID]</f>
        <v>64</v>
      </c>
      <c r="AO66" s="72"/>
      <c r="AP66" s="72"/>
      <c r="AQ66" s="72"/>
      <c r="AR66" s="72"/>
      <c r="AS66" s="72"/>
      <c r="AT66" s="46">
        <f>IF(OR(FormFields[[#This Row],[Colspan]]="",FormFields[[#This Row],[Colspan]]="colspan"),0,1)</f>
        <v>1</v>
      </c>
      <c r="AU66" s="46" t="str">
        <f>'Table Seed Map'!$A$18&amp;"-"&amp;SUM($AT$2:FormFields[[#This Row],[Exists FL]])</f>
        <v>Form Layout-41</v>
      </c>
      <c r="AV66" s="46">
        <f>IF(FormFields[[#This Row],[Exists FL]]=0,IF(FormFields[[#This Row],[Form Name]]="","id",""),SUM($AT$3:FormFields[[#This Row],[Exists FL]],IF(VLOOKUP('Table Seed Map'!$A$18,SeedMap[],9,0),VLOOKUP('Table Seed Map'!$A$18,SeedMap[],9,0),0)))</f>
        <v>41</v>
      </c>
      <c r="AW66" s="45">
        <f>FormFields[[#This Row],[NO8]]</f>
        <v>41</v>
      </c>
      <c r="AX66" s="46">
        <f>[Form]</f>
        <v>12</v>
      </c>
      <c r="AY66" s="46">
        <f>[ID]</f>
        <v>64</v>
      </c>
      <c r="AZ66" s="74">
        <v>12</v>
      </c>
    </row>
    <row r="67" spans="13:52">
      <c r="M67" s="49" t="str">
        <f>'Table Seed Map'!$A$11&amp;"-"&amp;(COUNTA($Q$1:FormFields[[#This Row],[ID]])-2)</f>
        <v>Form Fields-65</v>
      </c>
      <c r="N67" s="53" t="s">
        <v>1023</v>
      </c>
      <c r="O67" s="46">
        <f>IF(FormFields[[#This Row],[Form Name]]="","id",COUNTA($N$3:FormFields[[#This Row],[Form Name]])+IF(VLOOKUP('Table Seed Map'!$A$11,SeedMap[],9,0),VLOOKUP('Table Seed Map'!$A$11,SeedMap[],9,0),0))</f>
        <v>65</v>
      </c>
      <c r="P67" s="49" t="str">
        <f>FormFields[[#This Row],[Form Name]]&amp;"/"&amp;FormFields[[#This Row],[Name]]</f>
        <v>ResourceData/AddDataForm/resource</v>
      </c>
      <c r="Q67" s="45">
        <f>FormFields[[#This Row],[No]]</f>
        <v>65</v>
      </c>
      <c r="R67" s="85">
        <f>VLOOKUP(FormFields[[#This Row],[Form Name]],ResourceForms[[FormName]:[No]],2,0)</f>
        <v>13</v>
      </c>
      <c r="S67" s="56" t="s">
        <v>23</v>
      </c>
      <c r="T67" s="56" t="s">
        <v>231</v>
      </c>
      <c r="U67" s="56" t="s">
        <v>204</v>
      </c>
      <c r="V67" s="64"/>
      <c r="W67" s="64"/>
      <c r="X67" s="64"/>
      <c r="Y67" s="64"/>
      <c r="Z67" s="65" t="str">
        <f>'Table Seed Map'!$A$12&amp;"-"&amp;(COUNTIF($AB$2:FormFields[[#This Row],[Exists]],1)-1)</f>
        <v>Field Data-65</v>
      </c>
      <c r="AA67" s="60">
        <f>COUNTIF($AB$2:FormFields[[#This Row],[Exists]],1)-1+VLOOKUP('Table Seed Map'!$A$11,SeedMap[],9,0)</f>
        <v>65</v>
      </c>
      <c r="AB67" s="63">
        <f>IF(AND(FormFields[[#This Row],[Attribute]]="",FormFields[[#This Row],[Relation]]=""),0,1)</f>
        <v>1</v>
      </c>
      <c r="AC67" s="63">
        <f>FormFields[[#This Row],[NO2]]</f>
        <v>65</v>
      </c>
      <c r="AD67" s="66">
        <f>[ID]</f>
        <v>65</v>
      </c>
      <c r="AE67" s="63" t="str">
        <f>[Name]</f>
        <v>resource</v>
      </c>
      <c r="AF67" s="91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1" t="str">
        <f>IF(FormFields[[#This Row],[Rel2]]="",IF(EXACT($AH66,FormFields[[#Headers],[R2]]),"nest_relation2",""),VLOOKUP(FormFields[[#This Row],[Rel2]],RelationTable[[Display]:[RELID]],2,0))</f>
        <v/>
      </c>
      <c r="AI67" s="91" t="str">
        <f>IF(FormFields[[#This Row],[Rel3]]="",IF(EXACT($AI66,FormFields[[#Headers],[R3]]),"nest_relation3",""),VLOOKUP(FormFields[[#This Row],[Rel3]],RelationTable[[Display]:[RELID]],2,0))</f>
        <v/>
      </c>
      <c r="AJ67" s="46">
        <f>IF(OR(FormFields[[#This Row],[Option Type]]="",FormFields[[#This Row],[Option Type]]="type"),0,1)</f>
        <v>0</v>
      </c>
      <c r="AK67" s="46" t="str">
        <f>'Table Seed Map'!$A$13&amp;"-"&amp;COUNTIF($AJ$2:FormFields[[#This Row],[Exists FO]],1)</f>
        <v>Field Options-14</v>
      </c>
      <c r="AL67" s="46">
        <f>IF(FormFields[[#This Row],[Exists FO]]=0,$AL66,IF($AL66=0,IF(ISNUMBER(VLOOKUP('Table Seed Map'!$A$13,SeedMap[],9,0)),VLOOKUP('Table Seed Map'!$A$13,SeedMap[],9,0)+1,1),IFERROR($AL66+1,0)))</f>
        <v>14</v>
      </c>
      <c r="AM67" s="46">
        <f>FormFields[[#This Row],[NO4]]</f>
        <v>14</v>
      </c>
      <c r="AN67" s="48">
        <f>[ID]</f>
        <v>65</v>
      </c>
      <c r="AO67" s="72"/>
      <c r="AP67" s="72"/>
      <c r="AQ67" s="72"/>
      <c r="AR67" s="72"/>
      <c r="AS67" s="72"/>
      <c r="AT67" s="46">
        <f>IF(OR(FormFields[[#This Row],[Colspan]]="",FormFields[[#This Row],[Colspan]]="colspan"),0,1)</f>
        <v>0</v>
      </c>
      <c r="AU67" s="46" t="str">
        <f>'Table Seed Map'!$A$18&amp;"-"&amp;SUM($AT$2:FormFields[[#This Row],[Exists FL]])</f>
        <v>Form Layout-41</v>
      </c>
      <c r="AV6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7" s="45" t="str">
        <f>FormFields[[#This Row],[NO8]]</f>
        <v/>
      </c>
      <c r="AX67" s="46">
        <f>[Form]</f>
        <v>13</v>
      </c>
      <c r="AY67" s="46">
        <f>[ID]</f>
        <v>65</v>
      </c>
      <c r="AZ67" s="74"/>
    </row>
    <row r="68" spans="13:52">
      <c r="M68" s="47" t="str">
        <f>'Table Seed Map'!$A$11&amp;"-"&amp;(COUNTA($Q$1:FormFields[[#This Row],[ID]])-2)</f>
        <v>Form Fields-66</v>
      </c>
      <c r="N68" s="53" t="s">
        <v>1023</v>
      </c>
      <c r="O68" s="45">
        <f>IF(FormFields[[#This Row],[Form Name]]="","id",COUNTA($N$3:FormFields[[#This Row],[Form Name]])+IF(VLOOKUP('Table Seed Map'!$A$11,SeedMap[],9,0),VLOOKUP('Table Seed Map'!$A$11,SeedMap[],9,0),0))</f>
        <v>66</v>
      </c>
      <c r="P68" s="47" t="str">
        <f>FormFields[[#This Row],[Form Name]]&amp;"/"&amp;FormFields[[#This Row],[Name]]</f>
        <v>ResourceData/AddDataForm/name</v>
      </c>
      <c r="Q68" s="45">
        <f>FormFields[[#This Row],[No]]</f>
        <v>66</v>
      </c>
      <c r="R68" s="52">
        <f>VLOOKUP(FormFields[[#This Row],[Form Name]],ResourceForms[[FormName]:[No]],2,0)</f>
        <v>13</v>
      </c>
      <c r="S68" s="56" t="s">
        <v>26</v>
      </c>
      <c r="T68" s="56" t="s">
        <v>231</v>
      </c>
      <c r="U68" s="56" t="s">
        <v>1</v>
      </c>
      <c r="V68" s="58"/>
      <c r="W68" s="58"/>
      <c r="X68" s="58"/>
      <c r="Y68" s="58"/>
      <c r="Z68" s="59" t="str">
        <f>'Table Seed Map'!$A$12&amp;"-"&amp;(COUNTIF($AB$2:FormFields[[#This Row],[Exists]],1)-1)</f>
        <v>Field Data-66</v>
      </c>
      <c r="AA68" s="60">
        <f>COUNTIF($AB$2:FormFields[[#This Row],[Exists]],1)-1+VLOOKUP('Table Seed Map'!$A$11,SeedMap[],9,0)</f>
        <v>66</v>
      </c>
      <c r="AB68" s="60">
        <f>IF(AND(FormFields[[#This Row],[Attribute]]="",FormFields[[#This Row],[Relation]]=""),0,1)</f>
        <v>1</v>
      </c>
      <c r="AC68" s="60">
        <f>FormFields[[#This Row],[NO2]]</f>
        <v>66</v>
      </c>
      <c r="AD68" s="62">
        <f>[ID]</f>
        <v>66</v>
      </c>
      <c r="AE68" s="60" t="str">
        <f>[Name]</f>
        <v>name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Options-14</v>
      </c>
      <c r="AL68" s="46">
        <f>IF(FormFields[[#This Row],[Exists FO]]=0,$AL67,IF($AL67=0,IF(ISNUMBER(VLOOKUP('Table Seed Map'!$A$13,SeedMap[],9,0)),VLOOKUP('Table Seed Map'!$A$13,SeedMap[],9,0)+1,1),IFERROR($AL67+1,0)))</f>
        <v>14</v>
      </c>
      <c r="AM68" s="45">
        <f>FormFields[[#This Row],[NO4]]</f>
        <v>14</v>
      </c>
      <c r="AN68" s="38">
        <f>[ID]</f>
        <v>66</v>
      </c>
      <c r="AO68" s="71"/>
      <c r="AP68" s="71"/>
      <c r="AQ68" s="71"/>
      <c r="AR68" s="71"/>
      <c r="AS68" s="71"/>
      <c r="AT68" s="45">
        <f>IF(OR(FormFields[[#This Row],[Colspan]]="",FormFields[[#This Row],[Colspan]]="colspan"),0,1)</f>
        <v>0</v>
      </c>
      <c r="AU68" s="45" t="str">
        <f>'Table Seed Map'!$A$18&amp;"-"&amp;SUM($AT$2:FormFields[[#This Row],[Exists FL]])</f>
        <v>Form Layout-41</v>
      </c>
      <c r="AV6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8" s="45" t="str">
        <f>FormFields[[#This Row],[NO8]]</f>
        <v/>
      </c>
      <c r="AX68" s="45">
        <f>[Form]</f>
        <v>13</v>
      </c>
      <c r="AY68" s="45">
        <f>[ID]</f>
        <v>66</v>
      </c>
      <c r="AZ68" s="61"/>
    </row>
    <row r="69" spans="13:52">
      <c r="M69" s="47" t="str">
        <f>'Table Seed Map'!$A$11&amp;"-"&amp;(COUNTA($Q$1:FormFields[[#This Row],[ID]])-2)</f>
        <v>Form Fields-67</v>
      </c>
      <c r="N69" s="53" t="s">
        <v>1023</v>
      </c>
      <c r="O69" s="45">
        <f>IF(FormFields[[#This Row],[Form Name]]="","id",COUNTA($N$3:FormFields[[#This Row],[Form Name]])+IF(VLOOKUP('Table Seed Map'!$A$11,SeedMap[],9,0),VLOOKUP('Table Seed Map'!$A$11,SeedMap[],9,0),0))</f>
        <v>67</v>
      </c>
      <c r="P69" s="47" t="str">
        <f>FormFields[[#This Row],[Form Name]]&amp;"/"&amp;FormFields[[#This Row],[Name]]</f>
        <v>ResourceData/AddDataForm/title_field</v>
      </c>
      <c r="Q69" s="45">
        <f>FormFields[[#This Row],[No]]</f>
        <v>67</v>
      </c>
      <c r="R69" s="52">
        <f>VLOOKUP(FormFields[[#This Row],[Form Name]],ResourceForms[[FormName]:[No]],2,0)</f>
        <v>13</v>
      </c>
      <c r="S69" s="56" t="s">
        <v>54</v>
      </c>
      <c r="T69" s="56" t="s">
        <v>231</v>
      </c>
      <c r="U69" s="56" t="s">
        <v>908</v>
      </c>
      <c r="V69" s="58"/>
      <c r="W69" s="58"/>
      <c r="X69" s="58"/>
      <c r="Y69" s="58"/>
      <c r="Z69" s="59" t="str">
        <f>'Table Seed Map'!$A$12&amp;"-"&amp;(COUNTIF($AB$2:FormFields[[#This Row],[Exists]],1)-1)</f>
        <v>Field Data-67</v>
      </c>
      <c r="AA69" s="60">
        <f>COUNTIF($AB$2:FormFields[[#This Row],[Exists]],1)-1+VLOOKUP('Table Seed Map'!$A$11,SeedMap[],9,0)</f>
        <v>67</v>
      </c>
      <c r="AB69" s="60">
        <f>IF(AND(FormFields[[#This Row],[Attribute]]="",FormFields[[#This Row],[Relation]]=""),0,1)</f>
        <v>1</v>
      </c>
      <c r="AC69" s="60">
        <f>FormFields[[#This Row],[NO2]]</f>
        <v>67</v>
      </c>
      <c r="AD69" s="62">
        <f>[ID]</f>
        <v>67</v>
      </c>
      <c r="AE69" s="60" t="str">
        <f>[Name]</f>
        <v>title_field</v>
      </c>
      <c r="AF69" s="91" t="str">
        <f>IF(FormFields[[#This Row],[Rel]]="",IF(EXACT($AF68,FormFields[[#Headers],[Relation]]),"relation",""),VLOOKUP(FormFields[[#This Row],[Rel]],RelationTable[[Display]:[RELID]],2,0))</f>
        <v/>
      </c>
      <c r="AG69" s="90" t="str">
        <f>IF(FormFields[[#This Row],[Rel1]]="",IF(EXACT($AG68,FormFields[[#Headers],[R1]]),"nest_relation1",""),VLOOKUP(FormFields[[#This Row],[Rel1]],RelationTable[[Display]:[RELID]],2,0))</f>
        <v/>
      </c>
      <c r="AH69" s="91" t="str">
        <f>IF(FormFields[[#This Row],[Rel2]]="",IF(EXACT($AH68,FormFields[[#Headers],[R2]]),"nest_relation2",""),VLOOKUP(FormFields[[#This Row],[Rel2]],RelationTable[[Display]:[RELID]],2,0))</f>
        <v/>
      </c>
      <c r="AI69" s="91" t="str">
        <f>IF(FormFields[[#This Row],[Rel3]]="",IF(EXACT($AI68,FormFields[[#Headers],[R3]]),"nest_relation3",""),VLOOKUP(FormFields[[#This Row],[Rel3]],RelationTable[[Display]:[RELID]],2,0))</f>
        <v/>
      </c>
      <c r="AJ69" s="45">
        <f>IF(OR(FormFields[[#This Row],[Option Type]]="",FormFields[[#This Row],[Option Type]]="type"),0,1)</f>
        <v>0</v>
      </c>
      <c r="AK69" s="45" t="str">
        <f>'Table Seed Map'!$A$13&amp;"-"&amp;COUNTIF($AJ$2:FormFields[[#This Row],[Exists FO]],1)</f>
        <v>Field Options-14</v>
      </c>
      <c r="AL69" s="46">
        <f>IF(FormFields[[#This Row],[Exists FO]]=0,$AL68,IF($AL68=0,IF(ISNUMBER(VLOOKUP('Table Seed Map'!$A$13,SeedMap[],9,0)),VLOOKUP('Table Seed Map'!$A$13,SeedMap[],9,0)+1,1),IFERROR($AL68+1,0)))</f>
        <v>14</v>
      </c>
      <c r="AM69" s="45">
        <f>FormFields[[#This Row],[NO4]]</f>
        <v>14</v>
      </c>
      <c r="AN69" s="38">
        <f>[ID]</f>
        <v>67</v>
      </c>
      <c r="AO69" s="71"/>
      <c r="AP69" s="71"/>
      <c r="AQ69" s="71"/>
      <c r="AR69" s="71"/>
      <c r="AS69" s="71"/>
      <c r="AT69" s="45">
        <f>IF(OR(FormFields[[#This Row],[Colspan]]="",FormFields[[#This Row],[Colspan]]="colspan"),0,1)</f>
        <v>0</v>
      </c>
      <c r="AU69" s="45" t="str">
        <f>'Table Seed Map'!$A$18&amp;"-"&amp;SUM($AT$2:FormFields[[#This Row],[Exists FL]])</f>
        <v>Form Layout-41</v>
      </c>
      <c r="AV6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9" s="45" t="str">
        <f>FormFields[[#This Row],[NO8]]</f>
        <v/>
      </c>
      <c r="AX69" s="45">
        <f>[Form]</f>
        <v>13</v>
      </c>
      <c r="AY69" s="45">
        <f>[ID]</f>
        <v>67</v>
      </c>
      <c r="AZ69" s="61"/>
    </row>
    <row r="70" spans="13:52">
      <c r="M70" s="47" t="str">
        <f>'Table Seed Map'!$A$11&amp;"-"&amp;(COUNTA($Q$1:FormFields[[#This Row],[ID]])-2)</f>
        <v>Form Fields-68</v>
      </c>
      <c r="N70" s="53" t="s">
        <v>1023</v>
      </c>
      <c r="O70" s="45">
        <f>IF(FormFields[[#This Row],[Form Name]]="","id",COUNTA($N$3:FormFields[[#This Row],[Form Name]])+IF(VLOOKUP('Table Seed Map'!$A$11,SeedMap[],9,0),VLOOKUP('Table Seed Map'!$A$11,SeedMap[],9,0),0))</f>
        <v>68</v>
      </c>
      <c r="P70" s="47" t="str">
        <f>FormFields[[#This Row],[Form Name]]&amp;"/"&amp;FormFields[[#This Row],[Name]]</f>
        <v>ResourceData/AddDataForm/description</v>
      </c>
      <c r="Q70" s="45">
        <f>FormFields[[#This Row],[No]]</f>
        <v>68</v>
      </c>
      <c r="R70" s="52">
        <f>VLOOKUP(FormFields[[#This Row],[Form Name]],ResourceForms[[FormName]:[No]],2,0)</f>
        <v>13</v>
      </c>
      <c r="S70" s="56" t="s">
        <v>28</v>
      </c>
      <c r="T70" s="56" t="s">
        <v>930</v>
      </c>
      <c r="U70" s="56" t="s">
        <v>242</v>
      </c>
      <c r="V70" s="58"/>
      <c r="W70" s="58"/>
      <c r="X70" s="58"/>
      <c r="Y70" s="58"/>
      <c r="Z70" s="59" t="str">
        <f>'Table Seed Map'!$A$12&amp;"-"&amp;(COUNTIF($AB$2:FormFields[[#This Row],[Exists]],1)-1)</f>
        <v>Field Data-68</v>
      </c>
      <c r="AA70" s="60">
        <f>COUNTIF($AB$2:FormFields[[#This Row],[Exists]],1)-1+VLOOKUP('Table Seed Map'!$A$11,SeedMap[],9,0)</f>
        <v>68</v>
      </c>
      <c r="AB70" s="60">
        <f>IF(AND(FormFields[[#This Row],[Attribute]]="",FormFields[[#This Row],[Relation]]=""),0,1)</f>
        <v>1</v>
      </c>
      <c r="AC70" s="60">
        <f>FormFields[[#This Row],[NO2]]</f>
        <v>68</v>
      </c>
      <c r="AD70" s="62">
        <f>[ID]</f>
        <v>68</v>
      </c>
      <c r="AE70" s="60" t="str">
        <f>[Name]</f>
        <v>description</v>
      </c>
      <c r="AF70" s="91" t="str">
        <f>IF(FormFields[[#This Row],[Rel]]="",IF(EXACT($AF69,FormFields[[#Headers],[Relation]]),"relation",""),VLOOKUP(FormFields[[#This Row],[Rel]],RelationTable[[Display]:[RELID]],2,0))</f>
        <v/>
      </c>
      <c r="AG70" s="90" t="str">
        <f>IF(FormFields[[#This Row],[Rel1]]="",IF(EXACT($AG69,FormFields[[#Headers],[R1]]),"nest_relation1",""),VLOOKUP(FormFields[[#This Row],[Rel1]],RelationTable[[Display]:[RELID]],2,0))</f>
        <v/>
      </c>
      <c r="AH70" s="91" t="str">
        <f>IF(FormFields[[#This Row],[Rel2]]="",IF(EXACT($AH69,FormFields[[#Headers],[R2]]),"nest_relation2",""),VLOOKUP(FormFields[[#This Row],[Rel2]],RelationTable[[Display]:[RELID]],2,0))</f>
        <v/>
      </c>
      <c r="AI70" s="91" t="str">
        <f>IF(FormFields[[#This Row],[Rel3]]="",IF(EXACT($AI69,FormFields[[#Headers],[R3]]),"nest_relation3",""),VLOOKUP(FormFields[[#This Row],[Rel3]],RelationTable[[Display]:[RELID]],2,0))</f>
        <v/>
      </c>
      <c r="AJ70" s="45">
        <f>IF(OR(FormFields[[#This Row],[Option Type]]="",FormFields[[#This Row],[Option Type]]="type"),0,1)</f>
        <v>0</v>
      </c>
      <c r="AK70" s="45" t="str">
        <f>'Table Seed Map'!$A$13&amp;"-"&amp;COUNTIF($AJ$2:FormFields[[#This Row],[Exists FO]],1)</f>
        <v>Field Options-14</v>
      </c>
      <c r="AL70" s="46">
        <f>IF(FormFields[[#This Row],[Exists FO]]=0,$AL69,IF($AL69=0,IF(ISNUMBER(VLOOKUP('Table Seed Map'!$A$13,SeedMap[],9,0)),VLOOKUP('Table Seed Map'!$A$13,SeedMap[],9,0)+1,1),IFERROR($AL69+1,0)))</f>
        <v>14</v>
      </c>
      <c r="AM70" s="45">
        <f>FormFields[[#This Row],[NO4]]</f>
        <v>14</v>
      </c>
      <c r="AN70" s="38">
        <f>[ID]</f>
        <v>68</v>
      </c>
      <c r="AO70" s="71"/>
      <c r="AP70" s="71"/>
      <c r="AQ70" s="71"/>
      <c r="AR70" s="71"/>
      <c r="AS70" s="71"/>
      <c r="AT70" s="45">
        <f>IF(OR(FormFields[[#This Row],[Colspan]]="",FormFields[[#This Row],[Colspan]]="colspan"),0,1)</f>
        <v>0</v>
      </c>
      <c r="AU70" s="45" t="str">
        <f>'Table Seed Map'!$A$18&amp;"-"&amp;SUM($AT$2:FormFields[[#This Row],[Exists FL]])</f>
        <v>Form Layout-41</v>
      </c>
      <c r="AV70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0" s="45" t="str">
        <f>FormFields[[#This Row],[NO8]]</f>
        <v/>
      </c>
      <c r="AX70" s="45">
        <f>[Form]</f>
        <v>13</v>
      </c>
      <c r="AY70" s="45">
        <f>[ID]</f>
        <v>68</v>
      </c>
      <c r="AZ70" s="61"/>
    </row>
    <row r="71" spans="13:52">
      <c r="M71" s="51" t="str">
        <f>'Table Seed Map'!$A$11&amp;"-"&amp;(COUNTA($Q$1:FormFields[[#This Row],[ID]])-2)</f>
        <v>Form Fields-69</v>
      </c>
      <c r="N71" s="53" t="s">
        <v>1367</v>
      </c>
      <c r="O71" s="50">
        <f>IF(FormFields[[#This Row],[Form Name]]="","id",COUNTA($N$3:FormFields[[#This Row],[Form Name]])+IF(VLOOKUP('Table Seed Map'!$A$11,SeedMap[],9,0),VLOOKUP('Table Seed Map'!$A$11,SeedMap[],9,0),0))</f>
        <v>69</v>
      </c>
      <c r="P71" s="51" t="str">
        <f>FormFields[[#This Row],[Form Name]]&amp;"/"&amp;FormFields[[#This Row],[Name]]</f>
        <v>Group/NewGroupForm/name</v>
      </c>
      <c r="Q71" s="50">
        <f>FormFields[[#This Row],[No]]</f>
        <v>69</v>
      </c>
      <c r="R71" s="92">
        <f>VLOOKUP(FormFields[[#This Row],[Form Name]],ResourceForms[[FormName]:[No]],2,0)</f>
        <v>14</v>
      </c>
      <c r="S71" s="57" t="s">
        <v>26</v>
      </c>
      <c r="T71" s="57" t="s">
        <v>231</v>
      </c>
      <c r="U71" s="57" t="s">
        <v>1</v>
      </c>
      <c r="V71" s="67"/>
      <c r="W71" s="67"/>
      <c r="X71" s="67"/>
      <c r="Y71" s="67"/>
      <c r="Z71" s="68" t="str">
        <f>'Table Seed Map'!$A$12&amp;"-"&amp;(COUNTIF($AB$2:FormFields[[#This Row],[Exists]],1)-1)</f>
        <v>Field Data-69</v>
      </c>
      <c r="AA71" s="69">
        <f>COUNTIF($AB$2:FormFields[[#This Row],[Exists]],1)-1+VLOOKUP('Table Seed Map'!$A$11,SeedMap[],9,0)</f>
        <v>69</v>
      </c>
      <c r="AB71" s="69">
        <f>IF(AND(FormFields[[#This Row],[Attribute]]="",FormFields[[#This Row],[Relation]]=""),0,1)</f>
        <v>1</v>
      </c>
      <c r="AC71" s="69">
        <f>FormFields[[#This Row],[NO2]]</f>
        <v>69</v>
      </c>
      <c r="AD71" s="70">
        <f>[ID]</f>
        <v>69</v>
      </c>
      <c r="AE71" s="69" t="str">
        <f>[Name]</f>
        <v>name</v>
      </c>
      <c r="AF71" s="93" t="str">
        <f>IF(FormFields[[#This Row],[Rel]]="",IF(EXACT($AF70,FormFields[[#Headers],[Relation]]),"relation",""),VLOOKUP(FormFields[[#This Row],[Rel]],RelationTable[[Display]:[RELID]],2,0))</f>
        <v/>
      </c>
      <c r="AG71" s="93" t="str">
        <f>IF(FormFields[[#This Row],[Rel1]]="",IF(EXACT($AG70,FormFields[[#Headers],[R1]]),"nest_relation1",""),VLOOKUP(FormFields[[#This Row],[Rel1]],RelationTable[[Display]:[RELID]],2,0))</f>
        <v/>
      </c>
      <c r="AH71" s="93" t="str">
        <f>IF(FormFields[[#This Row],[Rel2]]="",IF(EXACT($AH70,FormFields[[#Headers],[R2]]),"nest_relation2",""),VLOOKUP(FormFields[[#This Row],[Rel2]],RelationTable[[Display]:[RELID]],2,0))</f>
        <v/>
      </c>
      <c r="AI71" s="93" t="str">
        <f>IF(FormFields[[#This Row],[Rel3]]="",IF(EXACT($AI70,FormFields[[#Headers],[R3]]),"nest_relation3",""),VLOOKUP(FormFields[[#This Row],[Rel3]],RelationTable[[Display]:[RELID]],2,0))</f>
        <v/>
      </c>
      <c r="AJ71" s="50">
        <f>IF(OR(FormFields[[#This Row],[Option Type]]="",FormFields[[#This Row],[Option Type]]="type"),0,1)</f>
        <v>0</v>
      </c>
      <c r="AK71" s="50" t="str">
        <f>'Table Seed Map'!$A$13&amp;"-"&amp;COUNTIF($AJ$2:FormFields[[#This Row],[Exists FO]],1)</f>
        <v>Field Options-14</v>
      </c>
      <c r="AL71" s="50">
        <f>IF(FormFields[[#This Row],[Exists FO]]=0,$AL70,IF($AL70=0,IF(ISNUMBER(VLOOKUP('Table Seed Map'!$A$13,SeedMap[],9,0)),VLOOKUP('Table Seed Map'!$A$13,SeedMap[],9,0)+1,1),IFERROR($AL70+1,0)))</f>
        <v>14</v>
      </c>
      <c r="AM71" s="50">
        <f>FormFields[[#This Row],[NO4]]</f>
        <v>14</v>
      </c>
      <c r="AN71" s="39">
        <f>[ID]</f>
        <v>69</v>
      </c>
      <c r="AO71" s="73"/>
      <c r="AP71" s="73"/>
      <c r="AQ71" s="73"/>
      <c r="AR71" s="73"/>
      <c r="AS71" s="73"/>
      <c r="AT71" s="50">
        <f>IF(OR(FormFields[[#This Row],[Colspan]]="",FormFields[[#This Row],[Colspan]]="colspan"),0,1)</f>
        <v>1</v>
      </c>
      <c r="AU71" s="50" t="str">
        <f>'Table Seed Map'!$A$18&amp;"-"&amp;SUM($AT$2:FormFields[[#This Row],[Exists FL]])</f>
        <v>Form Layout-42</v>
      </c>
      <c r="AV71" s="50">
        <f>IF(FormFields[[#This Row],[Exists FL]]=0,IF(FormFields[[#This Row],[Form Name]]="","id",""),SUM($AT$3:FormFields[[#This Row],[Exists FL]],IF(VLOOKUP('Table Seed Map'!$A$18,SeedMap[],9,0),VLOOKUP('Table Seed Map'!$A$18,SeedMap[],9,0),0)))</f>
        <v>42</v>
      </c>
      <c r="AW71" s="50">
        <f>FormFields[[#This Row],[NO8]]</f>
        <v>42</v>
      </c>
      <c r="AX71" s="50">
        <f>[Form]</f>
        <v>14</v>
      </c>
      <c r="AY71" s="50">
        <f>[ID]</f>
        <v>69</v>
      </c>
      <c r="AZ71" s="75">
        <v>6</v>
      </c>
    </row>
    <row r="72" spans="13:52">
      <c r="M72" s="51" t="str">
        <f>'Table Seed Map'!$A$11&amp;"-"&amp;(COUNTA($Q$1:FormFields[[#This Row],[ID]])-2)</f>
        <v>Form Fields-70</v>
      </c>
      <c r="N72" s="53" t="s">
        <v>1367</v>
      </c>
      <c r="O72" s="50">
        <f>IF(FormFields[[#This Row],[Form Name]]="","id",COUNTA($N$3:FormFields[[#This Row],[Form Name]])+IF(VLOOKUP('Table Seed Map'!$A$11,SeedMap[],9,0),VLOOKUP('Table Seed Map'!$A$11,SeedMap[],9,0),0))</f>
        <v>70</v>
      </c>
      <c r="P72" s="51" t="str">
        <f>FormFields[[#This Row],[Form Name]]&amp;"/"&amp;FormFields[[#This Row],[Name]]</f>
        <v>Group/NewGroupForm/title</v>
      </c>
      <c r="Q72" s="50">
        <f>FormFields[[#This Row],[No]]</f>
        <v>70</v>
      </c>
      <c r="R72" s="92">
        <f>VLOOKUP(FormFields[[#This Row],[Form Name]],ResourceForms[[FormName]:[No]],2,0)</f>
        <v>14</v>
      </c>
      <c r="S72" s="57" t="s">
        <v>30</v>
      </c>
      <c r="T72" s="57" t="s">
        <v>231</v>
      </c>
      <c r="U72" s="57" t="s">
        <v>236</v>
      </c>
      <c r="V72" s="67"/>
      <c r="W72" s="67"/>
      <c r="X72" s="67"/>
      <c r="Y72" s="67"/>
      <c r="Z72" s="68" t="str">
        <f>'Table Seed Map'!$A$12&amp;"-"&amp;(COUNTIF($AB$2:FormFields[[#This Row],[Exists]],1)-1)</f>
        <v>Field Data-70</v>
      </c>
      <c r="AA72" s="69">
        <f>COUNTIF($AB$2:FormFields[[#This Row],[Exists]],1)-1+VLOOKUP('Table Seed Map'!$A$11,SeedMap[],9,0)</f>
        <v>70</v>
      </c>
      <c r="AB72" s="69">
        <f>IF(AND(FormFields[[#This Row],[Attribute]]="",FormFields[[#This Row],[Relation]]=""),0,1)</f>
        <v>1</v>
      </c>
      <c r="AC72" s="69">
        <f>FormFields[[#This Row],[NO2]]</f>
        <v>70</v>
      </c>
      <c r="AD72" s="70">
        <f>[ID]</f>
        <v>70</v>
      </c>
      <c r="AE72" s="69" t="str">
        <f>[Name]</f>
        <v>title</v>
      </c>
      <c r="AF72" s="93" t="str">
        <f>IF(FormFields[[#This Row],[Rel]]="",IF(EXACT($AF71,FormFields[[#Headers],[Relation]]),"relation",""),VLOOKUP(FormFields[[#This Row],[Rel]],RelationTable[[Display]:[RELID]],2,0))</f>
        <v/>
      </c>
      <c r="AG72" s="93" t="str">
        <f>IF(FormFields[[#This Row],[Rel1]]="",IF(EXACT($AG71,FormFields[[#Headers],[R1]]),"nest_relation1",""),VLOOKUP(FormFields[[#This Row],[Rel1]],RelationTable[[Display]:[RELID]],2,0))</f>
        <v/>
      </c>
      <c r="AH72" s="93" t="str">
        <f>IF(FormFields[[#This Row],[Rel2]]="",IF(EXACT($AH71,FormFields[[#Headers],[R2]]),"nest_relation2",""),VLOOKUP(FormFields[[#This Row],[Rel2]],RelationTable[[Display]:[RELID]],2,0))</f>
        <v/>
      </c>
      <c r="AI72" s="93" t="str">
        <f>IF(FormFields[[#This Row],[Rel3]]="",IF(EXACT($AI71,FormFields[[#Headers],[R3]]),"nest_relation3",""),VLOOKUP(FormFields[[#This Row],[Rel3]],RelationTable[[Display]:[RELID]],2,0))</f>
        <v/>
      </c>
      <c r="AJ72" s="50">
        <f>IF(OR(FormFields[[#This Row],[Option Type]]="",FormFields[[#This Row],[Option Type]]="type"),0,1)</f>
        <v>0</v>
      </c>
      <c r="AK72" s="50" t="str">
        <f>'Table Seed Map'!$A$13&amp;"-"&amp;COUNTIF($AJ$2:FormFields[[#This Row],[Exists FO]],1)</f>
        <v>Field Options-14</v>
      </c>
      <c r="AL72" s="50">
        <f>IF(FormFields[[#This Row],[Exists FO]]=0,$AL71,IF($AL71=0,IF(ISNUMBER(VLOOKUP('Table Seed Map'!$A$13,SeedMap[],9,0)),VLOOKUP('Table Seed Map'!$A$13,SeedMap[],9,0)+1,1),IFERROR($AL71+1,0)))</f>
        <v>14</v>
      </c>
      <c r="AM72" s="50">
        <f>FormFields[[#This Row],[NO4]]</f>
        <v>14</v>
      </c>
      <c r="AN72" s="39">
        <f>[ID]</f>
        <v>70</v>
      </c>
      <c r="AO72" s="73"/>
      <c r="AP72" s="73"/>
      <c r="AQ72" s="73"/>
      <c r="AR72" s="73"/>
      <c r="AS72" s="73"/>
      <c r="AT72" s="50">
        <f>IF(OR(FormFields[[#This Row],[Colspan]]="",FormFields[[#This Row],[Colspan]]="colspan"),0,1)</f>
        <v>1</v>
      </c>
      <c r="AU72" s="50" t="str">
        <f>'Table Seed Map'!$A$18&amp;"-"&amp;SUM($AT$2:FormFields[[#This Row],[Exists FL]])</f>
        <v>Form Layout-43</v>
      </c>
      <c r="AV72" s="50">
        <f>IF(FormFields[[#This Row],[Exists FL]]=0,IF(FormFields[[#This Row],[Form Name]]="","id",""),SUM($AT$3:FormFields[[#This Row],[Exists FL]],IF(VLOOKUP('Table Seed Map'!$A$18,SeedMap[],9,0),VLOOKUP('Table Seed Map'!$A$18,SeedMap[],9,0),0)))</f>
        <v>43</v>
      </c>
      <c r="AW72" s="50">
        <f>FormFields[[#This Row],[NO8]]</f>
        <v>43</v>
      </c>
      <c r="AX72" s="50">
        <f>[Form]</f>
        <v>14</v>
      </c>
      <c r="AY72" s="50">
        <f>[ID]</f>
        <v>70</v>
      </c>
      <c r="AZ72" s="75">
        <v>6</v>
      </c>
    </row>
    <row r="73" spans="13:52">
      <c r="M73" s="51" t="str">
        <f>'Table Seed Map'!$A$11&amp;"-"&amp;(COUNTA($Q$1:FormFields[[#This Row],[ID]])-2)</f>
        <v>Form Fields-71</v>
      </c>
      <c r="N73" s="53" t="s">
        <v>1367</v>
      </c>
      <c r="O73" s="50">
        <f>IF(FormFields[[#This Row],[Form Name]]="","id",COUNTA($N$3:FormFields[[#This Row],[Form Name]])+IF(VLOOKUP('Table Seed Map'!$A$11,SeedMap[],9,0),VLOOKUP('Table Seed Map'!$A$11,SeedMap[],9,0),0))</f>
        <v>71</v>
      </c>
      <c r="P73" s="51" t="str">
        <f>FormFields[[#This Row],[Form Name]]&amp;"/"&amp;FormFields[[#This Row],[Name]]</f>
        <v>Group/NewGroupForm/description</v>
      </c>
      <c r="Q73" s="50">
        <f>FormFields[[#This Row],[No]]</f>
        <v>71</v>
      </c>
      <c r="R73" s="92">
        <f>VLOOKUP(FormFields[[#This Row],[Form Name]],ResourceForms[[FormName]:[No]],2,0)</f>
        <v>14</v>
      </c>
      <c r="S73" s="57" t="s">
        <v>28</v>
      </c>
      <c r="T73" s="57" t="s">
        <v>930</v>
      </c>
      <c r="U73" s="57" t="s">
        <v>242</v>
      </c>
      <c r="V73" s="67"/>
      <c r="W73" s="67"/>
      <c r="X73" s="67"/>
      <c r="Y73" s="67"/>
      <c r="Z73" s="68" t="str">
        <f>'Table Seed Map'!$A$12&amp;"-"&amp;(COUNTIF($AB$2:FormFields[[#This Row],[Exists]],1)-1)</f>
        <v>Field Data-71</v>
      </c>
      <c r="AA73" s="69">
        <f>COUNTIF($AB$2:FormFields[[#This Row],[Exists]],1)-1+VLOOKUP('Table Seed Map'!$A$11,SeedMap[],9,0)</f>
        <v>71</v>
      </c>
      <c r="AB73" s="69">
        <f>IF(AND(FormFields[[#This Row],[Attribute]]="",FormFields[[#This Row],[Relation]]=""),0,1)</f>
        <v>1</v>
      </c>
      <c r="AC73" s="69">
        <f>FormFields[[#This Row],[NO2]]</f>
        <v>71</v>
      </c>
      <c r="AD73" s="70">
        <f>[ID]</f>
        <v>71</v>
      </c>
      <c r="AE73" s="69" t="str">
        <f>[Name]</f>
        <v>description</v>
      </c>
      <c r="AF73" s="93" t="str">
        <f>IF(FormFields[[#This Row],[Rel]]="",IF(EXACT($AF72,FormFields[[#Headers],[Relation]]),"relation",""),VLOOKUP(FormFields[[#This Row],[Rel]],RelationTable[[Display]:[RELID]],2,0))</f>
        <v/>
      </c>
      <c r="AG73" s="93" t="str">
        <f>IF(FormFields[[#This Row],[Rel1]]="",IF(EXACT($AG72,FormFields[[#Headers],[R1]]),"nest_relation1",""),VLOOKUP(FormFields[[#This Row],[Rel1]],RelationTable[[Display]:[RELID]],2,0))</f>
        <v/>
      </c>
      <c r="AH73" s="93" t="str">
        <f>IF(FormFields[[#This Row],[Rel2]]="",IF(EXACT($AH72,FormFields[[#Headers],[R2]]),"nest_relation2",""),VLOOKUP(FormFields[[#This Row],[Rel2]],RelationTable[[Display]:[RELID]],2,0))</f>
        <v/>
      </c>
      <c r="AI73" s="93" t="str">
        <f>IF(FormFields[[#This Row],[Rel3]]="",IF(EXACT($AI72,FormFields[[#Headers],[R3]]),"nest_relation3",""),VLOOKUP(FormFields[[#This Row],[Rel3]],RelationTable[[Display]:[RELID]],2,0))</f>
        <v/>
      </c>
      <c r="AJ73" s="50">
        <f>IF(OR(FormFields[[#This Row],[Option Type]]="",FormFields[[#This Row],[Option Type]]="type"),0,1)</f>
        <v>0</v>
      </c>
      <c r="AK73" s="50" t="str">
        <f>'Table Seed Map'!$A$13&amp;"-"&amp;COUNTIF($AJ$2:FormFields[[#This Row],[Exists FO]],1)</f>
        <v>Field Options-14</v>
      </c>
      <c r="AL73" s="50">
        <f>IF(FormFields[[#This Row],[Exists FO]]=0,$AL72,IF($AL72=0,IF(ISNUMBER(VLOOKUP('Table Seed Map'!$A$13,SeedMap[],9,0)),VLOOKUP('Table Seed Map'!$A$13,SeedMap[],9,0)+1,1),IFERROR($AL72+1,0)))</f>
        <v>14</v>
      </c>
      <c r="AM73" s="50">
        <f>FormFields[[#This Row],[NO4]]</f>
        <v>14</v>
      </c>
      <c r="AN73" s="39">
        <f>[ID]</f>
        <v>71</v>
      </c>
      <c r="AO73" s="73"/>
      <c r="AP73" s="73"/>
      <c r="AQ73" s="73"/>
      <c r="AR73" s="73"/>
      <c r="AS73" s="73"/>
      <c r="AT73" s="50">
        <f>IF(OR(FormFields[[#This Row],[Colspan]]="",FormFields[[#This Row],[Colspan]]="colspan"),0,1)</f>
        <v>1</v>
      </c>
      <c r="AU73" s="50" t="str">
        <f>'Table Seed Map'!$A$18&amp;"-"&amp;SUM($AT$2:FormFields[[#This Row],[Exists FL]])</f>
        <v>Form Layout-44</v>
      </c>
      <c r="AV73" s="50">
        <f>IF(FormFields[[#This Row],[Exists FL]]=0,IF(FormFields[[#This Row],[Form Name]]="","id",""),SUM($AT$3:FormFields[[#This Row],[Exists FL]],IF(VLOOKUP('Table Seed Map'!$A$18,SeedMap[],9,0),VLOOKUP('Table Seed Map'!$A$18,SeedMap[],9,0),0)))</f>
        <v>44</v>
      </c>
      <c r="AW73" s="50">
        <f>FormFields[[#This Row],[NO8]]</f>
        <v>44</v>
      </c>
      <c r="AX73" s="50">
        <f>[Form]</f>
        <v>14</v>
      </c>
      <c r="AY73" s="50">
        <f>[ID]</f>
        <v>71</v>
      </c>
      <c r="AZ73" s="75">
        <v>12</v>
      </c>
    </row>
    <row r="74" spans="13:52">
      <c r="M74" s="51" t="str">
        <f>'Table Seed Map'!$A$11&amp;"-"&amp;(COUNTA($Q$1:FormFields[[#This Row],[ID]])-2)</f>
        <v>Form Fields-72</v>
      </c>
      <c r="N74" s="53" t="s">
        <v>1387</v>
      </c>
      <c r="O74" s="50">
        <f>IF(FormFields[[#This Row],[Form Name]]="","id",COUNTA($N$3:FormFields[[#This Row],[Form Name]])+IF(VLOOKUP('Table Seed Map'!$A$11,SeedMap[],9,0),VLOOKUP('Table Seed Map'!$A$11,SeedMap[],9,0),0))</f>
        <v>72</v>
      </c>
      <c r="P74" s="51" t="str">
        <f>FormFields[[#This Row],[Form Name]]&amp;"/"&amp;FormFields[[#This Row],[Name]]</f>
        <v>Role/NewRoleForm/name</v>
      </c>
      <c r="Q74" s="50">
        <f>FormFields[[#This Row],[No]]</f>
        <v>72</v>
      </c>
      <c r="R74" s="92">
        <f>VLOOKUP(FormFields[[#This Row],[Form Name]],ResourceForms[[FormName]:[No]],2,0)</f>
        <v>15</v>
      </c>
      <c r="S74" s="57" t="s">
        <v>26</v>
      </c>
      <c r="T74" s="57" t="s">
        <v>231</v>
      </c>
      <c r="U74" s="57" t="s">
        <v>1</v>
      </c>
      <c r="V74" s="67"/>
      <c r="W74" s="67"/>
      <c r="X74" s="67"/>
      <c r="Y74" s="67"/>
      <c r="Z74" s="68" t="str">
        <f>'Table Seed Map'!$A$12&amp;"-"&amp;(COUNTIF($AB$2:FormFields[[#This Row],[Exists]],1)-1)</f>
        <v>Field Data-72</v>
      </c>
      <c r="AA74" s="69">
        <f>COUNTIF($AB$2:FormFields[[#This Row],[Exists]],1)-1+VLOOKUP('Table Seed Map'!$A$11,SeedMap[],9,0)</f>
        <v>72</v>
      </c>
      <c r="AB74" s="69">
        <f>IF(AND(FormFields[[#This Row],[Attribute]]="",FormFields[[#This Row],[Relation]]=""),0,1)</f>
        <v>1</v>
      </c>
      <c r="AC74" s="69">
        <f>FormFields[[#This Row],[NO2]]</f>
        <v>72</v>
      </c>
      <c r="AD74" s="70">
        <f>[ID]</f>
        <v>72</v>
      </c>
      <c r="AE74" s="69" t="str">
        <f>[Name]</f>
        <v>name</v>
      </c>
      <c r="AF74" s="93" t="str">
        <f>IF(FormFields[[#This Row],[Rel]]="",IF(EXACT($AF73,FormFields[[#Headers],[Relation]]),"relation",""),VLOOKUP(FormFields[[#This Row],[Rel]],RelationTable[[Display]:[RELID]],2,0))</f>
        <v/>
      </c>
      <c r="AG74" s="93" t="str">
        <f>IF(FormFields[[#This Row],[Rel1]]="",IF(EXACT($AG73,FormFields[[#Headers],[R1]]),"nest_relation1",""),VLOOKUP(FormFields[[#This Row],[Rel1]],RelationTable[[Display]:[RELID]],2,0))</f>
        <v/>
      </c>
      <c r="AH74" s="93" t="str">
        <f>IF(FormFields[[#This Row],[Rel2]]="",IF(EXACT($AH73,FormFields[[#Headers],[R2]]),"nest_relation2",""),VLOOKUP(FormFields[[#This Row],[Rel2]],RelationTable[[Display]:[RELID]],2,0))</f>
        <v/>
      </c>
      <c r="AI74" s="93" t="str">
        <f>IF(FormFields[[#This Row],[Rel3]]="",IF(EXACT($AI73,FormFields[[#Headers],[R3]]),"nest_relation3",""),VLOOKUP(FormFields[[#This Row],[Rel3]],RelationTable[[Display]:[RELID]],2,0))</f>
        <v/>
      </c>
      <c r="AJ74" s="50">
        <f>IF(OR(FormFields[[#This Row],[Option Type]]="",FormFields[[#This Row],[Option Type]]="type"),0,1)</f>
        <v>0</v>
      </c>
      <c r="AK74" s="50" t="str">
        <f>'Table Seed Map'!$A$13&amp;"-"&amp;COUNTIF($AJ$2:FormFields[[#This Row],[Exists FO]],1)</f>
        <v>Field Options-14</v>
      </c>
      <c r="AL74" s="50">
        <f>IF(FormFields[[#This Row],[Exists FO]]=0,$AL73,IF($AL73=0,IF(ISNUMBER(VLOOKUP('Table Seed Map'!$A$13,SeedMap[],9,0)),VLOOKUP('Table Seed Map'!$A$13,SeedMap[],9,0)+1,1),IFERROR($AL73+1,0)))</f>
        <v>14</v>
      </c>
      <c r="AM74" s="50">
        <f>FormFields[[#This Row],[NO4]]</f>
        <v>14</v>
      </c>
      <c r="AN74" s="39">
        <f>[ID]</f>
        <v>72</v>
      </c>
      <c r="AO74" s="73"/>
      <c r="AP74" s="73"/>
      <c r="AQ74" s="73"/>
      <c r="AR74" s="73"/>
      <c r="AS74" s="73"/>
      <c r="AT74" s="50">
        <f>IF(OR(FormFields[[#This Row],[Colspan]]="",FormFields[[#This Row],[Colspan]]="colspan"),0,1)</f>
        <v>1</v>
      </c>
      <c r="AU74" s="50" t="str">
        <f>'Table Seed Map'!$A$18&amp;"-"&amp;SUM($AT$2:FormFields[[#This Row],[Exists FL]])</f>
        <v>Form Layout-45</v>
      </c>
      <c r="AV74" s="50">
        <f>IF(FormFields[[#This Row],[Exists FL]]=0,IF(FormFields[[#This Row],[Form Name]]="","id",""),SUM($AT$3:FormFields[[#This Row],[Exists FL]],IF(VLOOKUP('Table Seed Map'!$A$18,SeedMap[],9,0),VLOOKUP('Table Seed Map'!$A$18,SeedMap[],9,0),0)))</f>
        <v>45</v>
      </c>
      <c r="AW74" s="50">
        <f>FormFields[[#This Row],[NO8]]</f>
        <v>45</v>
      </c>
      <c r="AX74" s="50">
        <f>[Form]</f>
        <v>15</v>
      </c>
      <c r="AY74" s="50">
        <f>[ID]</f>
        <v>72</v>
      </c>
      <c r="AZ74" s="75">
        <v>6</v>
      </c>
    </row>
    <row r="75" spans="13:52">
      <c r="M75" s="94" t="str">
        <f>'Table Seed Map'!$A$11&amp;"-"&amp;(COUNTA($Q$1:FormFields[[#This Row],[ID]])-2)</f>
        <v>Form Fields-73</v>
      </c>
      <c r="N75" s="53" t="s">
        <v>1387</v>
      </c>
      <c r="O75" s="95">
        <f>IF(FormFields[[#This Row],[Form Name]]="","id",COUNTA($N$3:FormFields[[#This Row],[Form Name]])+IF(VLOOKUP('Table Seed Map'!$A$11,SeedMap[],9,0),VLOOKUP('Table Seed Map'!$A$11,SeedMap[],9,0),0))</f>
        <v>73</v>
      </c>
      <c r="P75" s="94" t="str">
        <f>FormFields[[#This Row],[Form Name]]&amp;"/"&amp;FormFields[[#This Row],[Name]]</f>
        <v>Role/NewRoleForm/title</v>
      </c>
      <c r="Q75" s="95">
        <f>FormFields[[#This Row],[No]]</f>
        <v>73</v>
      </c>
      <c r="R75" s="96">
        <f>VLOOKUP(FormFields[[#This Row],[Form Name]],ResourceForms[[FormName]:[No]],2,0)</f>
        <v>15</v>
      </c>
      <c r="S75" s="116" t="s">
        <v>30</v>
      </c>
      <c r="T75" s="116" t="s">
        <v>231</v>
      </c>
      <c r="U75" s="57" t="s">
        <v>236</v>
      </c>
      <c r="V75" s="97"/>
      <c r="W75" s="97"/>
      <c r="X75" s="97"/>
      <c r="Y75" s="97"/>
      <c r="Z75" s="98" t="str">
        <f>'Table Seed Map'!$A$12&amp;"-"&amp;(COUNTIF($AB$2:FormFields[[#This Row],[Exists]],1)-1)</f>
        <v>Field Data-73</v>
      </c>
      <c r="AA75" s="99">
        <f>COUNTIF($AB$2:FormFields[[#This Row],[Exists]],1)-1+VLOOKUP('Table Seed Map'!$A$11,SeedMap[],9,0)</f>
        <v>73</v>
      </c>
      <c r="AB75" s="99">
        <f>IF(AND(FormFields[[#This Row],[Attribute]]="",FormFields[[#This Row],[Relation]]=""),0,1)</f>
        <v>1</v>
      </c>
      <c r="AC75" s="99">
        <f>FormFields[[#This Row],[NO2]]</f>
        <v>73</v>
      </c>
      <c r="AD75" s="100">
        <f>[ID]</f>
        <v>73</v>
      </c>
      <c r="AE75" s="99" t="str">
        <f>[Name]</f>
        <v>title</v>
      </c>
      <c r="AF75" s="115" t="str">
        <f>IF(FormFields[[#This Row],[Rel]]="",IF(EXACT($AF74,FormFields[[#Headers],[Relation]]),"relation",""),VLOOKUP(FormFields[[#This Row],[Rel]],RelationTable[[Display]:[RELID]],2,0))</f>
        <v/>
      </c>
      <c r="AG75" s="115" t="str">
        <f>IF(FormFields[[#This Row],[Rel1]]="",IF(EXACT($AG74,FormFields[[#Headers],[R1]]),"nest_relation1",""),VLOOKUP(FormFields[[#This Row],[Rel1]],RelationTable[[Display]:[RELID]],2,0))</f>
        <v/>
      </c>
      <c r="AH75" s="115" t="str">
        <f>IF(FormFields[[#This Row],[Rel2]]="",IF(EXACT($AH74,FormFields[[#Headers],[R2]]),"nest_relation2",""),VLOOKUP(FormFields[[#This Row],[Rel2]],RelationTable[[Display]:[RELID]],2,0))</f>
        <v/>
      </c>
      <c r="AI75" s="115" t="str">
        <f>IF(FormFields[[#This Row],[Rel3]]="",IF(EXACT($AI74,FormFields[[#Headers],[R3]]),"nest_relation3",""),VLOOKUP(FormFields[[#This Row],[Rel3]],RelationTable[[Display]:[RELID]],2,0))</f>
        <v/>
      </c>
      <c r="AJ75" s="95">
        <f>IF(OR(FormFields[[#This Row],[Option Type]]="",FormFields[[#This Row],[Option Type]]="type"),0,1)</f>
        <v>0</v>
      </c>
      <c r="AK75" s="95" t="str">
        <f>'Table Seed Map'!$A$13&amp;"-"&amp;COUNTIF($AJ$2:FormFields[[#This Row],[Exists FO]],1)</f>
        <v>Field Options-14</v>
      </c>
      <c r="AL75" s="95">
        <f>IF(FormFields[[#This Row],[Exists FO]]=0,$AL74,IF($AL74=0,IF(ISNUMBER(VLOOKUP('Table Seed Map'!$A$13,SeedMap[],9,0)),VLOOKUP('Table Seed Map'!$A$13,SeedMap[],9,0)+1,1),IFERROR($AL74+1,0)))</f>
        <v>14</v>
      </c>
      <c r="AM75" s="95">
        <f>FormFields[[#This Row],[NO4]]</f>
        <v>14</v>
      </c>
      <c r="AN75" s="101">
        <f>[ID]</f>
        <v>73</v>
      </c>
      <c r="AO75" s="102"/>
      <c r="AP75" s="102"/>
      <c r="AQ75" s="102"/>
      <c r="AR75" s="102"/>
      <c r="AS75" s="102"/>
      <c r="AT75" s="95">
        <f>IF(OR(FormFields[[#This Row],[Colspan]]="",FormFields[[#This Row],[Colspan]]="colspan"),0,1)</f>
        <v>1</v>
      </c>
      <c r="AU75" s="95" t="str">
        <f>'Table Seed Map'!$A$18&amp;"-"&amp;SUM($AT$2:FormFields[[#This Row],[Exists FL]])</f>
        <v>Form Layout-46</v>
      </c>
      <c r="AV75" s="95">
        <f>IF(FormFields[[#This Row],[Exists FL]]=0,IF(FormFields[[#This Row],[Form Name]]="","id",""),SUM($AT$3:FormFields[[#This Row],[Exists FL]],IF(VLOOKUP('Table Seed Map'!$A$18,SeedMap[],9,0),VLOOKUP('Table Seed Map'!$A$18,SeedMap[],9,0),0)))</f>
        <v>46</v>
      </c>
      <c r="AW75" s="95">
        <f>FormFields[[#This Row],[NO8]]</f>
        <v>46</v>
      </c>
      <c r="AX75" s="95">
        <f>[Form]</f>
        <v>15</v>
      </c>
      <c r="AY75" s="95">
        <f>[ID]</f>
        <v>73</v>
      </c>
      <c r="AZ75" s="103">
        <v>6</v>
      </c>
    </row>
    <row r="76" spans="13:52">
      <c r="M76" s="94" t="str">
        <f>'Table Seed Map'!$A$11&amp;"-"&amp;(COUNTA($Q$1:FormFields[[#This Row],[ID]])-2)</f>
        <v>Form Fields-74</v>
      </c>
      <c r="N76" s="53" t="s">
        <v>1387</v>
      </c>
      <c r="O76" s="95">
        <f>IF(FormFields[[#This Row],[Form Name]]="","id",COUNTA($N$3:FormFields[[#This Row],[Form Name]])+IF(VLOOKUP('Table Seed Map'!$A$11,SeedMap[],9,0),VLOOKUP('Table Seed Map'!$A$11,SeedMap[],9,0),0))</f>
        <v>74</v>
      </c>
      <c r="P76" s="94" t="str">
        <f>FormFields[[#This Row],[Form Name]]&amp;"/"&amp;FormFields[[#This Row],[Name]]</f>
        <v>Role/NewRoleForm/description</v>
      </c>
      <c r="Q76" s="95">
        <f>FormFields[[#This Row],[No]]</f>
        <v>74</v>
      </c>
      <c r="R76" s="96">
        <f>VLOOKUP(FormFields[[#This Row],[Form Name]],ResourceForms[[FormName]:[No]],2,0)</f>
        <v>15</v>
      </c>
      <c r="S76" s="116" t="s">
        <v>28</v>
      </c>
      <c r="T76" s="116" t="s">
        <v>930</v>
      </c>
      <c r="U76" s="57" t="s">
        <v>242</v>
      </c>
      <c r="V76" s="97"/>
      <c r="W76" s="97"/>
      <c r="X76" s="97"/>
      <c r="Y76" s="97"/>
      <c r="Z76" s="98" t="str">
        <f>'Table Seed Map'!$A$12&amp;"-"&amp;(COUNTIF($AB$2:FormFields[[#This Row],[Exists]],1)-1)</f>
        <v>Field Data-74</v>
      </c>
      <c r="AA76" s="99">
        <f>COUNTIF($AB$2:FormFields[[#This Row],[Exists]],1)-1+VLOOKUP('Table Seed Map'!$A$11,SeedMap[],9,0)</f>
        <v>74</v>
      </c>
      <c r="AB76" s="99">
        <f>IF(AND(FormFields[[#This Row],[Attribute]]="",FormFields[[#This Row],[Relation]]=""),0,1)</f>
        <v>1</v>
      </c>
      <c r="AC76" s="99">
        <f>FormFields[[#This Row],[NO2]]</f>
        <v>74</v>
      </c>
      <c r="AD76" s="100">
        <f>[ID]</f>
        <v>74</v>
      </c>
      <c r="AE76" s="99" t="str">
        <f>[Name]</f>
        <v>description</v>
      </c>
      <c r="AF76" s="115" t="str">
        <f>IF(FormFields[[#This Row],[Rel]]="",IF(EXACT($AF75,FormFields[[#Headers],[Relation]]),"relation",""),VLOOKUP(FormFields[[#This Row],[Rel]],RelationTable[[Display]:[RELID]],2,0))</f>
        <v/>
      </c>
      <c r="AG76" s="115" t="str">
        <f>IF(FormFields[[#This Row],[Rel1]]="",IF(EXACT($AG75,FormFields[[#Headers],[R1]]),"nest_relation1",""),VLOOKUP(FormFields[[#This Row],[Rel1]],RelationTable[[Display]:[RELID]],2,0))</f>
        <v/>
      </c>
      <c r="AH76" s="115" t="str">
        <f>IF(FormFields[[#This Row],[Rel2]]="",IF(EXACT($AH75,FormFields[[#Headers],[R2]]),"nest_relation2",""),VLOOKUP(FormFields[[#This Row],[Rel2]],RelationTable[[Display]:[RELID]],2,0))</f>
        <v/>
      </c>
      <c r="AI76" s="115" t="str">
        <f>IF(FormFields[[#This Row],[Rel3]]="",IF(EXACT($AI75,FormFields[[#Headers],[R3]]),"nest_relation3",""),VLOOKUP(FormFields[[#This Row],[Rel3]],RelationTable[[Display]:[RELID]],2,0))</f>
        <v/>
      </c>
      <c r="AJ76" s="95">
        <f>IF(OR(FormFields[[#This Row],[Option Type]]="",FormFields[[#This Row],[Option Type]]="type"),0,1)</f>
        <v>0</v>
      </c>
      <c r="AK76" s="95" t="str">
        <f>'Table Seed Map'!$A$13&amp;"-"&amp;COUNTIF($AJ$2:FormFields[[#This Row],[Exists FO]],1)</f>
        <v>Field Options-14</v>
      </c>
      <c r="AL76" s="95">
        <f>IF(FormFields[[#This Row],[Exists FO]]=0,$AL75,IF($AL75=0,IF(ISNUMBER(VLOOKUP('Table Seed Map'!$A$13,SeedMap[],9,0)),VLOOKUP('Table Seed Map'!$A$13,SeedMap[],9,0)+1,1),IFERROR($AL75+1,0)))</f>
        <v>14</v>
      </c>
      <c r="AM76" s="95">
        <f>FormFields[[#This Row],[NO4]]</f>
        <v>14</v>
      </c>
      <c r="AN76" s="101">
        <f>[ID]</f>
        <v>74</v>
      </c>
      <c r="AO76" s="102"/>
      <c r="AP76" s="102"/>
      <c r="AQ76" s="102"/>
      <c r="AR76" s="102"/>
      <c r="AS76" s="102"/>
      <c r="AT76" s="95">
        <f>IF(OR(FormFields[[#This Row],[Colspan]]="",FormFields[[#This Row],[Colspan]]="colspan"),0,1)</f>
        <v>1</v>
      </c>
      <c r="AU76" s="95" t="str">
        <f>'Table Seed Map'!$A$18&amp;"-"&amp;SUM($AT$2:FormFields[[#This Row],[Exists FL]])</f>
        <v>Form Layout-47</v>
      </c>
      <c r="AV76" s="95">
        <f>IF(FormFields[[#This Row],[Exists FL]]=0,IF(FormFields[[#This Row],[Form Name]]="","id",""),SUM($AT$3:FormFields[[#This Row],[Exists FL]],IF(VLOOKUP('Table Seed Map'!$A$18,SeedMap[],9,0),VLOOKUP('Table Seed Map'!$A$18,SeedMap[],9,0),0)))</f>
        <v>47</v>
      </c>
      <c r="AW76" s="95">
        <f>FormFields[[#This Row],[NO8]]</f>
        <v>47</v>
      </c>
      <c r="AX76" s="95">
        <f>[Form]</f>
        <v>15</v>
      </c>
      <c r="AY76" s="95">
        <f>[ID]</f>
        <v>74</v>
      </c>
      <c r="AZ76" s="103">
        <v>12</v>
      </c>
    </row>
    <row r="77" spans="13:52">
      <c r="M77" s="51" t="str">
        <f>'Table Seed Map'!$A$11&amp;"-"&amp;(COUNTA($Q$1:FormFields[[#This Row],[ID]])-2)</f>
        <v>Form Fields-75</v>
      </c>
      <c r="N77" s="53" t="s">
        <v>1413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ResourceRole/AddRoleResourceForm/role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144</v>
      </c>
      <c r="T77" s="57" t="s">
        <v>234</v>
      </c>
      <c r="U77" s="57" t="s">
        <v>1414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COUNTIF($AB$2:FormFields[[#This Row],[Exists]],1)-1+VLOOKUP('Table Seed Map'!$A$11,SeedMap[],9,0)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role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1</v>
      </c>
      <c r="AK77" s="50" t="str">
        <f>'Table Seed Map'!$A$13&amp;"-"&amp;COUNTIF($AJ$2:FormFields[[#This Row],[Exists FO]],1)</f>
        <v>Field Options-15</v>
      </c>
      <c r="AL77" s="50">
        <f>IF(FormFields[[#This Row],[Exists FO]]=0,$AL76,IF($AL76=0,IF(ISNUMBER(VLOOKUP('Table Seed Map'!$A$13,SeedMap[],9,0)),VLOOKUP('Table Seed Map'!$A$13,SeedMap[],9,0)+1,1),IFERROR($AL76+1,0)))</f>
        <v>15</v>
      </c>
      <c r="AM77" s="50">
        <f>FormFields[[#This Row],[NO4]]</f>
        <v>15</v>
      </c>
      <c r="AN77" s="39">
        <f>[ID]</f>
        <v>75</v>
      </c>
      <c r="AO77" s="73" t="s">
        <v>671</v>
      </c>
      <c r="AP77" s="73"/>
      <c r="AQ77" s="73" t="s">
        <v>21</v>
      </c>
      <c r="AR77" s="73" t="s">
        <v>30</v>
      </c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Layout-48</v>
      </c>
      <c r="AV77" s="50">
        <f>IF(FormFields[[#This Row],[Exists FL]]=0,IF(FormFields[[#This Row],[Form Name]]="","id",""),SUM($AT$3:FormFields[[#This Row],[Exists FL]],IF(VLOOKUP('Table Seed Map'!$A$18,SeedMap[],9,0),VLOOKUP('Table Seed Map'!$A$18,SeedMap[],9,0),0)))</f>
        <v>48</v>
      </c>
      <c r="AW77" s="50">
        <f>FormFields[[#This Row],[NO8]]</f>
        <v>48</v>
      </c>
      <c r="AX77" s="50">
        <f>[Form]</f>
        <v>16</v>
      </c>
      <c r="AY77" s="50">
        <f>[ID]</f>
        <v>75</v>
      </c>
      <c r="AZ77" s="75">
        <v>12</v>
      </c>
    </row>
    <row r="78" spans="13:52">
      <c r="M78" s="51" t="str">
        <f>'Table Seed Map'!$A$11&amp;"-"&amp;(COUNTA($Q$1:FormFields[[#This Row],[ID]])-2)</f>
        <v>Form Fields-76</v>
      </c>
      <c r="N78" s="53" t="s">
        <v>1413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ResourceRole/AddRoleResourceForm/resource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23</v>
      </c>
      <c r="T78" s="57" t="s">
        <v>234</v>
      </c>
      <c r="U78" s="57" t="s">
        <v>949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COUNTIF($AB$2:FormFields[[#This Row],[Exists]],1)-1+VLOOKUP('Table Seed Map'!$A$11,SeedMap[],9,0)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resource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1</v>
      </c>
      <c r="AK78" s="50" t="str">
        <f>'Table Seed Map'!$A$13&amp;"-"&amp;COUNTIF($AJ$2:FormFields[[#This Row],[Exists FO]],1)</f>
        <v>Field Options-16</v>
      </c>
      <c r="AL78" s="50">
        <f>IF(FormFields[[#This Row],[Exists FO]]=0,$AL77,IF($AL77=0,IF(ISNUMBER(VLOOKUP('Table Seed Map'!$A$13,SeedMap[],9,0)),VLOOKUP('Table Seed Map'!$A$13,SeedMap[],9,0)+1,1),IFERROR($AL77+1,0)))</f>
        <v>16</v>
      </c>
      <c r="AM78" s="50">
        <f>FormFields[[#This Row],[NO4]]</f>
        <v>16</v>
      </c>
      <c r="AN78" s="39">
        <f>[ID]</f>
        <v>76</v>
      </c>
      <c r="AO78" s="73" t="s">
        <v>671</v>
      </c>
      <c r="AP78" s="73"/>
      <c r="AQ78" s="73" t="s">
        <v>21</v>
      </c>
      <c r="AR78" s="73" t="s">
        <v>26</v>
      </c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Layout-49</v>
      </c>
      <c r="AV78" s="50">
        <f>IF(FormFields[[#This Row],[Exists FL]]=0,IF(FormFields[[#This Row],[Form Name]]="","id",""),SUM($AT$3:FormFields[[#This Row],[Exists FL]],IF(VLOOKUP('Table Seed Map'!$A$18,SeedMap[],9,0),VLOOKUP('Table Seed Map'!$A$18,SeedMap[],9,0),0)))</f>
        <v>49</v>
      </c>
      <c r="AW78" s="50">
        <f>FormFields[[#This Row],[NO8]]</f>
        <v>49</v>
      </c>
      <c r="AX78" s="50">
        <f>[Form]</f>
        <v>16</v>
      </c>
      <c r="AY78" s="50">
        <f>[ID]</f>
        <v>76</v>
      </c>
      <c r="AZ78" s="75">
        <v>12</v>
      </c>
    </row>
    <row r="79" spans="13:52">
      <c r="M79" s="51" t="str">
        <f>'Table Seed Map'!$A$11&amp;"-"&amp;(COUNTA($Q$1:FormFields[[#This Row],[ID]])-2)</f>
        <v>Form Fields-77</v>
      </c>
      <c r="N79" s="53" t="s">
        <v>1413</v>
      </c>
      <c r="O79" s="50">
        <f>IF(FormFields[[#This Row],[Form Name]]="","id",COUNTA($N$3:FormFields[[#This Row],[Form Name]])+IF(VLOOKUP('Table Seed Map'!$A$11,SeedMap[],9,0),VLOOKUP('Table Seed Map'!$A$11,SeedMap[],9,0),0))</f>
        <v>77</v>
      </c>
      <c r="P79" s="51" t="str">
        <f>FormFields[[#This Row],[Form Name]]&amp;"/"&amp;FormFields[[#This Row],[Name]]</f>
        <v>ResourceRole/AddRoleResourceForm/actions_availability</v>
      </c>
      <c r="Q79" s="50">
        <f>FormFields[[#This Row],[No]]</f>
        <v>77</v>
      </c>
      <c r="R79" s="92">
        <f>VLOOKUP(FormFields[[#This Row],[Form Name]],ResourceForms[[FormName]:[No]],2,0)</f>
        <v>16</v>
      </c>
      <c r="S79" s="57" t="s">
        <v>289</v>
      </c>
      <c r="T79" s="57" t="s">
        <v>234</v>
      </c>
      <c r="U79" s="57" t="s">
        <v>1415</v>
      </c>
      <c r="V79" s="67"/>
      <c r="W79" s="67"/>
      <c r="X79" s="67"/>
      <c r="Y79" s="67"/>
      <c r="Z79" s="68" t="str">
        <f>'Table Seed Map'!$A$12&amp;"-"&amp;(COUNTIF($AB$2:FormFields[[#This Row],[Exists]],1)-1)</f>
        <v>Field Data-77</v>
      </c>
      <c r="AA79" s="69">
        <f>COUNTIF($AB$2:FormFields[[#This Row],[Exists]],1)-1+VLOOKUP('Table Seed Map'!$A$11,SeedMap[],9,0)</f>
        <v>77</v>
      </c>
      <c r="AB79" s="69">
        <f>IF(AND(FormFields[[#This Row],[Attribute]]="",FormFields[[#This Row],[Relation]]=""),0,1)</f>
        <v>1</v>
      </c>
      <c r="AC79" s="69">
        <f>FormFields[[#This Row],[NO2]]</f>
        <v>77</v>
      </c>
      <c r="AD79" s="70">
        <f>[ID]</f>
        <v>77</v>
      </c>
      <c r="AE79" s="69" t="str">
        <f>[Name]</f>
        <v>actions_availability</v>
      </c>
      <c r="AF79" s="93" t="str">
        <f>IF(FormFields[[#This Row],[Rel]]="",IF(EXACT($AF78,FormFields[[#Headers],[Relation]]),"relation",""),VLOOKUP(FormFields[[#This Row],[Rel]],RelationTable[[Display]:[RELID]],2,0))</f>
        <v/>
      </c>
      <c r="AG79" s="93" t="str">
        <f>IF(FormFields[[#This Row],[Rel1]]="",IF(EXACT($AG78,FormFields[[#Headers],[R1]]),"nest_relation1",""),VLOOKUP(FormFields[[#This Row],[Rel1]],RelationTable[[Display]:[RELID]],2,0))</f>
        <v/>
      </c>
      <c r="AH79" s="93" t="str">
        <f>IF(FormFields[[#This Row],[Rel2]]="",IF(EXACT($AH78,FormFields[[#Headers],[R2]]),"nest_relation2",""),VLOOKUP(FormFields[[#This Row],[Rel2]],RelationTable[[Display]:[RELID]],2,0))</f>
        <v/>
      </c>
      <c r="AI79" s="93" t="str">
        <f>IF(FormFields[[#This Row],[Rel3]]="",IF(EXACT($AI78,FormFields[[#Headers],[R3]]),"nest_relation3",""),VLOOKUP(FormFields[[#This Row],[Rel3]],RelationTable[[Display]:[RELID]],2,0))</f>
        <v/>
      </c>
      <c r="AJ79" s="50">
        <f>IF(OR(FormFields[[#This Row],[Option Type]]="",FormFields[[#This Row],[Option Type]]="type"),0,1)</f>
        <v>1</v>
      </c>
      <c r="AK79" s="50" t="str">
        <f>'Table Seed Map'!$A$13&amp;"-"&amp;COUNTIF($AJ$2:FormFields[[#This Row],[Exists FO]],1)</f>
        <v>Field Options-17</v>
      </c>
      <c r="AL79" s="50">
        <f>IF(FormFields[[#This Row],[Exists FO]]=0,$AL78,IF($AL78=0,IF(ISNUMBER(VLOOKUP('Table Seed Map'!$A$13,SeedMap[],9,0)),VLOOKUP('Table Seed Map'!$A$13,SeedMap[],9,0)+1,1),IFERROR($AL78+1,0)))</f>
        <v>17</v>
      </c>
      <c r="AM79" s="50">
        <f>FormFields[[#This Row],[NO4]]</f>
        <v>17</v>
      </c>
      <c r="AN79" s="39">
        <f>[ID]</f>
        <v>77</v>
      </c>
      <c r="AO79" s="73" t="s">
        <v>1072</v>
      </c>
      <c r="AP79" s="73"/>
      <c r="AQ79" s="73"/>
      <c r="AR79" s="73"/>
      <c r="AS79" s="73"/>
      <c r="AT79" s="50">
        <f>IF(OR(FormFields[[#This Row],[Colspan]]="",FormFields[[#This Row],[Colspan]]="colspan"),0,1)</f>
        <v>1</v>
      </c>
      <c r="AU79" s="50" t="str">
        <f>'Table Seed Map'!$A$18&amp;"-"&amp;SUM($AT$2:FormFields[[#This Row],[Exists FL]])</f>
        <v>Form Layout-50</v>
      </c>
      <c r="AV79" s="50">
        <f>IF(FormFields[[#This Row],[Exists FL]]=0,IF(FormFields[[#This Row],[Form Name]]="","id",""),SUM($AT$3:FormFields[[#This Row],[Exists FL]],IF(VLOOKUP('Table Seed Map'!$A$18,SeedMap[],9,0),VLOOKUP('Table Seed Map'!$A$18,SeedMap[],9,0),0)))</f>
        <v>50</v>
      </c>
      <c r="AW79" s="50">
        <f>FormFields[[#This Row],[NO8]]</f>
        <v>50</v>
      </c>
      <c r="AX79" s="50">
        <f>[Form]</f>
        <v>16</v>
      </c>
      <c r="AY79" s="50">
        <f>[ID]</f>
        <v>77</v>
      </c>
      <c r="AZ79" s="75">
        <v>4</v>
      </c>
    </row>
    <row r="80" spans="13:52">
      <c r="M80" s="51" t="str">
        <f>'Table Seed Map'!$A$11&amp;"-"&amp;(COUNTA($Q$1:FormFields[[#This Row],[ID]])-2)</f>
        <v>Form Fields-78</v>
      </c>
      <c r="N80" s="53" t="s">
        <v>1413</v>
      </c>
      <c r="O80" s="50">
        <f>IF(FormFields[[#This Row],[Form Name]]="","id",COUNTA($N$3:FormFields[[#This Row],[Form Name]])+IF(VLOOKUP('Table Seed Map'!$A$11,SeedMap[],9,0),VLOOKUP('Table Seed Map'!$A$11,SeedMap[],9,0),0))</f>
        <v>78</v>
      </c>
      <c r="P80" s="51" t="str">
        <f>FormFields[[#This Row],[Form Name]]&amp;"/"&amp;FormFields[[#This Row],[Name]]</f>
        <v>ResourceRole/AddRoleResourceForm/actions</v>
      </c>
      <c r="Q80" s="50">
        <f>FormFields[[#This Row],[No]]</f>
        <v>78</v>
      </c>
      <c r="R80" s="92">
        <f>VLOOKUP(FormFields[[#This Row],[Form Name]],ResourceForms[[FormName]:[No]],2,0)</f>
        <v>16</v>
      </c>
      <c r="S80" s="57" t="s">
        <v>287</v>
      </c>
      <c r="T80" s="57" t="s">
        <v>785</v>
      </c>
      <c r="U80" s="57" t="s">
        <v>1416</v>
      </c>
      <c r="V80" s="67"/>
      <c r="W80" s="67"/>
      <c r="X80" s="67"/>
      <c r="Y80" s="67"/>
      <c r="Z80" s="68" t="str">
        <f>'Table Seed Map'!$A$12&amp;"-"&amp;(COUNTIF($AB$2:FormFields[[#This Row],[Exists]],1)-1)</f>
        <v>Field Data-78</v>
      </c>
      <c r="AA80" s="69">
        <f>COUNTIF($AB$2:FormFields[[#This Row],[Exists]],1)-1+VLOOKUP('Table Seed Map'!$A$11,SeedMap[],9,0)</f>
        <v>78</v>
      </c>
      <c r="AB80" s="69">
        <f>IF(AND(FormFields[[#This Row],[Attribute]]="",FormFields[[#This Row],[Relation]]=""),0,1)</f>
        <v>1</v>
      </c>
      <c r="AC80" s="69">
        <f>FormFields[[#This Row],[NO2]]</f>
        <v>78</v>
      </c>
      <c r="AD80" s="70">
        <f>[ID]</f>
        <v>78</v>
      </c>
      <c r="AE80" s="69" t="str">
        <f>[Name]</f>
        <v>actions</v>
      </c>
      <c r="AF80" s="93" t="str">
        <f>IF(FormFields[[#This Row],[Rel]]="",IF(EXACT($AF79,FormFields[[#Headers],[Relation]]),"relation",""),VLOOKUP(FormFields[[#This Row],[Rel]],RelationTable[[Display]:[RELID]],2,0))</f>
        <v/>
      </c>
      <c r="AG80" s="93" t="str">
        <f>IF(FormFields[[#This Row],[Rel1]]="",IF(EXACT($AG79,FormFields[[#Headers],[R1]]),"nest_relation1",""),VLOOKUP(FormFields[[#This Row],[Rel1]],RelationTable[[Display]:[RELID]],2,0))</f>
        <v/>
      </c>
      <c r="AH80" s="93" t="str">
        <f>IF(FormFields[[#This Row],[Rel2]]="",IF(EXACT($AH79,FormFields[[#Headers],[R2]]),"nest_relation2",""),VLOOKUP(FormFields[[#This Row],[Rel2]],RelationTable[[Display]:[RELID]],2,0))</f>
        <v/>
      </c>
      <c r="AI80" s="93" t="str">
        <f>IF(FormFields[[#This Row],[Rel3]]="",IF(EXACT($AI79,FormFields[[#Headers],[R3]]),"nest_relation3",""),VLOOKUP(FormFields[[#This Row],[Rel3]],RelationTable[[Display]:[RELID]],2,0))</f>
        <v/>
      </c>
      <c r="AJ80" s="50">
        <f>IF(OR(FormFields[[#This Row],[Option Type]]="",FormFields[[#This Row],[Option Type]]="type"),0,1)</f>
        <v>1</v>
      </c>
      <c r="AK80" s="50" t="str">
        <f>'Table Seed Map'!$A$13&amp;"-"&amp;COUNTIF($AJ$2:FormFields[[#This Row],[Exists FO]],1)</f>
        <v>Field Options-18</v>
      </c>
      <c r="AL80" s="50">
        <f>IF(FormFields[[#This Row],[Exists FO]]=0,$AL79,IF($AL79=0,IF(ISNUMBER(VLOOKUP('Table Seed Map'!$A$13,SeedMap[],9,0)),VLOOKUP('Table Seed Map'!$A$13,SeedMap[],9,0)+1,1),IFERROR($AL79+1,0)))</f>
        <v>18</v>
      </c>
      <c r="AM80" s="50">
        <f>FormFields[[#This Row],[NO4]]</f>
        <v>18</v>
      </c>
      <c r="AN80" s="39">
        <f>[ID]</f>
        <v>78</v>
      </c>
      <c r="AO80" s="73" t="s">
        <v>277</v>
      </c>
      <c r="AP80" s="73">
        <v>3</v>
      </c>
      <c r="AQ80" s="73" t="s">
        <v>21</v>
      </c>
      <c r="AR80" s="73" t="s">
        <v>26</v>
      </c>
      <c r="AS80" s="73"/>
      <c r="AT80" s="50">
        <f>IF(OR(FormFields[[#This Row],[Colspan]]="",FormFields[[#This Row],[Colspan]]="colspan"),0,1)</f>
        <v>1</v>
      </c>
      <c r="AU80" s="50" t="str">
        <f>'Table Seed Map'!$A$18&amp;"-"&amp;SUM($AT$2:FormFields[[#This Row],[Exists FL]])</f>
        <v>Form Layout-51</v>
      </c>
      <c r="AV80" s="50">
        <f>IF(FormFields[[#This Row],[Exists FL]]=0,IF(FormFields[[#This Row],[Form Name]]="","id",""),SUM($AT$3:FormFields[[#This Row],[Exists FL]],IF(VLOOKUP('Table Seed Map'!$A$18,SeedMap[],9,0),VLOOKUP('Table Seed Map'!$A$18,SeedMap[],9,0),0)))</f>
        <v>51</v>
      </c>
      <c r="AW80" s="50">
        <f>FormFields[[#This Row],[NO8]]</f>
        <v>51</v>
      </c>
      <c r="AX80" s="50">
        <f>[Form]</f>
        <v>16</v>
      </c>
      <c r="AY80" s="50">
        <f>[ID]</f>
        <v>78</v>
      </c>
      <c r="AZ80" s="75">
        <v>8</v>
      </c>
    </row>
  </sheetData>
  <dataValidations count="11">
    <dataValidation type="list" allowBlank="1" showInputMessage="1" showErrorMessage="1" sqref="CQ2:CW2 EL2:EQ3 BV2:BV4 V2:Y80">
      <formula1>Relations</formula1>
    </dataValidation>
    <dataValidation type="list" allowBlank="1" showInputMessage="1" showErrorMessage="1" sqref="CF2 BT2:BU4 DW2:DW3 N2:N80">
      <formula1>FormNames</formula1>
    </dataValidation>
    <dataValidation type="list" allowBlank="1" showInputMessage="1" showErrorMessage="1" sqref="BB2:BB6 DY2:DY3 DL2:DL3 BI2:BI6 CZ2:CZ14 BW2:BW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AS3:AS10">
      <formula1>"Yes,No"</formula1>
    </dataValidation>
    <dataValidation type="list" allowBlank="1" showInputMessage="1" showErrorMessage="1" sqref="AO3:AO10">
      <formula1>"List,Enum,Foreign,Method"</formula1>
    </dataValidation>
    <dataValidation type="list" allowBlank="1" showInputMessage="1" showErrorMessage="1" sqref="D2:D18">
      <formula1>Resources</formula1>
    </dataValidation>
    <dataValidation type="list" allowBlank="1" showInputMessage="1" showErrorMessage="1" sqref="DJ2:DJ14">
      <formula1>"ignore_null,Yes,No"</formula1>
    </dataValidation>
    <dataValidation type="list" allowBlank="1" showInputMessage="1" showErrorMessage="1" sqref="DX2:DX3">
      <formula1>DataNames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239</v>
      </c>
      <c r="B1" s="21" t="s">
        <v>674</v>
      </c>
      <c r="C1" s="21" t="s">
        <v>12</v>
      </c>
      <c r="D1" s="21" t="s">
        <v>675</v>
      </c>
      <c r="E1" s="21" t="s">
        <v>676</v>
      </c>
      <c r="F1" s="21" t="s">
        <v>677</v>
      </c>
      <c r="G1" s="21" t="s">
        <v>678</v>
      </c>
      <c r="H1" s="21" t="s">
        <v>679</v>
      </c>
    </row>
    <row r="2" spans="1:8">
      <c r="A2" s="3">
        <f>IFERROR($A1+1,1)</f>
        <v>1</v>
      </c>
      <c r="B2" s="1" t="s">
        <v>1452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1453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1454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1455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1456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1457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1458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1459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1460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1461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1462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1463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1464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1465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1466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1467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1468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1469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1470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1471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1472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1473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1474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1475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1476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1477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1478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1479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1480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1481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1482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1483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1484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1485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1486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1487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1488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1489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1490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1491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1492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1493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1494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7"/>
  <sheetViews>
    <sheetView topLeftCell="B1" workbookViewId="0">
      <selection activeCell="AY23" sqref="AY23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807</v>
      </c>
      <c r="B1" s="21" t="s">
        <v>240</v>
      </c>
      <c r="C1" s="21" t="s">
        <v>876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1498</v>
      </c>
      <c r="J1" s="21" t="s">
        <v>942</v>
      </c>
      <c r="K1" s="87" t="s">
        <v>742</v>
      </c>
      <c r="M1" s="1" t="s">
        <v>879</v>
      </c>
      <c r="N1" s="1" t="s">
        <v>885</v>
      </c>
      <c r="O1" s="1" t="s">
        <v>881</v>
      </c>
      <c r="P1" s="1" t="s">
        <v>880</v>
      </c>
      <c r="Q1" s="1" t="s">
        <v>882</v>
      </c>
      <c r="R1" s="1" t="s">
        <v>883</v>
      </c>
      <c r="S1" s="1" t="s">
        <v>884</v>
      </c>
      <c r="T1" s="1" t="s">
        <v>891</v>
      </c>
      <c r="U1" s="1" t="s">
        <v>886</v>
      </c>
      <c r="V1" s="1" t="s">
        <v>889</v>
      </c>
      <c r="W1" s="1" t="s">
        <v>887</v>
      </c>
      <c r="X1" s="1" t="s">
        <v>892</v>
      </c>
      <c r="Y1" s="1" t="s">
        <v>888</v>
      </c>
      <c r="Z1" s="1" t="s">
        <v>890</v>
      </c>
      <c r="AA1" s="1" t="s">
        <v>245</v>
      </c>
      <c r="AB1" s="1" t="s">
        <v>735</v>
      </c>
      <c r="AC1" s="1" t="s">
        <v>736</v>
      </c>
      <c r="AD1" s="1" t="s">
        <v>737</v>
      </c>
      <c r="AF1" s="1" t="s">
        <v>807</v>
      </c>
      <c r="AG1" s="1" t="s">
        <v>897</v>
      </c>
      <c r="AH1" s="1" t="s">
        <v>239</v>
      </c>
      <c r="AI1" s="1" t="s">
        <v>850</v>
      </c>
      <c r="AJ1" s="1" t="s">
        <v>13</v>
      </c>
      <c r="AK1" s="1" t="s">
        <v>898</v>
      </c>
      <c r="AL1" s="1" t="s">
        <v>735</v>
      </c>
      <c r="AM1" s="1" t="s">
        <v>736</v>
      </c>
      <c r="AN1" s="1" t="s">
        <v>737</v>
      </c>
      <c r="AO1" s="1" t="s">
        <v>245</v>
      </c>
      <c r="AP1" s="1" t="s">
        <v>899</v>
      </c>
      <c r="AQ1" s="1" t="s">
        <v>900</v>
      </c>
      <c r="AR1" s="1" t="s">
        <v>901</v>
      </c>
      <c r="AT1" s="1" t="s">
        <v>807</v>
      </c>
      <c r="AU1" s="1" t="s">
        <v>904</v>
      </c>
      <c r="AV1" s="1" t="s">
        <v>239</v>
      </c>
      <c r="AW1" s="1" t="s">
        <v>850</v>
      </c>
      <c r="AX1" s="1" t="s">
        <v>244</v>
      </c>
      <c r="AY1" s="1" t="s">
        <v>13</v>
      </c>
      <c r="AZ1" s="1" t="s">
        <v>898</v>
      </c>
      <c r="BA1" s="1" t="s">
        <v>735</v>
      </c>
      <c r="BB1" s="1" t="s">
        <v>736</v>
      </c>
      <c r="BC1" s="1" t="s">
        <v>245</v>
      </c>
      <c r="BD1" s="1" t="s">
        <v>899</v>
      </c>
      <c r="BE1" s="1" t="s">
        <v>900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1496</v>
      </c>
      <c r="J2" s="13" t="s">
        <v>61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440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230</v>
      </c>
      <c r="AY2" s="14" t="s">
        <v>440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767</v>
      </c>
      <c r="G3" s="14" t="s">
        <v>768</v>
      </c>
      <c r="H3" s="14" t="s">
        <v>180</v>
      </c>
      <c r="I3" s="14" t="s">
        <v>26</v>
      </c>
      <c r="J3" s="14">
        <v>25</v>
      </c>
      <c r="K3" s="86">
        <f>[No]</f>
        <v>1</v>
      </c>
      <c r="M3" s="2" t="s">
        <v>893</v>
      </c>
      <c r="N3" s="9">
        <f>VLOOKUP(ListExtras[[#This Row],[List Name]],ResourceList[[ListDisplayName]:[No]],2,0)</f>
        <v>1</v>
      </c>
      <c r="O3" s="2"/>
      <c r="P3" s="2" t="s">
        <v>819</v>
      </c>
      <c r="Q3" s="2"/>
      <c r="R3" s="2"/>
      <c r="S3" s="2"/>
      <c r="T3" s="9" t="str">
        <f>'Table Seed Map'!$A$24&amp;"-"&amp;COUNT($W$1:ListExtras[[#This Row],[Scope ID]])</f>
        <v>List Scopes-0</v>
      </c>
      <c r="U3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" s="16">
        <f>IF(ListExtras[[#This Row],[LID]]=0,"resource_list",ListExtras[[#This Row],[LID]])</f>
        <v>1</v>
      </c>
      <c r="W3" s="16" t="str">
        <f>IFERROR(VLOOKUP(ListExtras[[#This Row],[Scope Name]],ResourceScopes[[ScopesDisplayNames]:[No]],2,0),IF(ListExtras[[#This Row],[LID]]=0,"scope",""))</f>
        <v/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893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9" t="str">
        <f>'Table Seed Map'!$A$23&amp;"-"&amp;COUNTA($B$1:ResourceList[[#This Row],[Resource Name]])-1</f>
        <v>Resource Lists-2</v>
      </c>
      <c r="B4" s="2" t="s">
        <v>204</v>
      </c>
      <c r="C4" s="9" t="str">
        <f>ResourceList[[#This Row],[Resource Name]]&amp;"/"&amp;ResourceList[[#This Row],[Name]]</f>
        <v>Resource/ResourcesList</v>
      </c>
      <c r="D4" s="16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6">
        <f>IFERROR(VLOOKUP(ResourceList[[#This Row],[Resource Name]],ResourceTable[[RName]:[RID]],2,0),"resource")</f>
        <v>4</v>
      </c>
      <c r="F4" s="14" t="s">
        <v>937</v>
      </c>
      <c r="G4" s="14" t="s">
        <v>938</v>
      </c>
      <c r="H4" s="14" t="s">
        <v>216</v>
      </c>
      <c r="I4" s="14" t="s">
        <v>26</v>
      </c>
      <c r="J4" s="14">
        <v>100</v>
      </c>
      <c r="K4" s="86">
        <f>[No]</f>
        <v>2</v>
      </c>
      <c r="M4" s="2" t="s">
        <v>1083</v>
      </c>
      <c r="N4" s="7">
        <f>VLOOKUP(ListExtras[[#This Row],[List Name]],ResourceList[[ListDisplayName]:[No]],2,0)</f>
        <v>3</v>
      </c>
      <c r="O4" s="4"/>
      <c r="P4" s="4" t="s">
        <v>1088</v>
      </c>
      <c r="Q4" s="4"/>
      <c r="R4" s="4"/>
      <c r="S4" s="4"/>
      <c r="T4" s="7" t="str">
        <f>'Table Seed Map'!$A$24&amp;"-"&amp;COUNT($W$1:ListExtras[[#This Row],[Scope ID]])</f>
        <v>List Scopes-0</v>
      </c>
      <c r="U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4" s="17">
        <f>IF(ListExtras[[#This Row],[LID]]=0,"resource_list",ListExtras[[#This Row],[LID]])</f>
        <v>3</v>
      </c>
      <c r="W4" s="17" t="str">
        <f>IFERROR(VLOOKUP(ListExtras[[#This Row],[Scope Name]],ResourceScopes[[ScopesDisplayNames]:[No]],2,0),IF(ListExtras[[#This Row],[LID]]=0,"scope",""))</f>
        <v/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3</v>
      </c>
      <c r="AA4" s="17">
        <f>IFERROR(VLOOKUP(ListExtras[[#This Row],[Relation Name]],RelationTable[[Display]:[RELID]],2,0),IF(ListExtras[[#This Row],[LID]]=0,"relation",""))</f>
        <v>11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893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233</v>
      </c>
      <c r="AY4" s="13" t="s">
        <v>232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7" t="str">
        <f>'Table Seed Map'!$A$23&amp;"-"&amp;COUNTA($B$1:ResourceList[[#This Row],[Resource Name]])-1</f>
        <v>Resource Lists-3</v>
      </c>
      <c r="B5" s="2" t="s">
        <v>255</v>
      </c>
      <c r="C5" s="7" t="str">
        <f>ResourceList[[#This Row],[Resource Name]]&amp;"/"&amp;ResourceList[[#This Row],[Name]]</f>
        <v>ResourceAction/ActionsList</v>
      </c>
      <c r="D5" s="17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7">
        <f>IFERROR(VLOOKUP(ResourceList[[#This Row],[Resource Name]],ResourceTable[[RName]:[RID]],2,0),"resource")</f>
        <v>30</v>
      </c>
      <c r="F5" s="31" t="s">
        <v>1075</v>
      </c>
      <c r="G5" s="31" t="s">
        <v>1076</v>
      </c>
      <c r="H5" s="31" t="s">
        <v>252</v>
      </c>
      <c r="I5" s="31" t="s">
        <v>26</v>
      </c>
      <c r="J5" s="31">
        <v>100</v>
      </c>
      <c r="K5" s="108">
        <f>[No]</f>
        <v>3</v>
      </c>
      <c r="M5" s="2" t="s">
        <v>1083</v>
      </c>
      <c r="N5" s="7">
        <f>VLOOKUP(ListExtras[[#This Row],[List Name]],ResourceList[[ListDisplayName]:[No]],2,0)</f>
        <v>3</v>
      </c>
      <c r="O5" s="4"/>
      <c r="P5" s="4" t="s">
        <v>1041</v>
      </c>
      <c r="Q5" s="4"/>
      <c r="R5" s="4"/>
      <c r="S5" s="4"/>
      <c r="T5" s="7" t="str">
        <f>'Table Seed Map'!$A$24&amp;"-"&amp;COUNT($W$1:ListExtras[[#This Row],[Scope ID]])</f>
        <v>List Scopes-0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3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3</v>
      </c>
      <c r="AA5" s="17">
        <f>IFERROR(VLOOKUP(ListExtras[[#This Row],[Relation Name]],RelationTable[[Display]:[RELID]],2,0),IF(ListExtras[[#This Row],[LID]]=0,"relation",""))</f>
        <v>8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893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177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819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310</v>
      </c>
      <c r="C6" s="7" t="str">
        <f>ResourceList[[#This Row],[Resource Name]]&amp;"/"&amp;ResourceList[[#This Row],[Name]]</f>
        <v>ResourceForm/FormsList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8</v>
      </c>
      <c r="F6" s="31" t="s">
        <v>1077</v>
      </c>
      <c r="G6" s="31" t="s">
        <v>1078</v>
      </c>
      <c r="H6" s="31" t="s">
        <v>312</v>
      </c>
      <c r="I6" s="31" t="s">
        <v>26</v>
      </c>
      <c r="J6" s="31">
        <v>100</v>
      </c>
      <c r="K6" s="108">
        <f>[No]</f>
        <v>4</v>
      </c>
      <c r="M6" s="2" t="s">
        <v>1085</v>
      </c>
      <c r="N6" s="7">
        <f>VLOOKUP(ListExtras[[#This Row],[List Name]],ResourceList[[ListDisplayName]:[No]],2,0)</f>
        <v>4</v>
      </c>
      <c r="O6" s="4"/>
      <c r="P6" s="4" t="s">
        <v>1089</v>
      </c>
      <c r="Q6" s="4"/>
      <c r="R6" s="4"/>
      <c r="S6" s="4"/>
      <c r="T6" s="7" t="str">
        <f>'Table Seed Map'!$A$24&amp;"-"&amp;COUNT($W$1:ListExtras[[#This Row],[Scope ID]])</f>
        <v>List Scopes-0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19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6" t="str">
        <f>'Table Seed Map'!$A$26&amp;"-"&amp;COUNTA($AV$1:ListLayout[[#This Row],[No]])-2</f>
        <v>List Layout-4</v>
      </c>
      <c r="AU6" s="2" t="s">
        <v>939</v>
      </c>
      <c r="AV6" s="16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6">
        <f>IFERROR(VLOOKUP(ListLayout[[#This Row],[List Name for Layout]],ResourceList[[ListDisplayName]:[No]],2,0),"resource_list")</f>
        <v>2</v>
      </c>
      <c r="AX6" s="16" t="s">
        <v>742</v>
      </c>
      <c r="AY6" s="14" t="s">
        <v>21</v>
      </c>
      <c r="AZ6" s="16" t="str">
        <f>IF(ListLayout[[#This Row],[List Name for Layout]]="","relation",IFERROR(VLOOKUP(ListLayout[[#This Row],[Relation]],RelationTable[[Display]:[RELID]],2,0),""))</f>
        <v/>
      </c>
      <c r="BA6" s="16" t="str">
        <f>IF(ListLayout[[#This Row],[List Name for Layout]]="","nest_relation1",IFERROR(VLOOKUP(ListLayout[[#This Row],[Relation 1]],RelationTable[[Display]:[RELID]],2,0),""))</f>
        <v/>
      </c>
      <c r="BB6" s="16" t="str">
        <f>IF(ListLayout[[#This Row],[List Name for Layout]]="","nest_relation2",IFERROR(VLOOKUP(ListLayout[[#This Row],[Relation 2]],RelationTable[[Display]:[RELID]],2,0),""))</f>
        <v/>
      </c>
      <c r="BC6" s="14"/>
      <c r="BD6" s="14"/>
      <c r="BE6" s="14"/>
    </row>
    <row r="7" spans="1:57">
      <c r="A7" s="7" t="str">
        <f>'Table Seed Map'!$A$23&amp;"-"&amp;COUNTA($B$1:ResourceList[[#This Row],[Resource Name]])-1</f>
        <v>Resource Lists-5</v>
      </c>
      <c r="B7" s="2" t="s">
        <v>406</v>
      </c>
      <c r="C7" s="7" t="str">
        <f>ResourceList[[#This Row],[Resource Name]]&amp;"/"&amp;ResourceList[[#This Row],[Name]]</f>
        <v>ResourceList/ListsList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20</v>
      </c>
      <c r="F7" s="31" t="s">
        <v>1079</v>
      </c>
      <c r="G7" s="31" t="s">
        <v>1080</v>
      </c>
      <c r="H7" s="31" t="s">
        <v>299</v>
      </c>
      <c r="I7" s="31" t="s">
        <v>26</v>
      </c>
      <c r="J7" s="31">
        <v>100</v>
      </c>
      <c r="K7" s="108">
        <f>[No]</f>
        <v>5</v>
      </c>
      <c r="M7" s="2" t="s">
        <v>1084</v>
      </c>
      <c r="N7" s="7">
        <f>VLOOKUP(ListExtras[[#This Row],[List Name]],ResourceList[[ListDisplayName]:[No]],2,0)</f>
        <v>5</v>
      </c>
      <c r="O7" s="4"/>
      <c r="P7" s="4" t="s">
        <v>1091</v>
      </c>
      <c r="Q7" s="4"/>
      <c r="R7" s="4"/>
      <c r="S7" s="4"/>
      <c r="T7" s="7" t="str">
        <f>'Table Seed Map'!$A$24&amp;"-"&amp;COUNT($W$1:ListExtras[[#This Row],[Scope ID]])</f>
        <v>List Scopes-0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25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6" t="str">
        <f>'Table Seed Map'!$A$26&amp;"-"&amp;COUNTA($AV$1:ListLayout[[#This Row],[No]])-2</f>
        <v>List Layout-5</v>
      </c>
      <c r="AU7" s="2" t="s">
        <v>939</v>
      </c>
      <c r="AV7" s="16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6">
        <f>IFERROR(VLOOKUP(ListLayout[[#This Row],[List Name for Layout]],ResourceList[[ListDisplayName]:[No]],2,0),"resource_list")</f>
        <v>2</v>
      </c>
      <c r="AX7" s="16" t="s">
        <v>1</v>
      </c>
      <c r="AY7" s="14" t="s">
        <v>26</v>
      </c>
      <c r="AZ7" s="16" t="str">
        <f>IF(ListLayout[[#This Row],[List Name for Layout]]="","relation",IFERROR(VLOOKUP(ListLayout[[#This Row],[Relation]],RelationTable[[Display]:[RELID]],2,0),""))</f>
        <v/>
      </c>
      <c r="BA7" s="16" t="str">
        <f>IF(ListLayout[[#This Row],[List Name for Layout]]="","nest_relation1",IFERROR(VLOOKUP(ListLayout[[#This Row],[Relation 1]],RelationTable[[Display]:[RELID]],2,0),""))</f>
        <v/>
      </c>
      <c r="BB7" s="16" t="str">
        <f>IF(ListLayout[[#This Row],[List Name for Layout]]="","nest_relation2",IFERROR(VLOOKUP(ListLayout[[#This Row],[Relation 2]],RelationTable[[Display]:[RELID]],2,0),""))</f>
        <v/>
      </c>
      <c r="BC7" s="14"/>
      <c r="BD7" s="14"/>
      <c r="BE7" s="14"/>
    </row>
    <row r="8" spans="1:57">
      <c r="A8" s="7" t="str">
        <f>'Table Seed Map'!$A$23&amp;"-"&amp;COUNTA($B$1:ResourceList[[#This Row],[Resource Name]])-1</f>
        <v>Resource Lists-6</v>
      </c>
      <c r="B8" s="2" t="s">
        <v>429</v>
      </c>
      <c r="C8" s="7" t="str">
        <f>ResourceList[[#This Row],[Resource Name]]&amp;"/"&amp;ResourceList[[#This Row],[Name]]</f>
        <v>ResourceData/DataList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25</v>
      </c>
      <c r="F8" s="31" t="s">
        <v>1081</v>
      </c>
      <c r="G8" s="31" t="s">
        <v>1082</v>
      </c>
      <c r="H8" s="31" t="s">
        <v>301</v>
      </c>
      <c r="I8" s="31" t="s">
        <v>26</v>
      </c>
      <c r="J8" s="31">
        <v>100</v>
      </c>
      <c r="K8" s="108">
        <f>[No]</f>
        <v>6</v>
      </c>
      <c r="M8" s="2" t="s">
        <v>1092</v>
      </c>
      <c r="N8" s="7">
        <f>VLOOKUP(ListExtras[[#This Row],[List Name]],ResourceList[[ListDisplayName]:[No]],2,0)</f>
        <v>6</v>
      </c>
      <c r="O8" s="4"/>
      <c r="P8" s="4" t="s">
        <v>1093</v>
      </c>
      <c r="Q8" s="4"/>
      <c r="R8" s="4"/>
      <c r="S8" s="4"/>
      <c r="T8" s="7" t="str">
        <f>'Table Seed Map'!$A$24&amp;"-"&amp;COUNT($W$1:ListExtras[[#This Row],[Scope ID]])</f>
        <v>List Scopes-0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30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6" t="str">
        <f>'Table Seed Map'!$A$26&amp;"-"&amp;COUNTA($AV$1:ListLayout[[#This Row],[No]])-2</f>
        <v>List Layout-6</v>
      </c>
      <c r="AU8" s="2" t="s">
        <v>939</v>
      </c>
      <c r="AV8" s="16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6">
        <f>IFERROR(VLOOKUP(ListLayout[[#This Row],[List Name for Layout]],ResourceList[[ListDisplayName]:[No]],2,0),"resource_list")</f>
        <v>2</v>
      </c>
      <c r="AX8" s="16" t="s">
        <v>236</v>
      </c>
      <c r="AY8" s="14" t="s">
        <v>30</v>
      </c>
      <c r="AZ8" s="16" t="str">
        <f>IF(ListLayout[[#This Row],[List Name for Layout]]="","relation",IFERROR(VLOOKUP(ListLayout[[#This Row],[Relation]],RelationTable[[Display]:[RELID]],2,0),""))</f>
        <v/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/>
      <c r="BD8" s="14"/>
      <c r="BE8" s="14"/>
    </row>
    <row r="9" spans="1:57">
      <c r="A9" s="7" t="str">
        <f>'Table Seed Map'!$A$23&amp;"-"&amp;COUNTA($B$1:ResourceList[[#This Row],[Resource Name]])-1</f>
        <v>Resource Lists-7</v>
      </c>
      <c r="B9" s="2" t="s">
        <v>314</v>
      </c>
      <c r="C9" s="7" t="str">
        <f>ResourceList[[#This Row],[Resource Name]]&amp;"/"&amp;ResourceList[[#This Row],[Name]]</f>
        <v>ResourceFormField/FieldsList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9</v>
      </c>
      <c r="F9" s="31" t="s">
        <v>1124</v>
      </c>
      <c r="G9" s="31" t="s">
        <v>1125</v>
      </c>
      <c r="H9" s="31" t="s">
        <v>341</v>
      </c>
      <c r="I9" s="31" t="s">
        <v>230</v>
      </c>
      <c r="J9" s="31">
        <v>20</v>
      </c>
      <c r="K9" s="108">
        <f>[No]</f>
        <v>7</v>
      </c>
      <c r="M9" s="2" t="s">
        <v>1126</v>
      </c>
      <c r="N9" s="7">
        <f>VLOOKUP(ListExtras[[#This Row],[List Name]],ResourceList[[ListDisplayName]:[No]],2,0)</f>
        <v>7</v>
      </c>
      <c r="O9" s="4"/>
      <c r="P9" s="31" t="s">
        <v>1127</v>
      </c>
      <c r="Q9" s="4"/>
      <c r="R9" s="4"/>
      <c r="S9" s="4"/>
      <c r="T9" s="7" t="str">
        <f>'Table Seed Map'!$A$24&amp;"-"&amp;COUNT($W$1:ListExtras[[#This Row],[Scope ID]])</f>
        <v>List Scopes-0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42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7" t="str">
        <f>'Table Seed Map'!$A$26&amp;"-"&amp;COUNTA($AV$1:ListLayout[[#This Row],[No]])-2</f>
        <v>List Layout-7</v>
      </c>
      <c r="AU9" s="2" t="s">
        <v>1083</v>
      </c>
      <c r="AV9" s="17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7">
        <f>IFERROR(VLOOKUP(ListLayout[[#This Row],[List Name for Layout]],ResourceList[[ListDisplayName]:[No]],2,0),"resource_list")</f>
        <v>3</v>
      </c>
      <c r="AX9" s="17" t="s">
        <v>742</v>
      </c>
      <c r="AY9" s="31" t="s">
        <v>21</v>
      </c>
      <c r="AZ9" s="17" t="str">
        <f>IF(ListLayout[[#This Row],[List Name for Layout]]="","relation",IFERROR(VLOOKUP(ListLayout[[#This Row],[Relation]],RelationTable[[Display]:[RELID]],2,0),""))</f>
        <v/>
      </c>
      <c r="BA9" s="17" t="str">
        <f>IF(ListLayout[[#This Row],[List Name for Layout]]="","nest_relation1",IFERROR(VLOOKUP(ListLayout[[#This Row],[Relation 1]],RelationTable[[Display]:[RELID]],2,0),""))</f>
        <v/>
      </c>
      <c r="BB9" s="17" t="str">
        <f>IF(ListLayout[[#This Row],[List Name for Layout]]="","nest_relation2",IFERROR(VLOOKUP(ListLayout[[#This Row],[Relation 2]],RelationTable[[Display]:[RELID]],2,0),""))</f>
        <v/>
      </c>
      <c r="BC9" s="31"/>
      <c r="BD9" s="31"/>
      <c r="BE9" s="31"/>
    </row>
    <row r="10" spans="1:57">
      <c r="A10" s="7" t="str">
        <f>'Table Seed Map'!$A$23&amp;"-"&amp;COUNTA($B$1:ResourceList[[#This Row],[Resource Name]])-1</f>
        <v>Resource Lists-8</v>
      </c>
      <c r="B10" s="2" t="s">
        <v>472</v>
      </c>
      <c r="C10" s="7" t="str">
        <f>ResourceList[[#This Row],[Resource Name]]&amp;"/"&amp;ResourceList[[#This Row],[Name]]</f>
        <v>ResourceFormLayout/FormLayout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16</v>
      </c>
      <c r="F10" s="31" t="s">
        <v>1134</v>
      </c>
      <c r="G10" s="31" t="s">
        <v>1135</v>
      </c>
      <c r="H10" s="31" t="s">
        <v>474</v>
      </c>
      <c r="I10" s="31" t="s">
        <v>1500</v>
      </c>
      <c r="J10" s="31">
        <v>20</v>
      </c>
      <c r="K10" s="108">
        <f>[No]</f>
        <v>8</v>
      </c>
      <c r="M10" s="2" t="s">
        <v>1136</v>
      </c>
      <c r="N10" s="7">
        <f>VLOOKUP(ListExtras[[#This Row],[List Name]],ResourceList[[ListDisplayName]:[No]],2,0)</f>
        <v>8</v>
      </c>
      <c r="O10" s="4"/>
      <c r="P10" s="4" t="s">
        <v>1141</v>
      </c>
      <c r="Q10" s="31" t="s">
        <v>1127</v>
      </c>
      <c r="R10" s="4"/>
      <c r="S10" s="4"/>
      <c r="T10" s="7" t="str">
        <f>'Table Seed Map'!$A$24&amp;"-"&amp;COUNT($W$1:ListExtras[[#This Row],[Scope ID]])</f>
        <v>List Scopes-0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59</v>
      </c>
      <c r="AB10" s="17">
        <f>IFERROR(VLOOKUP(ListExtras[[#This Row],[R1 Name]],RelationTable[[Display]:[RELID]],2,0),IF(ListExtras[[#This Row],[LID]]=0,"nest_relation1",""))</f>
        <v>42</v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7" t="str">
        <f>'Table Seed Map'!$A$26&amp;"-"&amp;COUNTA($AV$1:ListLayout[[#This Row],[No]])-2</f>
        <v>List Layout-8</v>
      </c>
      <c r="AU10" s="2" t="s">
        <v>1083</v>
      </c>
      <c r="AV10" s="17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7">
        <f>IFERROR(VLOOKUP(ListLayout[[#This Row],[List Name for Layout]],ResourceList[[ListDisplayName]:[No]],2,0),"resource_list")</f>
        <v>3</v>
      </c>
      <c r="AX10" s="32" t="s">
        <v>204</v>
      </c>
      <c r="AY10" s="33" t="s">
        <v>26</v>
      </c>
      <c r="AZ10" s="17">
        <f>IF(ListLayout[[#This Row],[List Name for Layout]]="","relation",IFERROR(VLOOKUP(ListLayout[[#This Row],[Relation]],RelationTable[[Display]:[RELID]],2,0),""))</f>
        <v>11</v>
      </c>
      <c r="BA10" s="17" t="str">
        <f>IF(ListLayout[[#This Row],[List Name for Layout]]="","nest_relation1",IFERROR(VLOOKUP(ListLayout[[#This Row],[Relation 1]],RelationTable[[Display]:[RELID]],2,0),""))</f>
        <v/>
      </c>
      <c r="BB10" s="17" t="str">
        <f>IF(ListLayout[[#This Row],[List Name for Layout]]="","nest_relation2",IFERROR(VLOOKUP(ListLayout[[#This Row],[Relation 2]],RelationTable[[Display]:[RELID]],2,0),""))</f>
        <v/>
      </c>
      <c r="BC10" s="31" t="s">
        <v>1088</v>
      </c>
      <c r="BD10" s="31"/>
      <c r="BE10" s="31"/>
    </row>
    <row r="11" spans="1:57">
      <c r="A11" s="7" t="str">
        <f>'Table Seed Map'!$A$23&amp;"-"&amp;COUNTA($B$1:ResourceList[[#This Row],[Resource Name]])-1</f>
        <v>Resource Lists-9</v>
      </c>
      <c r="B11" s="2" t="s">
        <v>509</v>
      </c>
      <c r="C11" s="7" t="str">
        <f>ResourceList[[#This Row],[Resource Name]]&amp;"/"&amp;ResourceList[[#This Row],[Name]]</f>
        <v>ResourceFormCollection/FormCollections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17</v>
      </c>
      <c r="F11" s="31" t="s">
        <v>1150</v>
      </c>
      <c r="G11" s="31" t="s">
        <v>1151</v>
      </c>
      <c r="H11" s="31" t="s">
        <v>1152</v>
      </c>
      <c r="I11" s="31" t="s">
        <v>1500</v>
      </c>
      <c r="J11" s="31">
        <v>5</v>
      </c>
      <c r="K11" s="108">
        <f>[No]</f>
        <v>9</v>
      </c>
      <c r="M11" s="2" t="s">
        <v>1153</v>
      </c>
      <c r="N11" s="7">
        <f>VLOOKUP(ListExtras[[#This Row],[List Name]],ResourceList[[ListDisplayName]:[No]],2,0)</f>
        <v>9</v>
      </c>
      <c r="O11" s="4"/>
      <c r="P11" s="4" t="s">
        <v>1154</v>
      </c>
      <c r="Q11" s="4"/>
      <c r="R11" s="4"/>
      <c r="S11" s="4"/>
      <c r="T11" s="7" t="str">
        <f>'Table Seed Map'!$A$24&amp;"-"&amp;COUNT($W$1:ListExtras[[#This Row],[Scope ID]])</f>
        <v>List Scopes-0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39</v>
      </c>
      <c r="AB11" s="17" t="str">
        <f>IFERROR(VLOOKUP(ListExtras[[#This Row],[R1 Name]],RelationTable[[Display]:[RELID]],2,0),IF(ListExtras[[#This Row],[LID]]=0,"nest_relation1",""))</f>
        <v/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7" t="str">
        <f>'Table Seed Map'!$A$26&amp;"-"&amp;COUNTA($AV$1:ListLayout[[#This Row],[No]])-2</f>
        <v>List Layout-9</v>
      </c>
      <c r="AU11" s="2" t="s">
        <v>1083</v>
      </c>
      <c r="AV11" s="17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7">
        <f>IFERROR(VLOOKUP(ListLayout[[#This Row],[List Name for Layout]],ResourceList[[ListDisplayName]:[No]],2,0),"resource_list")</f>
        <v>3</v>
      </c>
      <c r="AX11" s="17" t="s">
        <v>1</v>
      </c>
      <c r="AY11" s="31" t="s">
        <v>26</v>
      </c>
      <c r="AZ11" s="17" t="str">
        <f>IF(ListLayout[[#This Row],[List Name for Layout]]="","relation",IFERROR(VLOOKUP(ListLayout[[#This Row],[Relation]],RelationTable[[Display]:[RELID]],2,0),""))</f>
        <v/>
      </c>
      <c r="BA11" s="17" t="str">
        <f>IF(ListLayout[[#This Row],[List Name for Layout]]="","nest_relation1",IFERROR(VLOOKUP(ListLayout[[#This Row],[Relation 1]],RelationTable[[Display]:[RELID]],2,0),""))</f>
        <v/>
      </c>
      <c r="BB11" s="17" t="str">
        <f>IF(ListLayout[[#This Row],[List Name for Layout]]="","nest_relation2",IFERROR(VLOOKUP(ListLayout[[#This Row],[Relation 2]],RelationTable[[Display]:[RELID]],2,0),""))</f>
        <v/>
      </c>
      <c r="BC11" s="31"/>
      <c r="BD11" s="31"/>
      <c r="BE11" s="31"/>
    </row>
    <row r="12" spans="1:57">
      <c r="A12" s="7" t="str">
        <f>'Table Seed Map'!$A$23&amp;"-"&amp;COUNTA($B$1:ResourceList[[#This Row],[Resource Name]])-1</f>
        <v>Resource Lists-10</v>
      </c>
      <c r="B12" s="2" t="s">
        <v>410</v>
      </c>
      <c r="C12" s="7" t="str">
        <f>ResourceList[[#This Row],[Resource Name]]&amp;"/"&amp;ResourceList[[#This Row],[Name]]</f>
        <v>ResourceListRelation/ListRelations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21</v>
      </c>
      <c r="F12" s="31" t="s">
        <v>1165</v>
      </c>
      <c r="G12" s="31" t="s">
        <v>1166</v>
      </c>
      <c r="H12" s="31" t="s">
        <v>412</v>
      </c>
      <c r="I12" s="31" t="s">
        <v>1499</v>
      </c>
      <c r="J12" s="31">
        <v>10</v>
      </c>
      <c r="K12" s="108">
        <f>[No]</f>
        <v>10</v>
      </c>
      <c r="M12" s="2" t="s">
        <v>1153</v>
      </c>
      <c r="N12" s="7">
        <f>VLOOKUP(ListExtras[[#This Row],[List Name]],ResourceList[[ListDisplayName]:[No]],2,0)</f>
        <v>9</v>
      </c>
      <c r="O12" s="4"/>
      <c r="P12" s="4" t="s">
        <v>1155</v>
      </c>
      <c r="Q12" s="4"/>
      <c r="R12" s="4"/>
      <c r="S12" s="4"/>
      <c r="T12" s="7" t="str">
        <f>'Table Seed Map'!$A$24&amp;"-"&amp;COUNT($W$1:ListExtras[[#This Row],[Scope ID]])</f>
        <v>List Scopes-0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9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9</v>
      </c>
      <c r="AA12" s="17">
        <f>IFERROR(VLOOKUP(ListExtras[[#This Row],[Relation Name]],RelationTable[[Display]:[RELID]],2,0),IF(ListExtras[[#This Row],[LID]]=0,"relation",""))</f>
        <v>40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1083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3</v>
      </c>
      <c r="AX12" s="17" t="s">
        <v>236</v>
      </c>
      <c r="AY12" s="31" t="s">
        <v>30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416</v>
      </c>
      <c r="C13" s="7" t="str">
        <f>ResourceList[[#This Row],[Resource Name]]&amp;"/"&amp;ResourceList[[#This Row],[Name]]</f>
        <v>ResourceListScope/ListScopes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22</v>
      </c>
      <c r="F13" s="31" t="s">
        <v>1167</v>
      </c>
      <c r="G13" s="31" t="s">
        <v>1168</v>
      </c>
      <c r="H13" s="31" t="s">
        <v>418</v>
      </c>
      <c r="I13" s="31" t="s">
        <v>1499</v>
      </c>
      <c r="J13" s="31">
        <v>10</v>
      </c>
      <c r="K13" s="108">
        <f>[No]</f>
        <v>11</v>
      </c>
      <c r="M13" s="2" t="s">
        <v>1153</v>
      </c>
      <c r="N13" s="7">
        <f>VLOOKUP(ListExtras[[#This Row],[List Name]],ResourceList[[ListDisplayName]:[No]],2,0)</f>
        <v>9</v>
      </c>
      <c r="O13" s="4"/>
      <c r="P13" s="4" t="s">
        <v>1156</v>
      </c>
      <c r="Q13" s="4"/>
      <c r="R13" s="4"/>
      <c r="S13" s="4"/>
      <c r="T13" s="7" t="str">
        <f>'Table Seed Map'!$A$24&amp;"-"&amp;COUNT($W$1:ListExtras[[#This Row],[Scope ID]])</f>
        <v>List Scopes-0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9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9</v>
      </c>
      <c r="AA13" s="17">
        <f>IFERROR(VLOOKUP(ListExtras[[#This Row],[Relation Name]],RelationTable[[Display]:[RELID]],2,0),IF(ListExtras[[#This Row],[LID]]=0,"relation",""))</f>
        <v>60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1083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3</v>
      </c>
      <c r="AX13" s="17" t="s">
        <v>267</v>
      </c>
      <c r="AY13" s="31" t="s">
        <v>265</v>
      </c>
      <c r="AZ13" s="17" t="str">
        <f>IF(ListLayout[[#This Row],[List Name for Layout]]="","relation",IFERROR(VLOOKUP(ListLayout[[#This Row],[Relation]],RelationTable[[Display]:[RELID]],2,0),""))</f>
        <v/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/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441</v>
      </c>
      <c r="C14" s="7" t="str">
        <f>ResourceList[[#This Row],[Resource Name]]&amp;"/"&amp;ResourceList[[#This Row],[Name]]</f>
        <v>ResourceListLayout/ListLayout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23</v>
      </c>
      <c r="F14" s="31" t="s">
        <v>905</v>
      </c>
      <c r="G14" s="31" t="s">
        <v>1169</v>
      </c>
      <c r="H14" s="31" t="s">
        <v>443</v>
      </c>
      <c r="I14" s="31" t="s">
        <v>1499</v>
      </c>
      <c r="J14" s="31">
        <v>20</v>
      </c>
      <c r="K14" s="108">
        <f>[No]</f>
        <v>12</v>
      </c>
      <c r="M14" s="2" t="s">
        <v>1180</v>
      </c>
      <c r="N14" s="7">
        <f>VLOOKUP(ListExtras[[#This Row],[List Name]],ResourceList[[ListDisplayName]:[No]],2,0)</f>
        <v>10</v>
      </c>
      <c r="O14" s="4"/>
      <c r="P14" s="4" t="s">
        <v>1181</v>
      </c>
      <c r="Q14" s="4"/>
      <c r="R14" s="4"/>
      <c r="S14" s="4"/>
      <c r="T14" s="7" t="str">
        <f>'Table Seed Map'!$A$24&amp;"-"&amp;COUNT($W$1:ListExtras[[#This Row],[Scope ID]])</f>
        <v>List Scopes-0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61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1083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3</v>
      </c>
      <c r="AX14" s="17" t="s">
        <v>14</v>
      </c>
      <c r="AY14" s="31" t="s">
        <v>48</v>
      </c>
      <c r="AZ14" s="17">
        <f>IF(ListLayout[[#This Row],[List Name for Layout]]="","relation",IFERROR(VLOOKUP(ListLayout[[#This Row],[Relation]],RelationTable[[Display]:[RELID]],2,0),""))</f>
        <v>8</v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 t="s">
        <v>1041</v>
      </c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531</v>
      </c>
      <c r="C15" s="7" t="str">
        <f>ResourceList[[#This Row],[Resource Name]]&amp;"/"&amp;ResourceList[[#This Row],[Name]]</f>
        <v>ResourceListSearch/ListSearchFields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24</v>
      </c>
      <c r="F15" s="31" t="s">
        <v>1170</v>
      </c>
      <c r="G15" s="31" t="s">
        <v>1171</v>
      </c>
      <c r="H15" s="31" t="s">
        <v>1172</v>
      </c>
      <c r="I15" s="31" t="s">
        <v>1499</v>
      </c>
      <c r="J15" s="31">
        <v>20</v>
      </c>
      <c r="K15" s="108">
        <f>[No]</f>
        <v>13</v>
      </c>
      <c r="M15" s="2" t="s">
        <v>1180</v>
      </c>
      <c r="N15" s="7">
        <f>VLOOKUP(ListExtras[[#This Row],[List Name]],ResourceList[[ListDisplayName]:[No]],2,0)</f>
        <v>10</v>
      </c>
      <c r="O15" s="4"/>
      <c r="P15" s="4" t="s">
        <v>1182</v>
      </c>
      <c r="Q15" s="4"/>
      <c r="R15" s="4"/>
      <c r="S15" s="4"/>
      <c r="T15" s="7" t="str">
        <f>'Table Seed Map'!$A$24&amp;"-"&amp;COUNT($W$1:ListExtras[[#This Row],[Scope ID]])</f>
        <v>List Scopes-0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10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10</v>
      </c>
      <c r="AA15" s="17">
        <f>IFERROR(VLOOKUP(ListExtras[[#This Row],[Relation Name]],RelationTable[[Display]:[RELID]],2,0),IF(ListExtras[[#This Row],[LID]]=0,"relation",""))</f>
        <v>62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1085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742</v>
      </c>
      <c r="AY15" s="31" t="s">
        <v>21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431</v>
      </c>
      <c r="C16" s="7" t="str">
        <f>ResourceList[[#This Row],[Resource Name]]&amp;"/"&amp;ResourceList[[#This Row],[Name]]</f>
        <v>ResourceDataRelation/DataRelations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26</v>
      </c>
      <c r="F16" s="31" t="s">
        <v>1235</v>
      </c>
      <c r="G16" s="31" t="s">
        <v>1237</v>
      </c>
      <c r="H16" s="31" t="s">
        <v>433</v>
      </c>
      <c r="I16" s="31" t="s">
        <v>1501</v>
      </c>
      <c r="J16" s="31">
        <v>20</v>
      </c>
      <c r="K16" s="108">
        <f>[No]</f>
        <v>14</v>
      </c>
      <c r="M16" s="2" t="s">
        <v>1180</v>
      </c>
      <c r="N16" s="7">
        <f>VLOOKUP(ListExtras[[#This Row],[List Name]],ResourceList[[ListDisplayName]:[No]],2,0)</f>
        <v>10</v>
      </c>
      <c r="O16" s="4"/>
      <c r="P16" s="4" t="s">
        <v>1183</v>
      </c>
      <c r="Q16" s="4"/>
      <c r="R16" s="4"/>
      <c r="S16" s="4"/>
      <c r="T16" s="7" t="str">
        <f>'Table Seed Map'!$A$24&amp;"-"&amp;COUNT($W$1:ListExtras[[#This Row],[Scope ID]])</f>
        <v>List Scopes-0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10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10</v>
      </c>
      <c r="AA16" s="17">
        <f>IFERROR(VLOOKUP(ListExtras[[#This Row],[Relation Name]],RelationTable[[Display]:[RELID]],2,0),IF(ListExtras[[#This Row],[LID]]=0,"relation",""))</f>
        <v>63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1085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204</v>
      </c>
      <c r="AY16" s="31" t="s">
        <v>26</v>
      </c>
      <c r="AZ16" s="17">
        <f>IF(ListLayout[[#This Row],[List Name for Layout]]="","relation",IFERROR(VLOOKUP(ListLayout[[#This Row],[Relation]],RelationTable[[Display]:[RELID]],2,0),""))</f>
        <v>19</v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 t="s">
        <v>1089</v>
      </c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707</v>
      </c>
      <c r="C17" s="7" t="str">
        <f>ResourceList[[#This Row],[Resource Name]]&amp;"/"&amp;ResourceList[[#This Row],[Name]]</f>
        <v>ResourceDataScope/DataScopes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27</v>
      </c>
      <c r="F17" s="31" t="s">
        <v>1245</v>
      </c>
      <c r="G17" s="31" t="s">
        <v>1238</v>
      </c>
      <c r="H17" s="31" t="s">
        <v>529</v>
      </c>
      <c r="I17" s="31" t="s">
        <v>1501</v>
      </c>
      <c r="J17" s="31">
        <v>20</v>
      </c>
      <c r="K17" s="108">
        <f>[No]</f>
        <v>15</v>
      </c>
      <c r="M17" s="2" t="s">
        <v>1184</v>
      </c>
      <c r="N17" s="7">
        <f>VLOOKUP(ListExtras[[#This Row],[List Name]],ResourceList[[ListDisplayName]:[No]],2,0)</f>
        <v>11</v>
      </c>
      <c r="O17" s="4"/>
      <c r="P17" s="4" t="s">
        <v>1190</v>
      </c>
      <c r="Q17" s="4"/>
      <c r="R17" s="4"/>
      <c r="S17" s="4"/>
      <c r="T17" s="7" t="str">
        <f>'Table Seed Map'!$A$24&amp;"-"&amp;COUNT($W$1:ListExtras[[#This Row],[Scope ID]])</f>
        <v>List Scopes-0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64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1085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</v>
      </c>
      <c r="AY17" s="31" t="s">
        <v>26</v>
      </c>
      <c r="AZ17" s="17" t="str">
        <f>IF(ListLayout[[#This Row],[List Name for Layout]]="","relation",IFERROR(VLOOKUP(ListLayout[[#This Row],[Relation]],RelationTable[[Display]:[RELID]],2,0),""))</f>
        <v/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/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483</v>
      </c>
      <c r="C18" s="7" t="str">
        <f>ResourceList[[#This Row],[Resource Name]]&amp;"/"&amp;ResourceList[[#This Row],[Name]]</f>
        <v>ResourceDataViewSection/DataSections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28</v>
      </c>
      <c r="F18" s="31" t="s">
        <v>1236</v>
      </c>
      <c r="G18" s="31" t="s">
        <v>1239</v>
      </c>
      <c r="H18" s="31" t="s">
        <v>1240</v>
      </c>
      <c r="I18" s="31" t="s">
        <v>1501</v>
      </c>
      <c r="J18" s="31">
        <v>20</v>
      </c>
      <c r="K18" s="108">
        <f>[No]</f>
        <v>16</v>
      </c>
      <c r="M18" s="2" t="s">
        <v>1184</v>
      </c>
      <c r="N18" s="7">
        <f>VLOOKUP(ListExtras[[#This Row],[List Name]],ResourceList[[ListDisplayName]:[No]],2,0)</f>
        <v>11</v>
      </c>
      <c r="O18" s="4"/>
      <c r="P18" s="4" t="s">
        <v>1191</v>
      </c>
      <c r="Q18" s="4"/>
      <c r="R18" s="4"/>
      <c r="S18" s="4"/>
      <c r="T18" s="7" t="str">
        <f>'Table Seed Map'!$A$24&amp;"-"&amp;COUNT($W$1:ListExtras[[#This Row],[Scope ID]])</f>
        <v>List Scopes-0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11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11</v>
      </c>
      <c r="AA18" s="17">
        <f>IFERROR(VLOOKUP(ListExtras[[#This Row],[Relation Name]],RelationTable[[Display]:[RELID]],2,0),IF(ListExtras[[#This Row],[LID]]=0,"relation",""))</f>
        <v>65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1085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4</v>
      </c>
      <c r="AX18" s="17" t="s">
        <v>236</v>
      </c>
      <c r="AY18" s="31" t="s">
        <v>30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714</v>
      </c>
      <c r="C19" s="7" t="str">
        <f>ResourceList[[#This Row],[Resource Name]]&amp;"/"&amp;ResourceList[[#This Row],[Name]]</f>
        <v>ResourceActionAttr/ActionAttrs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32</v>
      </c>
      <c r="F19" s="31" t="s">
        <v>1282</v>
      </c>
      <c r="G19" s="31" t="s">
        <v>1292</v>
      </c>
      <c r="H19" s="31" t="s">
        <v>1283</v>
      </c>
      <c r="I19" s="31" t="s">
        <v>1502</v>
      </c>
      <c r="J19" s="31">
        <v>20</v>
      </c>
      <c r="K19" s="108">
        <f>[No]</f>
        <v>17</v>
      </c>
      <c r="M19" s="2" t="s">
        <v>1192</v>
      </c>
      <c r="N19" s="7">
        <f>VLOOKUP(ListExtras[[#This Row],[List Name]],ResourceList[[ListDisplayName]:[No]],2,0)</f>
        <v>12</v>
      </c>
      <c r="O19" s="4"/>
      <c r="P19" s="4" t="s">
        <v>1195</v>
      </c>
      <c r="Q19" s="4"/>
      <c r="R19" s="4"/>
      <c r="S19" s="4"/>
      <c r="T19" s="7" t="str">
        <f>'Table Seed Map'!$A$24&amp;"-"&amp;COUNT($W$1:ListExtras[[#This Row],[Scope ID]])</f>
        <v>List Scopes-0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66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1084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742</v>
      </c>
      <c r="AY19" s="31" t="s">
        <v>21</v>
      </c>
      <c r="AZ19" s="17" t="str">
        <f>IF(ListLayout[[#This Row],[List Name for Layout]]="","relation",IFERROR(VLOOKUP(ListLayout[[#This Row],[Relation]],RelationTable[[Display]:[RELID]],2,0),""))</f>
        <v/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/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348</v>
      </c>
      <c r="C20" s="7" t="str">
        <f>ResourceList[[#This Row],[Resource Name]]&amp;"/"&amp;ResourceList[[#This Row],[Name]]</f>
        <v>ResourceFormFieldAttr/FieldAttrsList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11</v>
      </c>
      <c r="F20" s="31" t="s">
        <v>1302</v>
      </c>
      <c r="G20" s="31" t="s">
        <v>1307</v>
      </c>
      <c r="H20" s="31" t="s">
        <v>350</v>
      </c>
      <c r="I20" s="31" t="s">
        <v>1503</v>
      </c>
      <c r="J20" s="31">
        <v>30</v>
      </c>
      <c r="K20" s="108">
        <f>[No]</f>
        <v>18</v>
      </c>
      <c r="M20" s="2" t="s">
        <v>1192</v>
      </c>
      <c r="N20" s="7">
        <f>VLOOKUP(ListExtras[[#This Row],[List Name]],ResourceList[[ListDisplayName]:[No]],2,0)</f>
        <v>12</v>
      </c>
      <c r="O20" s="4"/>
      <c r="P20" s="4" t="s">
        <v>1203</v>
      </c>
      <c r="Q20" s="4"/>
      <c r="R20" s="4"/>
      <c r="S20" s="4"/>
      <c r="T20" s="7" t="str">
        <f>'Table Seed Map'!$A$24&amp;"-"&amp;COUNT($W$1:ListExtras[[#This Row],[Scope ID]])</f>
        <v>List Scopes-0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12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12</v>
      </c>
      <c r="AA20" s="17">
        <f>IFERROR(VLOOKUP(ListExtras[[#This Row],[Relation Name]],RelationTable[[Display]:[RELID]],2,0),IF(ListExtras[[#This Row],[LID]]=0,"relation",""))</f>
        <v>67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1084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204</v>
      </c>
      <c r="AY20" s="31" t="s">
        <v>26</v>
      </c>
      <c r="AZ20" s="17">
        <f>IF(ListLayout[[#This Row],[List Name for Layout]]="","relation",IFERROR(VLOOKUP(ListLayout[[#This Row],[Relation]],RelationTable[[Display]:[RELID]],2,0),""))</f>
        <v>25</v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 t="s">
        <v>1091</v>
      </c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363</v>
      </c>
      <c r="C21" s="7" t="str">
        <f>ResourceList[[#This Row],[Resource Name]]&amp;"/"&amp;ResourceList[[#This Row],[Name]]</f>
        <v>ResourceFormFieldOption/FieldOptionsList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12</v>
      </c>
      <c r="F21" s="31" t="s">
        <v>1303</v>
      </c>
      <c r="G21" s="31" t="s">
        <v>1308</v>
      </c>
      <c r="H21" s="31" t="s">
        <v>365</v>
      </c>
      <c r="I21" s="31" t="s">
        <v>1503</v>
      </c>
      <c r="J21" s="31">
        <v>5</v>
      </c>
      <c r="K21" s="108">
        <f>[No]</f>
        <v>19</v>
      </c>
      <c r="M21" s="2" t="s">
        <v>1196</v>
      </c>
      <c r="N21" s="7">
        <f>VLOOKUP(ListExtras[[#This Row],[List Name]],ResourceList[[ListDisplayName]:[No]],2,0)</f>
        <v>13</v>
      </c>
      <c r="O21" s="4"/>
      <c r="P21" s="4" t="s">
        <v>1199</v>
      </c>
      <c r="Q21" s="4"/>
      <c r="R21" s="4"/>
      <c r="S21" s="4"/>
      <c r="T21" s="7" t="str">
        <f>'Table Seed Map'!$A$24&amp;"-"&amp;COUNT($W$1:ListExtras[[#This Row],[Scope ID]])</f>
        <v>List Scopes-0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68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1084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1</v>
      </c>
      <c r="AY21" s="31" t="s">
        <v>26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369</v>
      </c>
      <c r="C22" s="7" t="str">
        <f>ResourceList[[#This Row],[Resource Name]]&amp;"/"&amp;ResourceList[[#This Row],[Name]]</f>
        <v>ResourceFormFieldValidation/FieldValidationsList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13</v>
      </c>
      <c r="F22" s="31" t="s">
        <v>1304</v>
      </c>
      <c r="G22" s="31" t="s">
        <v>1309</v>
      </c>
      <c r="H22" s="31" t="s">
        <v>373</v>
      </c>
      <c r="I22" s="31" t="s">
        <v>1503</v>
      </c>
      <c r="J22" s="31">
        <v>10</v>
      </c>
      <c r="K22" s="108">
        <f>[No]</f>
        <v>20</v>
      </c>
      <c r="M22" s="2" t="s">
        <v>1196</v>
      </c>
      <c r="N22" s="7">
        <f>VLOOKUP(ListExtras[[#This Row],[List Name]],ResourceList[[ListDisplayName]:[No]],2,0)</f>
        <v>13</v>
      </c>
      <c r="O22" s="4"/>
      <c r="P22" s="4" t="s">
        <v>1206</v>
      </c>
      <c r="Q22" s="4"/>
      <c r="R22" s="4"/>
      <c r="S22" s="4"/>
      <c r="T22" s="7" t="str">
        <f>'Table Seed Map'!$A$24&amp;"-"&amp;COUNT($W$1:ListExtras[[#This Row],[Scope ID]])</f>
        <v>List Scopes-0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13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13</v>
      </c>
      <c r="AA22" s="17">
        <f>IFERROR(VLOOKUP(ListExtras[[#This Row],[Relation Name]],RelationTable[[Display]:[RELID]],2,0),IF(ListExtras[[#This Row],[LID]]=0,"relation",""))</f>
        <v>69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1084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5</v>
      </c>
      <c r="AX22" s="17" t="s">
        <v>236</v>
      </c>
      <c r="AY22" s="31" t="s">
        <v>30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549</v>
      </c>
      <c r="C23" s="7" t="str">
        <f>ResourceList[[#This Row],[Resource Name]]&amp;"/"&amp;ResourceList[[#This Row],[Name]]</f>
        <v>ResourceFormFieldDepend/FieldDependsList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14</v>
      </c>
      <c r="F23" s="31" t="s">
        <v>1305</v>
      </c>
      <c r="G23" s="31" t="s">
        <v>1310</v>
      </c>
      <c r="H23" s="31" t="s">
        <v>548</v>
      </c>
      <c r="I23" s="31" t="s">
        <v>1503</v>
      </c>
      <c r="J23" s="31">
        <v>5</v>
      </c>
      <c r="K23" s="108">
        <f>[No]</f>
        <v>21</v>
      </c>
      <c r="M23" s="2" t="s">
        <v>1241</v>
      </c>
      <c r="N23" s="7">
        <f>VLOOKUP(ListExtras[[#This Row],[List Name]],ResourceList[[ListDisplayName]:[No]],2,0)</f>
        <v>14</v>
      </c>
      <c r="O23" s="4"/>
      <c r="P23" s="4" t="s">
        <v>1242</v>
      </c>
      <c r="Q23" s="4"/>
      <c r="R23" s="4"/>
      <c r="S23" s="4"/>
      <c r="T23" s="7" t="str">
        <f>'Table Seed Map'!$A$24&amp;"-"&amp;COUNT($W$1:ListExtras[[#This Row],[Scope ID]])</f>
        <v>List Scopes-0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70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1084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5</v>
      </c>
      <c r="AX23" s="17" t="s">
        <v>1505</v>
      </c>
      <c r="AY23" s="31" t="s">
        <v>1496</v>
      </c>
      <c r="AZ23" s="17" t="str">
        <f>IF(ListLayout[[#This Row],[List Name for Layout]]="","relation",IFERROR(VLOOKUP(ListLayout[[#This Row],[Relation]],RelationTable[[Display]:[RELID]],2,0),""))</f>
        <v/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/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651</v>
      </c>
      <c r="C24" s="7" t="str">
        <f>ResourceList[[#This Row],[Resource Name]]&amp;"/"&amp;ResourceList[[#This Row],[Name]]</f>
        <v>ResourceFormFieldDynamic/FieldDynamicsList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15</v>
      </c>
      <c r="F24" s="31" t="s">
        <v>1306</v>
      </c>
      <c r="G24" s="31" t="s">
        <v>1311</v>
      </c>
      <c r="H24" s="31" t="s">
        <v>656</v>
      </c>
      <c r="I24" s="31" t="s">
        <v>1503</v>
      </c>
      <c r="J24" s="31">
        <v>5</v>
      </c>
      <c r="K24" s="108">
        <f>[No]</f>
        <v>22</v>
      </c>
      <c r="M24" s="2" t="s">
        <v>1241</v>
      </c>
      <c r="N24" s="7">
        <f>VLOOKUP(ListExtras[[#This Row],[List Name]],ResourceList[[ListDisplayName]:[No]],2,0)</f>
        <v>14</v>
      </c>
      <c r="O24" s="4"/>
      <c r="P24" s="4" t="s">
        <v>1243</v>
      </c>
      <c r="Q24" s="4"/>
      <c r="R24" s="4"/>
      <c r="S24" s="4"/>
      <c r="T24" s="7" t="str">
        <f>'Table Seed Map'!$A$24&amp;"-"&amp;COUNT($W$1:ListExtras[[#This Row],[Scope ID]])</f>
        <v>List Scopes-0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14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14</v>
      </c>
      <c r="AA24" s="17">
        <f>IFERROR(VLOOKUP(ListExtras[[#This Row],[Relation Name]],RelationTable[[Display]:[RELID]],2,0),IF(ListExtras[[#This Row],[LID]]=0,"relation",""))</f>
        <v>71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1084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5</v>
      </c>
      <c r="AX24" s="17" t="s">
        <v>1090</v>
      </c>
      <c r="AY24" s="31" t="s">
        <v>61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235</v>
      </c>
      <c r="C25" s="7" t="str">
        <f>ResourceList[[#This Row],[Resource Name]]&amp;"/"&amp;ResourceList[[#This Row],[Name]]</f>
        <v>Group/GroupsList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2</v>
      </c>
      <c r="F25" s="31" t="s">
        <v>1377</v>
      </c>
      <c r="G25" s="31" t="s">
        <v>1378</v>
      </c>
      <c r="H25" s="31" t="s">
        <v>177</v>
      </c>
      <c r="I25" s="31" t="s">
        <v>26</v>
      </c>
      <c r="J25" s="31">
        <v>20</v>
      </c>
      <c r="K25" s="108">
        <f>[No]</f>
        <v>23</v>
      </c>
      <c r="M25" s="2" t="s">
        <v>1241</v>
      </c>
      <c r="N25" s="7">
        <f>VLOOKUP(ListExtras[[#This Row],[List Name]],ResourceList[[ListDisplayName]:[No]],2,0)</f>
        <v>14</v>
      </c>
      <c r="O25" s="4"/>
      <c r="P25" s="4" t="s">
        <v>1244</v>
      </c>
      <c r="Q25" s="4"/>
      <c r="R25" s="4"/>
      <c r="S25" s="4"/>
      <c r="T25" s="7" t="str">
        <f>'Table Seed Map'!$A$24&amp;"-"&amp;COUNT($W$1:ListExtras[[#This Row],[Scope ID]])</f>
        <v>List Scopes-0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14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14</v>
      </c>
      <c r="AA25" s="17">
        <f>IFERROR(VLOOKUP(ListExtras[[#This Row],[Relation Name]],RelationTable[[Display]:[RELID]],2,0),IF(ListExtras[[#This Row],[LID]]=0,"relation",""))</f>
        <v>72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1092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742</v>
      </c>
      <c r="AY25" s="31" t="s">
        <v>21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257</v>
      </c>
      <c r="C26" s="7" t="str">
        <f>ResourceList[[#This Row],[Resource Name]]&amp;"/"&amp;ResourceList[[#This Row],[Name]]</f>
        <v>Role/RolesList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3</v>
      </c>
      <c r="F26" s="31" t="s">
        <v>1395</v>
      </c>
      <c r="G26" s="31" t="s">
        <v>1396</v>
      </c>
      <c r="H26" s="31" t="s">
        <v>181</v>
      </c>
      <c r="I26" s="31" t="s">
        <v>26</v>
      </c>
      <c r="J26" s="31">
        <v>20</v>
      </c>
      <c r="K26" s="108">
        <f>[No]</f>
        <v>24</v>
      </c>
      <c r="M26" s="2" t="s">
        <v>1246</v>
      </c>
      <c r="N26" s="7">
        <f>VLOOKUP(ListExtras[[#This Row],[List Name]],ResourceList[[ListDisplayName]:[No]],2,0)</f>
        <v>15</v>
      </c>
      <c r="O26" s="4"/>
      <c r="P26" s="4" t="s">
        <v>1247</v>
      </c>
      <c r="Q26" s="4"/>
      <c r="R26" s="4"/>
      <c r="S26" s="4"/>
      <c r="T26" s="7" t="str">
        <f>'Table Seed Map'!$A$24&amp;"-"&amp;COUNT($W$1:ListExtras[[#This Row],[Scope ID]])</f>
        <v>List Scopes-0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73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1092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204</v>
      </c>
      <c r="AY26" s="31" t="s">
        <v>26</v>
      </c>
      <c r="AZ26" s="17">
        <f>IF(ListLayout[[#This Row],[List Name for Layout]]="","relation",IFERROR(VLOOKUP(ListLayout[[#This Row],[Relation]],RelationTable[[Display]:[RELID]],2,0),""))</f>
        <v>30</v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 t="s">
        <v>1093</v>
      </c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303</v>
      </c>
      <c r="C27" s="7" t="str">
        <f>ResourceList[[#This Row],[Resource Name]]&amp;"/"&amp;ResourceList[[#This Row],[Name]]</f>
        <v>ResourceRole/RoleResourcesList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5</v>
      </c>
      <c r="F27" s="31" t="s">
        <v>1423</v>
      </c>
      <c r="G27" s="31" t="s">
        <v>1424</v>
      </c>
      <c r="H27" s="31" t="s">
        <v>216</v>
      </c>
      <c r="I27" s="31" t="s">
        <v>1504</v>
      </c>
      <c r="J27" s="31">
        <v>30</v>
      </c>
      <c r="K27" s="108">
        <f>[No]</f>
        <v>25</v>
      </c>
      <c r="M27" s="2" t="s">
        <v>1246</v>
      </c>
      <c r="N27" s="7">
        <f>VLOOKUP(ListExtras[[#This Row],[List Name]],ResourceList[[ListDisplayName]:[No]],2,0)</f>
        <v>15</v>
      </c>
      <c r="O27" s="4"/>
      <c r="P27" s="4" t="s">
        <v>1248</v>
      </c>
      <c r="Q27" s="4"/>
      <c r="R27" s="4"/>
      <c r="S27" s="4"/>
      <c r="T27" s="7" t="str">
        <f>'Table Seed Map'!$A$24&amp;"-"&amp;COUNT($W$1:ListExtras[[#This Row],[Scope ID]])</f>
        <v>List Scopes-0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15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15</v>
      </c>
      <c r="AA27" s="17">
        <f>IFERROR(VLOOKUP(ListExtras[[#This Row],[Relation Name]],RelationTable[[Display]:[RELID]],2,0),IF(ListExtras[[#This Row],[LID]]=0,"relation",""))</f>
        <v>74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1092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</v>
      </c>
      <c r="AY27" s="31" t="s">
        <v>26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M28" s="2" t="s">
        <v>1249</v>
      </c>
      <c r="N28" s="7">
        <f>VLOOKUP(ListExtras[[#This Row],[List Name]],ResourceList[[ListDisplayName]:[No]],2,0)</f>
        <v>16</v>
      </c>
      <c r="O28" s="4"/>
      <c r="P28" s="4" t="s">
        <v>1250</v>
      </c>
      <c r="Q28" s="4"/>
      <c r="R28" s="4"/>
      <c r="S28" s="4"/>
      <c r="T28" s="7" t="str">
        <f>'Table Seed Map'!$A$24&amp;"-"&amp;COUNT($W$1:ListExtras[[#This Row],[Scope ID]])</f>
        <v>List Scopes-0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75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1092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6</v>
      </c>
      <c r="AX28" s="17" t="s">
        <v>908</v>
      </c>
      <c r="AY28" s="31" t="s">
        <v>54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1379</v>
      </c>
      <c r="N29" s="7">
        <f>VLOOKUP(ListExtras[[#This Row],[List Name]],ResourceList[[ListDisplayName]:[No]],2,0)</f>
        <v>23</v>
      </c>
      <c r="O29" s="4"/>
      <c r="P29" s="4" t="s">
        <v>1383</v>
      </c>
      <c r="Q29" s="4"/>
      <c r="R29" s="4"/>
      <c r="S29" s="4"/>
      <c r="T29" s="7" t="str">
        <f>'Table Seed Map'!$A$24&amp;"-"&amp;COUNT($W$1:ListExtras[[#This Row],[Scope ID]])</f>
        <v>List Scopes-0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23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23</v>
      </c>
      <c r="AA29" s="17">
        <f>IFERROR(VLOOKUP(ListExtras[[#This Row],[Relation Name]],RelationTable[[Display]:[RELID]],2,0),IF(ListExtras[[#This Row],[LID]]=0,"relation",""))</f>
        <v>3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1126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275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42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1127</v>
      </c>
      <c r="BD29" s="31"/>
      <c r="BE29" s="31"/>
    </row>
    <row r="30" spans="1:57">
      <c r="M30" s="2" t="s">
        <v>1425</v>
      </c>
      <c r="N30" s="7">
        <f>VLOOKUP(ListExtras[[#This Row],[List Name]],ResourceList[[ListDisplayName]:[No]],2,0)</f>
        <v>25</v>
      </c>
      <c r="O30" s="4"/>
      <c r="P30" s="4" t="s">
        <v>1426</v>
      </c>
      <c r="Q30" s="4"/>
      <c r="R30" s="4"/>
      <c r="S30" s="4"/>
      <c r="T30" s="7" t="str">
        <f>'Table Seed Map'!$A$24&amp;"-"&amp;COUNT($W$1:ListExtras[[#This Row],[Scope ID]])</f>
        <v>List Scopes-0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25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25</v>
      </c>
      <c r="AA30" s="17">
        <f>IFERROR(VLOOKUP(ListExtras[[#This Row],[Relation Name]],RelationTable[[Display]:[RELID]],2,0),IF(ListExtras[[#This Row],[LID]]=0,"relation",""))</f>
        <v>13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1126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AT31" s="17" t="str">
        <f>'Table Seed Map'!$A$26&amp;"-"&amp;COUNTA($AV$1:ListLayout[[#This Row],[No]])-2</f>
        <v>List Layout-29</v>
      </c>
      <c r="AU31" s="2" t="s">
        <v>1126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14</v>
      </c>
      <c r="AY31" s="31" t="s">
        <v>48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1126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7</v>
      </c>
      <c r="AX32" s="17" t="s">
        <v>244</v>
      </c>
      <c r="AY32" s="31" t="s">
        <v>230</v>
      </c>
      <c r="AZ32" s="17" t="str">
        <f>IF(ListLayout[[#This Row],[List Name for Layout]]="","relation",IFERROR(VLOOKUP(ListLayout[[#This Row],[Relation]],RelationTable[[Display]:[RELID]],2,0),""))</f>
        <v/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/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1136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275</v>
      </c>
      <c r="AY33" s="31" t="s">
        <v>26</v>
      </c>
      <c r="AZ33" s="17">
        <f>IF(ListLayout[[#This Row],[List Name for Layout]]="","relation",IFERROR(VLOOKUP(ListLayout[[#This Row],[Relation]],RelationTable[[Display]:[RELID]],2,0),""))</f>
        <v>59</v>
      </c>
      <c r="BA33" s="17">
        <f>IF(ListLayout[[#This Row],[List Name for Layout]]="","nest_relation1",IFERROR(VLOOKUP(ListLayout[[#This Row],[Relation 1]],RelationTable[[Display]:[RELID]],2,0),""))</f>
        <v>42</v>
      </c>
      <c r="BB33" s="17" t="str">
        <f>IF(ListLayout[[#This Row],[List Name for Layout]]="","nest_relation2",IFERROR(VLOOKUP(ListLayout[[#This Row],[Relation 2]],RelationTable[[Display]:[RELID]],2,0),""))</f>
        <v/>
      </c>
      <c r="BC33" s="31" t="s">
        <v>1141</v>
      </c>
      <c r="BD33" s="31" t="s">
        <v>1127</v>
      </c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1136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13</v>
      </c>
      <c r="AY34" s="31" t="s">
        <v>26</v>
      </c>
      <c r="AZ34" s="17">
        <f>IF(ListLayout[[#This Row],[List Name for Layout]]="","relation",IFERROR(VLOOKUP(ListLayout[[#This Row],[Relation]],RelationTable[[Display]:[RELID]],2,0),""))</f>
        <v>59</v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 t="s">
        <v>1141</v>
      </c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1136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759</v>
      </c>
      <c r="AY35" s="31" t="s">
        <v>470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1153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511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39</v>
      </c>
      <c r="BA36" s="17" t="str">
        <f>IF(ListLayout[[#This Row],[List Name for Layout]]="","nest_relation1",IFERROR(VLOOKUP(ListLayout[[#This Row],[Relation 1]],RelationTable[[Display]:[RELID]],2,0),""))</f>
        <v/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1154</v>
      </c>
      <c r="BD36" s="31"/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1153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245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40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1155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1153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870</v>
      </c>
      <c r="AY38" s="31" t="s">
        <v>230</v>
      </c>
      <c r="AZ38" s="17">
        <f>IF(ListLayout[[#This Row],[List Name for Layout]]="","relation",IFERROR(VLOOKUP(ListLayout[[#This Row],[Relation]],RelationTable[[Display]:[RELID]],2,0),""))</f>
        <v>60</v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 t="s">
        <v>1156</v>
      </c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1153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9</v>
      </c>
      <c r="AX39" s="17" t="s">
        <v>1157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60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1156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1153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9</v>
      </c>
      <c r="AX40" s="17" t="s">
        <v>1158</v>
      </c>
      <c r="AY40" s="31" t="s">
        <v>48</v>
      </c>
      <c r="AZ40" s="17">
        <f>IF(ListLayout[[#This Row],[List Name for Layout]]="","relation",IFERROR(VLOOKUP(ListLayout[[#This Row],[Relation]],RelationTable[[Display]:[RELID]],2,0),""))</f>
        <v>60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1156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1180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277</v>
      </c>
      <c r="AY41" s="31" t="s">
        <v>26</v>
      </c>
      <c r="AZ41" s="17">
        <f>IF(ListLayout[[#This Row],[List Name for Layout]]="","relation",IFERROR(VLOOKUP(ListLayout[[#This Row],[Relation]],RelationTable[[Display]:[RELID]],2,0),""))</f>
        <v>61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1181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1180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245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62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1182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1180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1200</v>
      </c>
      <c r="AY43" s="31" t="s">
        <v>26</v>
      </c>
      <c r="AZ43" s="17">
        <f>IF(ListLayout[[#This Row],[List Name for Layout]]="","relation",IFERROR(VLOOKUP(ListLayout[[#This Row],[Relation]],RelationTable[[Display]:[RELID]],2,0),""))</f>
        <v>63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1183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1184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277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64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1190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1184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1189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65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1191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1192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12</v>
      </c>
      <c r="AX46" s="17" t="s">
        <v>277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66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1195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1192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244</v>
      </c>
      <c r="AY47" s="31" t="s">
        <v>230</v>
      </c>
      <c r="AZ47" s="17" t="str">
        <f>IF(ListLayout[[#This Row],[List Name for Layout]]="","relation",IFERROR(VLOOKUP(ListLayout[[#This Row],[Relation]],RelationTable[[Display]:[RELID]],2,0),""))</f>
        <v/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/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1192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13</v>
      </c>
      <c r="AY48" s="31" t="s">
        <v>440</v>
      </c>
      <c r="AZ48" s="17" t="str">
        <f>IF(ListLayout[[#This Row],[List Name for Layout]]="","relation",IFERROR(VLOOKUP(ListLayout[[#This Row],[Relation]],RelationTable[[Display]:[RELID]],2,0),""))</f>
        <v/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/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1192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12</v>
      </c>
      <c r="AX49" s="17" t="s">
        <v>245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67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1203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1196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277</v>
      </c>
      <c r="AY50" s="31" t="s">
        <v>26</v>
      </c>
      <c r="AZ50" s="17">
        <f>IF(ListLayout[[#This Row],[List Name for Layout]]="","relation",IFERROR(VLOOKUP(ListLayout[[#This Row],[Relation]],RelationTable[[Display]:[RELID]],2,0),""))</f>
        <v>68</v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 t="s">
        <v>1199</v>
      </c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1196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440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1196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245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69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1206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1241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301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70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1242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1241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245</v>
      </c>
      <c r="AY54" s="31" t="s">
        <v>26</v>
      </c>
      <c r="AZ54" s="17">
        <f>IF(ListLayout[[#This Row],[List Name for Layout]]="","relation",IFERROR(VLOOKUP(ListLayout[[#This Row],[Relation]],RelationTable[[Display]:[RELID]],2,0),""))</f>
        <v>71</v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 t="s">
        <v>1243</v>
      </c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1241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1251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72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1244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1246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301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73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1247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1246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1189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74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1248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1249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16</v>
      </c>
      <c r="AX58" s="17" t="s">
        <v>301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75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1250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1249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236</v>
      </c>
      <c r="AY59" s="31" t="s">
        <v>30</v>
      </c>
      <c r="AZ59" s="17" t="str">
        <f>IF(ListLayout[[#This Row],[List Name for Layout]]="","relation",IFERROR(VLOOKUP(ListLayout[[#This Row],[Relation]],RelationTable[[Display]:[RELID]],2,0),""))</f>
        <v/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/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1249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908</v>
      </c>
      <c r="AY60" s="31" t="s">
        <v>54</v>
      </c>
      <c r="AZ60" s="17" t="str">
        <f>IF(ListLayout[[#This Row],[List Name for Layout]]="","relation",IFERROR(VLOOKUP(ListLayout[[#This Row],[Relation]],RelationTable[[Display]:[RELID]],2,0),""))</f>
        <v/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/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1249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16</v>
      </c>
      <c r="AX61" s="17" t="s">
        <v>245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35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1252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1249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16</v>
      </c>
      <c r="AX62" s="17" t="s">
        <v>759</v>
      </c>
      <c r="AY62" s="31" t="s">
        <v>470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1293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1</v>
      </c>
      <c r="AY63" s="31" t="s">
        <v>26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1293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663</v>
      </c>
      <c r="AY64" s="31" t="s">
        <v>95</v>
      </c>
      <c r="AZ64" s="17" t="str">
        <f>IF(ListLayout[[#This Row],[List Name for Layout]]="","relation",IFERROR(VLOOKUP(ListLayout[[#This Row],[Relation]],RelationTable[[Display]:[RELID]],2,0),""))</f>
        <v/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/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1312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18</v>
      </c>
      <c r="AX65" s="17" t="s">
        <v>1</v>
      </c>
      <c r="AY65" s="31" t="s">
        <v>26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1312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663</v>
      </c>
      <c r="AY66" s="31" t="s">
        <v>95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1313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19</v>
      </c>
      <c r="AX67" s="17" t="s">
        <v>14</v>
      </c>
      <c r="AY67" s="31" t="s">
        <v>48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1313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274</v>
      </c>
      <c r="AY68" s="31" t="s">
        <v>200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1313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1315</v>
      </c>
      <c r="AY69" s="31" t="s">
        <v>356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1313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19</v>
      </c>
      <c r="AX70" s="17" t="s">
        <v>1316</v>
      </c>
      <c r="AY70" s="31" t="s">
        <v>358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1313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19</v>
      </c>
      <c r="AX71" s="17" t="s">
        <v>659</v>
      </c>
      <c r="AY71" s="31" t="s">
        <v>360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1317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660</v>
      </c>
      <c r="AY72" s="31" t="s">
        <v>128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1317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661</v>
      </c>
      <c r="AY73" s="31" t="s">
        <v>129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1317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1318</v>
      </c>
      <c r="AY74" s="31" t="s">
        <v>36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1317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20</v>
      </c>
      <c r="AX75" s="17" t="s">
        <v>1320</v>
      </c>
      <c r="AY75" s="31" t="s">
        <v>37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1317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20</v>
      </c>
      <c r="AX76" s="17" t="s">
        <v>1319</v>
      </c>
      <c r="AY76" s="31" t="s">
        <v>38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1321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1322</v>
      </c>
      <c r="AY77" s="31" t="s">
        <v>539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1321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1062</v>
      </c>
      <c r="AY78" s="31" t="s">
        <v>541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1321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750</v>
      </c>
      <c r="AY79" s="31" t="s">
        <v>543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1321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21</v>
      </c>
      <c r="AX80" s="17" t="s">
        <v>1323</v>
      </c>
      <c r="AY80" s="31" t="s">
        <v>547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1321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21</v>
      </c>
      <c r="AX81" s="17" t="s">
        <v>1314</v>
      </c>
      <c r="AY81" s="31" t="s">
        <v>35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1321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21</v>
      </c>
      <c r="AX82" s="17" t="s">
        <v>751</v>
      </c>
      <c r="AY82" s="31" t="s">
        <v>559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1321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21</v>
      </c>
      <c r="AX83" s="17" t="s">
        <v>1324</v>
      </c>
      <c r="AY83" s="31" t="s">
        <v>557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1325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1326</v>
      </c>
      <c r="AY84" s="31" t="s">
        <v>48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1325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1322</v>
      </c>
      <c r="AY85" s="31" t="s">
        <v>539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1325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753</v>
      </c>
      <c r="AY86" s="31" t="s">
        <v>641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1325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22</v>
      </c>
      <c r="AX87" s="17" t="s">
        <v>663</v>
      </c>
      <c r="AY87" s="31" t="s">
        <v>95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1325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22</v>
      </c>
      <c r="AX88" s="17" t="s">
        <v>664</v>
      </c>
      <c r="AY88" s="31" t="s">
        <v>657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1325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22</v>
      </c>
      <c r="AX89" s="17" t="s">
        <v>750</v>
      </c>
      <c r="AY89" s="31" t="s">
        <v>543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1379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1</v>
      </c>
      <c r="AY90" s="31" t="s">
        <v>26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1379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236</v>
      </c>
      <c r="AY91" s="31" t="s">
        <v>30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1379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181</v>
      </c>
      <c r="AY92" s="31" t="s">
        <v>30</v>
      </c>
      <c r="AZ92" s="17">
        <f>IF(ListLayout[[#This Row],[List Name for Layout]]="","relation",IFERROR(VLOOKUP(ListLayout[[#This Row],[Relation]],RelationTable[[Display]:[RELID]],2,0),""))</f>
        <v>3</v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 t="s">
        <v>1383</v>
      </c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1397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1397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236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1425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25</v>
      </c>
      <c r="AX95" s="17" t="s">
        <v>204</v>
      </c>
      <c r="AY95" s="31" t="s">
        <v>26</v>
      </c>
      <c r="AZ95" s="17">
        <f>IF(ListLayout[[#This Row],[List Name for Layout]]="","relation",IFERROR(VLOOKUP(ListLayout[[#This Row],[Relation]],RelationTable[[Display]:[RELID]],2,0),""))</f>
        <v>13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1426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1425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1427</v>
      </c>
      <c r="AY96" s="31" t="s">
        <v>289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1425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252</v>
      </c>
      <c r="AY97" s="31" t="s">
        <v>287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</sheetData>
  <dataValidations count="4">
    <dataValidation type="list" allowBlank="1" showInputMessage="1" showErrorMessage="1" sqref="AO2:AR2 P2:S30 BC2:BE97">
      <formula1>Relations</formula1>
    </dataValidation>
    <dataValidation type="list" allowBlank="1" showInputMessage="1" showErrorMessage="1" sqref="AG2 M2:M30 AU2:AU97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3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807</v>
      </c>
      <c r="B1" s="21" t="s">
        <v>240</v>
      </c>
      <c r="C1" s="21" t="s">
        <v>907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908</v>
      </c>
      <c r="I1" s="21" t="s">
        <v>274</v>
      </c>
      <c r="J1" s="21" t="s">
        <v>742</v>
      </c>
      <c r="L1" s="1" t="s">
        <v>909</v>
      </c>
      <c r="M1" s="1" t="s">
        <v>911</v>
      </c>
      <c r="N1" s="1" t="s">
        <v>881</v>
      </c>
      <c r="O1" s="1" t="s">
        <v>880</v>
      </c>
      <c r="P1" s="1" t="s">
        <v>882</v>
      </c>
      <c r="Q1" s="1" t="s">
        <v>883</v>
      </c>
      <c r="R1" s="1" t="s">
        <v>884</v>
      </c>
      <c r="S1" s="1" t="s">
        <v>891</v>
      </c>
      <c r="T1" s="1" t="s">
        <v>886</v>
      </c>
      <c r="U1" s="1" t="s">
        <v>913</v>
      </c>
      <c r="V1" s="1" t="s">
        <v>887</v>
      </c>
      <c r="W1" s="1" t="s">
        <v>892</v>
      </c>
      <c r="X1" s="1" t="s">
        <v>888</v>
      </c>
      <c r="Y1" s="1" t="s">
        <v>912</v>
      </c>
      <c r="Z1" s="1" t="s">
        <v>245</v>
      </c>
      <c r="AA1" s="1" t="s">
        <v>735</v>
      </c>
      <c r="AB1" s="1" t="s">
        <v>736</v>
      </c>
      <c r="AC1" s="1" t="s">
        <v>737</v>
      </c>
      <c r="AE1" s="1" t="s">
        <v>807</v>
      </c>
      <c r="AF1" s="1" t="s">
        <v>915</v>
      </c>
      <c r="AG1" s="1" t="s">
        <v>916</v>
      </c>
      <c r="AH1" s="1" t="s">
        <v>239</v>
      </c>
      <c r="AI1" s="1" t="s">
        <v>853</v>
      </c>
      <c r="AJ1" s="1" t="s">
        <v>236</v>
      </c>
      <c r="AK1" s="1" t="s">
        <v>908</v>
      </c>
      <c r="AL1" s="1" t="s">
        <v>738</v>
      </c>
      <c r="AM1" s="1" t="s">
        <v>759</v>
      </c>
      <c r="AN1" s="1" t="s">
        <v>245</v>
      </c>
      <c r="AP1" s="1" t="s">
        <v>807</v>
      </c>
      <c r="AQ1" s="1" t="s">
        <v>917</v>
      </c>
      <c r="AR1" s="1" t="s">
        <v>239</v>
      </c>
      <c r="AS1" s="1" t="s">
        <v>918</v>
      </c>
      <c r="AT1" s="1" t="s">
        <v>244</v>
      </c>
      <c r="AU1" s="1" t="s">
        <v>246</v>
      </c>
      <c r="AV1" s="1" t="s">
        <v>898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470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780</v>
      </c>
      <c r="G3" s="14" t="s">
        <v>781</v>
      </c>
      <c r="H3" s="14" t="s">
        <v>26</v>
      </c>
      <c r="I3" s="84"/>
      <c r="J3" s="89">
        <f>[No]</f>
        <v>1</v>
      </c>
      <c r="L3" s="2" t="s">
        <v>910</v>
      </c>
      <c r="M3" s="9">
        <f>VLOOKUP(DataExtra[[#This Row],[Data Name]],ResourceData[[DataDisplayName]:[No]],2,0)</f>
        <v>1</v>
      </c>
      <c r="N3" s="2"/>
      <c r="O3" s="2" t="s">
        <v>819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E1" workbookViewId="0">
      <selection activeCell="J1" sqref="J1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989</v>
      </c>
      <c r="D1" s="1" t="s">
        <v>990</v>
      </c>
      <c r="E1" s="1" t="s">
        <v>988</v>
      </c>
      <c r="F1" s="1" t="s">
        <v>992</v>
      </c>
      <c r="G1" s="1" t="s">
        <v>993</v>
      </c>
      <c r="H1" s="1" t="s">
        <v>994</v>
      </c>
      <c r="J1" s="1" t="s">
        <v>239</v>
      </c>
      <c r="K1" s="1" t="s">
        <v>14</v>
      </c>
      <c r="L1" s="1" t="s">
        <v>991</v>
      </c>
      <c r="M1" s="1" t="s">
        <v>807</v>
      </c>
      <c r="N1" s="1" t="s">
        <v>1</v>
      </c>
      <c r="O1" s="1" t="s">
        <v>793</v>
      </c>
      <c r="P1" s="1" t="s">
        <v>742</v>
      </c>
    </row>
    <row r="2" spans="1:16">
      <c r="A2" s="45" t="s">
        <v>312</v>
      </c>
      <c r="B2" s="45" t="s">
        <v>813</v>
      </c>
      <c r="C2" s="45" t="s">
        <v>807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16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User/NewUserForm</v>
      </c>
      <c r="O2" s="6" t="str">
        <f ca="1">IF(IDNMaps[[#This Row],[Name]]="","","("&amp;IDNMaps[[#This Row],[Type]]&amp;") "&amp;IDNMaps[[#This Row],[Name]])</f>
        <v>(Forms) User/NewUserForm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406</v>
      </c>
      <c r="C3" s="45" t="s">
        <v>807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25</v>
      </c>
      <c r="F3" s="45" t="s">
        <v>346</v>
      </c>
      <c r="G3" s="90">
        <v>6</v>
      </c>
      <c r="H3" s="90">
        <v>10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User/UpdateUserForm</v>
      </c>
      <c r="O3" s="6" t="str">
        <f ca="1">IF(IDNMaps[[#This Row],[Name]]="","","("&amp;IDNMaps[[#This Row],[Type]]&amp;") "&amp;IDNMaps[[#This Row],[Name]])</f>
        <v>(Forms) User/UpdateUserForm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429</v>
      </c>
      <c r="C4" s="45" t="s">
        <v>807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438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User/ChangeUserPassword</v>
      </c>
      <c r="O4" s="6" t="str">
        <f ca="1">IF(IDNMaps[[#This Row],[Name]]="","","("&amp;IDNMaps[[#This Row],[Type]]&amp;") "&amp;IDNMaps[[#This Row],[Name]])</f>
        <v>(Forms) User/ChangeUserPassword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810</v>
      </c>
      <c r="C5" s="45" t="s">
        <v>807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76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Resource/NewResourceForm</v>
      </c>
      <c r="O5" s="6" t="str">
        <f ca="1">IF(IDNMaps[[#This Row],[Name]]="","","("&amp;IDNMaps[[#This Row],[Type]]&amp;") "&amp;IDNMaps[[#This Row],[Name]])</f>
        <v>(Forms) Resource/NewResourceForm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6" s="6" t="str">
        <f ca="1">IF(IDNMaps[[#This Row],[Name]]="","","("&amp;IDNMaps[[#This Row],[Type]]&amp;") "&amp;IDNMaps[[#This Row],[Name]])</f>
        <v>(Forms) ResourceAction/NewActionForm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7" s="6" t="str">
        <f ca="1">IF(IDNMaps[[#This Row],[Name]]="","","("&amp;IDNMaps[[#This Row],[Type]]&amp;") "&amp;IDNMaps[[#This Row],[Name]])</f>
        <v>(Forms) ResourceAction/AddActionForm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ResourceForm/NewFormForm</v>
      </c>
      <c r="O8" s="6" t="str">
        <f ca="1">IF(IDNMaps[[#This Row],[Name]]="","","("&amp;IDNMaps[[#This Row],[Type]]&amp;") "&amp;IDNMaps[[#This Row],[Name]])</f>
        <v>(Forms) ResourceForm/NewFormForm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9" s="6" t="str">
        <f ca="1">IF(IDNMaps[[#This Row],[Name]]="","","("&amp;IDNMaps[[#This Row],[Type]]&amp;") "&amp;IDNMaps[[#This Row],[Name]])</f>
        <v>(Forms) ResourceForm/AddResourceForm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0" s="6" t="str">
        <f ca="1">IF(IDNMaps[[#This Row],[Name]]="","","("&amp;IDNMaps[[#This Row],[Type]]&amp;") "&amp;IDNMaps[[#This Row],[Name]])</f>
        <v>(Forms) ResourceFormField/CreateFormField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1" s="6" t="str">
        <f ca="1">IF(IDNMaps[[#This Row],[Name]]="","","("&amp;IDNMaps[[#This Row],[Type]]&amp;") "&amp;IDNMaps[[#This Row],[Name]])</f>
        <v>(Forms) ResourceList/CreateListForm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2" s="6" t="str">
        <f ca="1">IF(IDNMaps[[#This Row],[Name]]="","","("&amp;IDNMaps[[#This Row],[Type]]&amp;") "&amp;IDNMaps[[#This Row],[Name]])</f>
        <v>(Forms) ResourceList/AddResourceList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3" s="6" t="str">
        <f ca="1">IF(IDNMaps[[#This Row],[Name]]="","","("&amp;IDNMaps[[#This Row],[Type]]&amp;") "&amp;IDNMaps[[#This Row],[Name]])</f>
        <v>(Forms) ResourceData/CreateDataForm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ResourceData/AddDataForm</v>
      </c>
      <c r="O14" s="6" t="str">
        <f ca="1">IF(IDNMaps[[#This Row],[Name]]="","","("&amp;IDNMaps[[#This Row],[Type]]&amp;") "&amp;IDNMaps[[#This Row],[Name]])</f>
        <v>(Forms) ResourceData/AddDataForm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Group/NewGroupForm</v>
      </c>
      <c r="O15" s="6" t="str">
        <f ca="1">IF(IDNMaps[[#This Row],[Name]]="","","("&amp;IDNMaps[[#This Row],[Type]]&amp;") "&amp;IDNMaps[[#This Row],[Name]])</f>
        <v>(Forms) Group/NewGroupForm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Role/NewRoleForm</v>
      </c>
      <c r="O16" s="6" t="str">
        <f ca="1">IF(IDNMaps[[#This Row],[Name]]="","","("&amp;IDNMaps[[#This Row],[Type]]&amp;") "&amp;IDNMaps[[#This Row],[Name]])</f>
        <v>(Forms) Role/NewRoleForm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7" s="6" t="str">
        <f ca="1">IF(IDNMaps[[#This Row],[Name]]="","","("&amp;IDNMaps[[#This Row],[Type]]&amp;") "&amp;IDNMaps[[#This Row],[Name]])</f>
        <v>(Forms) ResourceRole/AddRoleResourceForm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Lists-1</v>
      </c>
      <c r="N18" s="6" t="str">
        <f ca="1">IFERROR(VLOOKUP(IDNMaps[[#This Row],[Primary]],INDIRECT(VLOOKUP(IDNMaps[[#This Row],[Type]],RecordCount[],2,0)),VLOOKUP(IDNMaps[[#This Row],[Type]],RecordCount[],7,0),0),"")</f>
        <v>UsersList</v>
      </c>
      <c r="O18" s="6" t="str">
        <f ca="1">IF(IDNMaps[[#This Row],[Name]]="","","("&amp;IDNMaps[[#This Row],[Type]]&amp;") "&amp;IDNMaps[[#This Row],[Name]])</f>
        <v>(Lists) UsersList</v>
      </c>
      <c r="P18" s="6">
        <f ca="1">IFERROR(VLOOKUP(IDNMaps[[#This Row],[Primary]],INDIRECT(VLOOKUP(IDNMaps[[#This Row],[Type]],RecordCount[],2,0)),VLOOKUP(IDNMaps[[#This Row],[Type]],RecordCount[],8,0),0),"")</f>
        <v>25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Resource Lists-2</v>
      </c>
      <c r="N19" s="6" t="str">
        <f ca="1">IFERROR(VLOOKUP(IDNMaps[[#This Row],[Primary]],INDIRECT(VLOOKUP(IDNMaps[[#This Row],[Type]],RecordCount[],2,0)),VLOOKUP(IDNMaps[[#This Row],[Type]],RecordCount[],7,0),0),"")</f>
        <v>ResourcesList</v>
      </c>
      <c r="O19" s="6" t="str">
        <f ca="1">IF(IDNMaps[[#This Row],[Name]]="","","("&amp;IDNMaps[[#This Row],[Type]]&amp;") "&amp;IDNMaps[[#This Row],[Name]])</f>
        <v>(Lists) ResourcesList</v>
      </c>
      <c r="P19" s="6">
        <f ca="1">IFERROR(VLOOKUP(IDNMaps[[#This Row],[Primary]],INDIRECT(VLOOKUP(IDNMaps[[#This Row],[Type]],RecordCount[],2,0)),VLOOKUP(IDNMaps[[#This Row],[Type]],RecordCount[],8,0),0),"")</f>
        <v>100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Resource Lists-3</v>
      </c>
      <c r="N20" s="6" t="str">
        <f ca="1">IFERROR(VLOOKUP(IDNMaps[[#This Row],[Primary]],INDIRECT(VLOOKUP(IDNMaps[[#This Row],[Type]],RecordCount[],2,0)),VLOOKUP(IDNMaps[[#This Row],[Type]],RecordCount[],7,0),0),"")</f>
        <v>ActionsList</v>
      </c>
      <c r="O20" s="6" t="str">
        <f ca="1">IF(IDNMaps[[#This Row],[Name]]="","","("&amp;IDNMaps[[#This Row],[Type]]&amp;") "&amp;IDNMaps[[#This Row],[Name]])</f>
        <v>(Lists) ActionsList</v>
      </c>
      <c r="P20" s="6">
        <f ca="1">IFERROR(VLOOKUP(IDNMaps[[#This Row],[Primary]],INDIRECT(VLOOKUP(IDNMaps[[#This Row],[Type]],RecordCount[],2,0)),VLOOKUP(IDNMaps[[#This Row],[Type]],RecordCount[],8,0),0),"")</f>
        <v>100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Resource Lists-4</v>
      </c>
      <c r="N21" s="6" t="str">
        <f ca="1">IFERROR(VLOOKUP(IDNMaps[[#This Row],[Primary]],INDIRECT(VLOOKUP(IDNMaps[[#This Row],[Type]],RecordCount[],2,0)),VLOOKUP(IDNMaps[[#This Row],[Type]],RecordCount[],7,0),0),"")</f>
        <v>FormsList</v>
      </c>
      <c r="O21" s="6" t="str">
        <f ca="1">IF(IDNMaps[[#This Row],[Name]]="","","("&amp;IDNMaps[[#This Row],[Type]]&amp;") "&amp;IDNMaps[[#This Row],[Name]])</f>
        <v>(Lists) FormsList</v>
      </c>
      <c r="P21" s="6">
        <f ca="1">IFERROR(VLOOKUP(IDNMaps[[#This Row],[Primary]],INDIRECT(VLOOKUP(IDNMaps[[#This Row],[Type]],RecordCount[],2,0)),VLOOKUP(IDNMaps[[#This Row],[Type]],RecordCount[],8,0),0),"")</f>
        <v>100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Resource Lists-5</v>
      </c>
      <c r="N22" s="6" t="str">
        <f ca="1">IFERROR(VLOOKUP(IDNMaps[[#This Row],[Primary]],INDIRECT(VLOOKUP(IDNMaps[[#This Row],[Type]],RecordCount[],2,0)),VLOOKUP(IDNMaps[[#This Row],[Type]],RecordCount[],7,0),0),"")</f>
        <v>ListsList</v>
      </c>
      <c r="O22" s="6" t="str">
        <f ca="1">IF(IDNMaps[[#This Row],[Name]]="","","("&amp;IDNMaps[[#This Row],[Type]]&amp;") "&amp;IDNMaps[[#This Row],[Name]])</f>
        <v>(Lists) ListsList</v>
      </c>
      <c r="P22" s="6">
        <f ca="1">IFERROR(VLOOKUP(IDNMaps[[#This Row],[Primary]],INDIRECT(VLOOKUP(IDNMaps[[#This Row],[Type]],RecordCount[],2,0)),VLOOKUP(IDNMaps[[#This Row],[Type]],RecordCount[],8,0),0),"")</f>
        <v>100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Resource Lists-6</v>
      </c>
      <c r="N23" s="6" t="str">
        <f ca="1">IFERROR(VLOOKUP(IDNMaps[[#This Row],[Primary]],INDIRECT(VLOOKUP(IDNMaps[[#This Row],[Type]],RecordCount[],2,0)),VLOOKUP(IDNMaps[[#This Row],[Type]],RecordCount[],7,0),0),"")</f>
        <v>DataList</v>
      </c>
      <c r="O23" s="6" t="str">
        <f ca="1">IF(IDNMaps[[#This Row],[Name]]="","","("&amp;IDNMaps[[#This Row],[Type]]&amp;") "&amp;IDNMaps[[#This Row],[Name]])</f>
        <v>(Lists) DataList</v>
      </c>
      <c r="P23" s="6">
        <f ca="1">IFERROR(VLOOKUP(IDNMaps[[#This Row],[Primary]],INDIRECT(VLOOKUP(IDNMaps[[#This Row],[Type]],RecordCount[],2,0)),VLOOKUP(IDNMaps[[#This Row],[Type]],RecordCount[],8,0),0),"")</f>
        <v>100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Resource Lists-7</v>
      </c>
      <c r="N24" s="6" t="str">
        <f ca="1">IFERROR(VLOOKUP(IDNMaps[[#This Row],[Primary]],INDIRECT(VLOOKUP(IDNMaps[[#This Row],[Type]],RecordCount[],2,0)),VLOOKUP(IDNMaps[[#This Row],[Type]],RecordCount[],7,0),0),"")</f>
        <v>FieldsList</v>
      </c>
      <c r="O24" s="6" t="str">
        <f ca="1">IF(IDNMaps[[#This Row],[Name]]="","","("&amp;IDNMaps[[#This Row],[Type]]&amp;") "&amp;IDNMaps[[#This Row],[Name]])</f>
        <v>(Lists) FieldsList</v>
      </c>
      <c r="P24" s="6">
        <f ca="1">IFERROR(VLOOKUP(IDNMaps[[#This Row],[Primary]],INDIRECT(VLOOKUP(IDNMaps[[#This Row],[Type]],RecordCount[],2,0)),VLOOKUP(IDNMaps[[#This Row],[Type]],RecordCount[],8,0),0),"")</f>
        <v>20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Resource Lists-8</v>
      </c>
      <c r="N25" s="6" t="str">
        <f ca="1">IFERROR(VLOOKUP(IDNMaps[[#This Row],[Primary]],INDIRECT(VLOOKUP(IDNMaps[[#This Row],[Type]],RecordCount[],2,0)),VLOOKUP(IDNMaps[[#This Row],[Type]],RecordCount[],7,0),0),"")</f>
        <v>FormLayout</v>
      </c>
      <c r="O25" s="6" t="str">
        <f ca="1">IF(IDNMaps[[#This Row],[Name]]="","","("&amp;IDNMaps[[#This Row],[Type]]&amp;") "&amp;IDNMaps[[#This Row],[Name]])</f>
        <v>(Lists) FormLayout</v>
      </c>
      <c r="P25" s="6">
        <f ca="1">IFERROR(VLOOKUP(IDNMaps[[#This Row],[Primary]],INDIRECT(VLOOKUP(IDNMaps[[#This Row],[Type]],RecordCount[],2,0)),VLOOKUP(IDNMaps[[#This Row],[Type]],RecordCount[],8,0),0),"")</f>
        <v>20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Resource Lists-9</v>
      </c>
      <c r="N26" s="6" t="str">
        <f ca="1">IFERROR(VLOOKUP(IDNMaps[[#This Row],[Primary]],INDIRECT(VLOOKUP(IDNMaps[[#This Row],[Type]],RecordCount[],2,0)),VLOOKUP(IDNMaps[[#This Row],[Type]],RecordCount[],7,0),0),"")</f>
        <v>FormCollections</v>
      </c>
      <c r="O26" s="6" t="str">
        <f ca="1">IF(IDNMaps[[#This Row],[Name]]="","","("&amp;IDNMaps[[#This Row],[Type]]&amp;") "&amp;IDNMaps[[#This Row],[Name]])</f>
        <v>(Lists) FormCollections</v>
      </c>
      <c r="P26" s="6">
        <f ca="1">IFERROR(VLOOKUP(IDNMaps[[#This Row],[Primary]],INDIRECT(VLOOKUP(IDNMaps[[#This Row],[Type]],RecordCount[],2,0)),VLOOKUP(IDNMaps[[#This Row],[Type]],RecordCount[],8,0),0),"")</f>
        <v>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Resource Lists-10</v>
      </c>
      <c r="N27" s="6" t="str">
        <f ca="1">IFERROR(VLOOKUP(IDNMaps[[#This Row],[Primary]],INDIRECT(VLOOKUP(IDNMaps[[#This Row],[Type]],RecordCount[],2,0)),VLOOKUP(IDNMaps[[#This Row],[Type]],RecordCount[],7,0),0),"")</f>
        <v>ListRelations</v>
      </c>
      <c r="O27" s="6" t="str">
        <f ca="1">IF(IDNMaps[[#This Row],[Name]]="","","("&amp;IDNMaps[[#This Row],[Type]]&amp;") "&amp;IDNMaps[[#This Row],[Name]])</f>
        <v>(Lists) ListRelations</v>
      </c>
      <c r="P27" s="6">
        <f ca="1">IFERROR(VLOOKUP(IDNMaps[[#This Row],[Primary]],INDIRECT(VLOOKUP(IDNMaps[[#This Row],[Type]],RecordCount[],2,0)),VLOOKUP(IDNMaps[[#This Row],[Type]],RecordCount[],8,0),0),"")</f>
        <v>10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Resource Lists-11</v>
      </c>
      <c r="N28" s="6" t="str">
        <f ca="1">IFERROR(VLOOKUP(IDNMaps[[#This Row],[Primary]],INDIRECT(VLOOKUP(IDNMaps[[#This Row],[Type]],RecordCount[],2,0)),VLOOKUP(IDNMaps[[#This Row],[Type]],RecordCount[],7,0),0),"")</f>
        <v>ListScopes</v>
      </c>
      <c r="O28" s="6" t="str">
        <f ca="1">IF(IDNMaps[[#This Row],[Name]]="","","("&amp;IDNMaps[[#This Row],[Type]]&amp;") "&amp;IDNMaps[[#This Row],[Name]])</f>
        <v>(Lists) ListScopes</v>
      </c>
      <c r="P28" s="6">
        <f ca="1">IFERROR(VLOOKUP(IDNMaps[[#This Row],[Primary]],INDIRECT(VLOOKUP(IDNMaps[[#This Row],[Type]],RecordCount[],2,0)),VLOOKUP(IDNMaps[[#This Row],[Type]],RecordCount[],8,0),0),"")</f>
        <v>10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Resource Lists-12</v>
      </c>
      <c r="N29" s="6" t="str">
        <f ca="1">IFERROR(VLOOKUP(IDNMaps[[#This Row],[Primary]],INDIRECT(VLOOKUP(IDNMaps[[#This Row],[Type]],RecordCount[],2,0)),VLOOKUP(IDNMaps[[#This Row],[Type]],RecordCount[],7,0),0),"")</f>
        <v>ListLayout</v>
      </c>
      <c r="O29" s="6" t="str">
        <f ca="1">IF(IDNMaps[[#This Row],[Name]]="","","("&amp;IDNMaps[[#This Row],[Type]]&amp;") "&amp;IDNMaps[[#This Row],[Name]])</f>
        <v>(Lists) ListLayout</v>
      </c>
      <c r="P29" s="6">
        <f ca="1">IFERROR(VLOOKUP(IDNMaps[[#This Row],[Primary]],INDIRECT(VLOOKUP(IDNMaps[[#This Row],[Type]],RecordCount[],2,0)),VLOOKUP(IDNMaps[[#This Row],[Type]],RecordCount[],8,0),0),"")</f>
        <v>20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Resource Lists-13</v>
      </c>
      <c r="N30" s="6" t="str">
        <f ca="1">IFERROR(VLOOKUP(IDNMaps[[#This Row],[Primary]],INDIRECT(VLOOKUP(IDNMaps[[#This Row],[Type]],RecordCount[],2,0)),VLOOKUP(IDNMaps[[#This Row],[Type]],RecordCount[],7,0),0),"")</f>
        <v>ListSearchFields</v>
      </c>
      <c r="O30" s="6" t="str">
        <f ca="1">IF(IDNMaps[[#This Row],[Name]]="","","("&amp;IDNMaps[[#This Row],[Type]]&amp;") "&amp;IDNMaps[[#This Row],[Name]])</f>
        <v>(Lists) ListSearchFields</v>
      </c>
      <c r="P30" s="6">
        <f ca="1">IFERROR(VLOOKUP(IDNMaps[[#This Row],[Primary]],INDIRECT(VLOOKUP(IDNMaps[[#This Row],[Type]],RecordCount[],2,0)),VLOOKUP(IDNMaps[[#This Row],[Type]],RecordCount[],8,0),0),"")</f>
        <v>20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Resource Lists-14</v>
      </c>
      <c r="N31" s="6" t="str">
        <f ca="1">IFERROR(VLOOKUP(IDNMaps[[#This Row],[Primary]],INDIRECT(VLOOKUP(IDNMaps[[#This Row],[Type]],RecordCount[],2,0)),VLOOKUP(IDNMaps[[#This Row],[Type]],RecordCount[],7,0),0),"")</f>
        <v>DataRelations</v>
      </c>
      <c r="O31" s="6" t="str">
        <f ca="1">IF(IDNMaps[[#This Row],[Name]]="","","("&amp;IDNMaps[[#This Row],[Type]]&amp;") "&amp;IDNMaps[[#This Row],[Name]])</f>
        <v>(Lists) DataRelations</v>
      </c>
      <c r="P31" s="6">
        <f ca="1">IFERROR(VLOOKUP(IDNMaps[[#This Row],[Primary]],INDIRECT(VLOOKUP(IDNMaps[[#This Row],[Type]],RecordCount[],2,0)),VLOOKUP(IDNMaps[[#This Row],[Type]],RecordCount[],8,0),0),"")</f>
        <v>20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Resource Lists-15</v>
      </c>
      <c r="N32" s="6" t="str">
        <f ca="1">IFERROR(VLOOKUP(IDNMaps[[#This Row],[Primary]],INDIRECT(VLOOKUP(IDNMaps[[#This Row],[Type]],RecordCount[],2,0)),VLOOKUP(IDNMaps[[#This Row],[Type]],RecordCount[],7,0),0),"")</f>
        <v>DataScopes</v>
      </c>
      <c r="O32" s="6" t="str">
        <f ca="1">IF(IDNMaps[[#This Row],[Name]]="","","("&amp;IDNMaps[[#This Row],[Type]]&amp;") "&amp;IDNMaps[[#This Row],[Name]])</f>
        <v>(Lists) DataScopes</v>
      </c>
      <c r="P32" s="6">
        <f ca="1">IFERROR(VLOOKUP(IDNMaps[[#This Row],[Primary]],INDIRECT(VLOOKUP(IDNMaps[[#This Row],[Type]],RecordCount[],2,0)),VLOOKUP(IDNMaps[[#This Row],[Type]],RecordCount[],8,0),0),"")</f>
        <v>20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Resource Lists-16</v>
      </c>
      <c r="N33" s="6" t="str">
        <f ca="1">IFERROR(VLOOKUP(IDNMaps[[#This Row],[Primary]],INDIRECT(VLOOKUP(IDNMaps[[#This Row],[Type]],RecordCount[],2,0)),VLOOKUP(IDNMaps[[#This Row],[Type]],RecordCount[],7,0),0),"")</f>
        <v>DataSections</v>
      </c>
      <c r="O33" s="6" t="str">
        <f ca="1">IF(IDNMaps[[#This Row],[Name]]="","","("&amp;IDNMaps[[#This Row],[Type]]&amp;") "&amp;IDNMaps[[#This Row],[Name]])</f>
        <v>(Lists) DataSections</v>
      </c>
      <c r="P33" s="6">
        <f ca="1">IFERROR(VLOOKUP(IDNMaps[[#This Row],[Primary]],INDIRECT(VLOOKUP(IDNMaps[[#This Row],[Type]],RecordCount[],2,0)),VLOOKUP(IDNMaps[[#This Row],[Type]],RecordCount[],8,0),0),"")</f>
        <v>20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Resource Lists-17</v>
      </c>
      <c r="N34" s="6" t="str">
        <f ca="1">IFERROR(VLOOKUP(IDNMaps[[#This Row],[Primary]],INDIRECT(VLOOKUP(IDNMaps[[#This Row],[Type]],RecordCount[],2,0)),VLOOKUP(IDNMaps[[#This Row],[Type]],RecordCount[],7,0),0),"")</f>
        <v>ActionAttrs</v>
      </c>
      <c r="O34" s="6" t="str">
        <f ca="1">IF(IDNMaps[[#This Row],[Name]]="","","("&amp;IDNMaps[[#This Row],[Type]]&amp;") "&amp;IDNMaps[[#This Row],[Name]])</f>
        <v>(Lists) ActionAttrs</v>
      </c>
      <c r="P34" s="6">
        <f ca="1">IFERROR(VLOOKUP(IDNMaps[[#This Row],[Primary]],INDIRECT(VLOOKUP(IDNMaps[[#This Row],[Type]],RecordCount[],2,0)),VLOOKUP(IDNMaps[[#This Row],[Type]],RecordCount[],8,0),0),"")</f>
        <v>20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Resource Lists-18</v>
      </c>
      <c r="N35" s="6" t="str">
        <f ca="1">IFERROR(VLOOKUP(IDNMaps[[#This Row],[Primary]],INDIRECT(VLOOKUP(IDNMaps[[#This Row],[Type]],RecordCount[],2,0)),VLOOKUP(IDNMaps[[#This Row],[Type]],RecordCount[],7,0),0),"")</f>
        <v>FieldAttrsList</v>
      </c>
      <c r="O35" s="6" t="str">
        <f ca="1">IF(IDNMaps[[#This Row],[Name]]="","","("&amp;IDNMaps[[#This Row],[Type]]&amp;") "&amp;IDNMaps[[#This Row],[Name]])</f>
        <v>(Lists) FieldAttrsList</v>
      </c>
      <c r="P35" s="6">
        <f ca="1">IFERROR(VLOOKUP(IDNMaps[[#This Row],[Primary]],INDIRECT(VLOOKUP(IDNMaps[[#This Row],[Type]],RecordCount[],2,0)),VLOOKUP(IDNMaps[[#This Row],[Type]],RecordCount[],8,0),0),"")</f>
        <v>30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19</v>
      </c>
      <c r="M36" s="6" t="str">
        <f ca="1">IFERROR(VLOOKUP(IDNMaps[[#This Row],[Type]],RecordCount[],6,0)&amp;"-"&amp;IDNMaps[[#This Row],[Type Count]],"")</f>
        <v>Resource Lists-19</v>
      </c>
      <c r="N36" s="6" t="str">
        <f ca="1">IFERROR(VLOOKUP(IDNMaps[[#This Row],[Primary]],INDIRECT(VLOOKUP(IDNMaps[[#This Row],[Type]],RecordCount[],2,0)),VLOOKUP(IDNMaps[[#This Row],[Type]],RecordCount[],7,0),0),"")</f>
        <v>FieldOptionsList</v>
      </c>
      <c r="O36" s="6" t="str">
        <f ca="1">IF(IDNMaps[[#This Row],[Name]]="","","("&amp;IDNMaps[[#This Row],[Type]]&amp;") "&amp;IDNMaps[[#This Row],[Name]])</f>
        <v>(Lists) FieldOptionsList</v>
      </c>
      <c r="P36" s="6">
        <f ca="1">IFERROR(VLOOKUP(IDNMaps[[#This Row],[Primary]],INDIRECT(VLOOKUP(IDNMaps[[#This Row],[Type]],RecordCount[],2,0)),VLOOKUP(IDNMaps[[#This Row],[Type]],RecordCount[],8,0),0),"")</f>
        <v>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20</v>
      </c>
      <c r="M37" s="6" t="str">
        <f ca="1">IFERROR(VLOOKUP(IDNMaps[[#This Row],[Type]],RecordCount[],6,0)&amp;"-"&amp;IDNMaps[[#This Row],[Type Count]],"")</f>
        <v>Resource Lists-20</v>
      </c>
      <c r="N37" s="6" t="str">
        <f ca="1">IFERROR(VLOOKUP(IDNMaps[[#This Row],[Primary]],INDIRECT(VLOOKUP(IDNMaps[[#This Row],[Type]],RecordCount[],2,0)),VLOOKUP(IDNMaps[[#This Row],[Type]],RecordCount[],7,0),0),"")</f>
        <v>FieldValidationsList</v>
      </c>
      <c r="O37" s="6" t="str">
        <f ca="1">IF(IDNMaps[[#This Row],[Name]]="","","("&amp;IDNMaps[[#This Row],[Type]]&amp;") "&amp;IDNMaps[[#This Row],[Name]])</f>
        <v>(Lists) FieldValidationsList</v>
      </c>
      <c r="P37" s="6">
        <f ca="1">IFERROR(VLOOKUP(IDNMaps[[#This Row],[Primary]],INDIRECT(VLOOKUP(IDNMaps[[#This Row],[Type]],RecordCount[],2,0)),VLOOKUP(IDNMaps[[#This Row],[Type]],RecordCount[],8,0),0),"")</f>
        <v>10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21</v>
      </c>
      <c r="M38" s="6" t="str">
        <f ca="1">IFERROR(VLOOKUP(IDNMaps[[#This Row],[Type]],RecordCount[],6,0)&amp;"-"&amp;IDNMaps[[#This Row],[Type Count]],"")</f>
        <v>Resource Lists-21</v>
      </c>
      <c r="N38" s="6" t="str">
        <f ca="1">IFERROR(VLOOKUP(IDNMaps[[#This Row],[Primary]],INDIRECT(VLOOKUP(IDNMaps[[#This Row],[Type]],RecordCount[],2,0)),VLOOKUP(IDNMaps[[#This Row],[Type]],RecordCount[],7,0),0),"")</f>
        <v>FieldDependsList</v>
      </c>
      <c r="O38" s="6" t="str">
        <f ca="1">IF(IDNMaps[[#This Row],[Name]]="","","("&amp;IDNMaps[[#This Row],[Type]]&amp;") "&amp;IDNMaps[[#This Row],[Name]])</f>
        <v>(Lists) FieldDependsList</v>
      </c>
      <c r="P38" s="6">
        <f ca="1">IFERROR(VLOOKUP(IDNMaps[[#This Row],[Primary]],INDIRECT(VLOOKUP(IDNMaps[[#This Row],[Type]],RecordCount[],2,0)),VLOOKUP(IDNMaps[[#This Row],[Type]],RecordCount[],8,0),0),"")</f>
        <v>5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22</v>
      </c>
      <c r="M39" s="6" t="str">
        <f ca="1">IFERROR(VLOOKUP(IDNMaps[[#This Row],[Type]],RecordCount[],6,0)&amp;"-"&amp;IDNMaps[[#This Row],[Type Count]],"")</f>
        <v>Resource Lists-22</v>
      </c>
      <c r="N39" s="6" t="str">
        <f ca="1">IFERROR(VLOOKUP(IDNMaps[[#This Row],[Primary]],INDIRECT(VLOOKUP(IDNMaps[[#This Row],[Type]],RecordCount[],2,0)),VLOOKUP(IDNMaps[[#This Row],[Type]],RecordCount[],7,0),0),"")</f>
        <v>FieldDynamicsList</v>
      </c>
      <c r="O39" s="6" t="str">
        <f ca="1">IF(IDNMaps[[#This Row],[Name]]="","","("&amp;IDNMaps[[#This Row],[Type]]&amp;") "&amp;IDNMaps[[#This Row],[Name]])</f>
        <v>(Lists) FieldDynamicsList</v>
      </c>
      <c r="P39" s="6">
        <f ca="1">IFERROR(VLOOKUP(IDNMaps[[#This Row],[Primary]],INDIRECT(VLOOKUP(IDNMaps[[#This Row],[Type]],RecordCount[],2,0)),VLOOKUP(IDNMaps[[#This Row],[Type]],RecordCount[],8,0),0),"")</f>
        <v>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23</v>
      </c>
      <c r="M40" s="6" t="str">
        <f ca="1">IFERROR(VLOOKUP(IDNMaps[[#This Row],[Type]],RecordCount[],6,0)&amp;"-"&amp;IDNMaps[[#This Row],[Type Count]],"")</f>
        <v>Resource Lists-23</v>
      </c>
      <c r="N40" s="6" t="str">
        <f ca="1">IFERROR(VLOOKUP(IDNMaps[[#This Row],[Primary]],INDIRECT(VLOOKUP(IDNMaps[[#This Row],[Type]],RecordCount[],2,0)),VLOOKUP(IDNMaps[[#This Row],[Type]],RecordCount[],7,0),0),"")</f>
        <v>GroupsList</v>
      </c>
      <c r="O40" s="6" t="str">
        <f ca="1">IF(IDNMaps[[#This Row],[Name]]="","","("&amp;IDNMaps[[#This Row],[Type]]&amp;") "&amp;IDNMaps[[#This Row],[Name]])</f>
        <v>(Lists) GroupsList</v>
      </c>
      <c r="P40" s="6">
        <f ca="1">IFERROR(VLOOKUP(IDNMaps[[#This Row],[Primary]],INDIRECT(VLOOKUP(IDNMaps[[#This Row],[Type]],RecordCount[],2,0)),VLOOKUP(IDNMaps[[#This Row],[Type]],RecordCount[],8,0),0),"")</f>
        <v>20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24</v>
      </c>
      <c r="M41" s="6" t="str">
        <f ca="1">IFERROR(VLOOKUP(IDNMaps[[#This Row],[Type]],RecordCount[],6,0)&amp;"-"&amp;IDNMaps[[#This Row],[Type Count]],"")</f>
        <v>Resource Lists-24</v>
      </c>
      <c r="N41" s="6" t="str">
        <f ca="1">IFERROR(VLOOKUP(IDNMaps[[#This Row],[Primary]],INDIRECT(VLOOKUP(IDNMaps[[#This Row],[Type]],RecordCount[],2,0)),VLOOKUP(IDNMaps[[#This Row],[Type]],RecordCount[],7,0),0),"")</f>
        <v>RolesList</v>
      </c>
      <c r="O41" s="6" t="str">
        <f ca="1">IF(IDNMaps[[#This Row],[Name]]="","","("&amp;IDNMaps[[#This Row],[Type]]&amp;") "&amp;IDNMaps[[#This Row],[Name]])</f>
        <v>(Lists) RolesList</v>
      </c>
      <c r="P41" s="6">
        <f ca="1">IFERROR(VLOOKUP(IDNMaps[[#This Row],[Primary]],INDIRECT(VLOOKUP(IDNMaps[[#This Row],[Type]],RecordCount[],2,0)),VLOOKUP(IDNMaps[[#This Row],[Type]],RecordCount[],8,0),0),"")</f>
        <v>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25</v>
      </c>
      <c r="M42" s="6" t="str">
        <f ca="1">IFERROR(VLOOKUP(IDNMaps[[#This Row],[Type]],RecordCount[],6,0)&amp;"-"&amp;IDNMaps[[#This Row],[Type Count]],"")</f>
        <v>Resource Lists-25</v>
      </c>
      <c r="N42" s="6" t="str">
        <f ca="1">IFERROR(VLOOKUP(IDNMaps[[#This Row],[Primary]],INDIRECT(VLOOKUP(IDNMaps[[#This Row],[Type]],RecordCount[],2,0)),VLOOKUP(IDNMaps[[#This Row],[Type]],RecordCount[],7,0),0),"")</f>
        <v>RoleResourcesList</v>
      </c>
      <c r="O42" s="6" t="str">
        <f ca="1">IF(IDNMaps[[#This Row],[Name]]="","","("&amp;IDNMaps[[#This Row],[Type]]&amp;") "&amp;IDNMaps[[#This Row],[Name]])</f>
        <v>(Lists) RoleResourcesList</v>
      </c>
      <c r="P42" s="6">
        <f ca="1">IFERROR(VLOOKUP(IDNMaps[[#This Row],[Primary]],INDIRECT(VLOOKUP(IDNMaps[[#This Row],[Type]],RecordCount[],2,0)),VLOOKUP(IDNMaps[[#This Row],[Type]],RecordCount[],8,0),0),"")</f>
        <v>30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3" s="6">
        <f ca="1">IF(IDNMaps[[#This Row],[Type]]="","",COUNTIF($K$1:IDNMaps[[#This Row],[Type]],IDNMaps[[#This Row],[Type]]))</f>
        <v>1</v>
      </c>
      <c r="M43" s="6" t="str">
        <f ca="1">IFERROR(VLOOKUP(IDNMaps[[#This Row],[Type]],RecordCount[],6,0)&amp;"-"&amp;IDNMaps[[#This Row],[Type Count]],"")</f>
        <v>Resource Data-1</v>
      </c>
      <c r="N43" s="6" t="str">
        <f ca="1">IFERROR(VLOOKUP(IDNMaps[[#This Row],[Primary]],INDIRECT(VLOOKUP(IDNMaps[[#This Row],[Type]],RecordCount[],2,0)),VLOOKUP(IDNMaps[[#This Row],[Type]],RecordCount[],7,0),0),"")</f>
        <v>UserDetailsData</v>
      </c>
      <c r="O43" s="6" t="str">
        <f ca="1">IF(IDNMaps[[#This Row],[Name]]="","","("&amp;IDNMaps[[#This Row],[Type]]&amp;") "&amp;IDNMaps[[#This Row],[Name]])</f>
        <v>(Data) UserDetailsData</v>
      </c>
      <c r="P43" s="6">
        <f ca="1">IFERROR(VLOOKUP(IDNMaps[[#This Row],[Primary]],INDIRECT(VLOOKUP(IDNMaps[[#This Row],[Type]],RecordCount[],2,0)),VLOOKUP(IDNMaps[[#This Row],[Type]],RecordCount[],8,0),0),"")</f>
        <v>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1</v>
      </c>
      <c r="M44" s="6" t="str">
        <f ca="1">IFERROR(VLOOKUP(IDNMaps[[#This Row],[Type]],RecordCount[],6,0)&amp;"-"&amp;IDNMaps[[#This Row],[Type Count]],"")</f>
        <v>Resource Relations-1</v>
      </c>
      <c r="N44" s="6" t="str">
        <f ca="1">IFERROR(VLOOKUP(IDNMaps[[#This Row],[Primary]],INDIRECT(VLOOKUP(IDNMaps[[#This Row],[Type]],RecordCount[],2,0)),VLOOKUP(IDNMaps[[#This Row],[Type]],RecordCount[],7,0),0),"")</f>
        <v>User/Groups</v>
      </c>
      <c r="O44" s="6" t="str">
        <f ca="1">IF(IDNMaps[[#This Row],[Name]]="","","("&amp;IDNMaps[[#This Row],[Type]]&amp;") "&amp;IDNMaps[[#This Row],[Name]])</f>
        <v>(Relation) User/Groups</v>
      </c>
      <c r="P44" s="6">
        <f ca="1">IFERROR(VLOOKUP(IDNMaps[[#This Row],[Primary]],INDIRECT(VLOOKUP(IDNMaps[[#This Row],[Type]],RecordCount[],2,0)),VLOOKUP(IDNMaps[[#This Row],[Type]],RecordCount[],8,0),0),"")</f>
        <v>1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</v>
      </c>
      <c r="M45" s="6" t="str">
        <f ca="1">IFERROR(VLOOKUP(IDNMaps[[#This Row],[Type]],RecordCount[],6,0)&amp;"-"&amp;IDNMaps[[#This Row],[Type Count]],"")</f>
        <v>Resource Relations-2</v>
      </c>
      <c r="N45" s="6" t="str">
        <f ca="1">IFERROR(VLOOKUP(IDNMaps[[#This Row],[Primary]],INDIRECT(VLOOKUP(IDNMaps[[#This Row],[Type]],RecordCount[],2,0)),VLOOKUP(IDNMaps[[#This Row],[Type]],RecordCount[],7,0),0),"")</f>
        <v>Group/Users</v>
      </c>
      <c r="O45" s="6" t="str">
        <f ca="1">IF(IDNMaps[[#This Row],[Name]]="","","("&amp;IDNMaps[[#This Row],[Type]]&amp;") "&amp;IDNMaps[[#This Row],[Name]])</f>
        <v>(Relation) Group/Users</v>
      </c>
      <c r="P45" s="6">
        <f ca="1">IFERROR(VLOOKUP(IDNMaps[[#This Row],[Primary]],INDIRECT(VLOOKUP(IDNMaps[[#This Row],[Type]],RecordCount[],2,0)),VLOOKUP(IDNMaps[[#This Row],[Type]],RecordCount[],8,0),0),"")</f>
        <v>2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</v>
      </c>
      <c r="M46" s="6" t="str">
        <f ca="1">IFERROR(VLOOKUP(IDNMaps[[#This Row],[Type]],RecordCount[],6,0)&amp;"-"&amp;IDNMaps[[#This Row],[Type Count]],"")</f>
        <v>Resource Relations-3</v>
      </c>
      <c r="N46" s="6" t="str">
        <f ca="1">IFERROR(VLOOKUP(IDNMaps[[#This Row],[Primary]],INDIRECT(VLOOKUP(IDNMaps[[#This Row],[Type]],RecordCount[],2,0)),VLOOKUP(IDNMaps[[#This Row],[Type]],RecordCount[],7,0),0),"")</f>
        <v>Group/Roles</v>
      </c>
      <c r="O46" s="6" t="str">
        <f ca="1">IF(IDNMaps[[#This Row],[Name]]="","","("&amp;IDNMaps[[#This Row],[Type]]&amp;") "&amp;IDNMaps[[#This Row],[Name]])</f>
        <v>(Relation) Group/Roles</v>
      </c>
      <c r="P46" s="6">
        <f ca="1">IFERROR(VLOOKUP(IDNMaps[[#This Row],[Primary]],INDIRECT(VLOOKUP(IDNMaps[[#This Row],[Type]],RecordCount[],2,0)),VLOOKUP(IDNMaps[[#This Row],[Type]],RecordCount[],8,0),0),"")</f>
        <v>3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</v>
      </c>
      <c r="M47" s="6" t="str">
        <f ca="1">IFERROR(VLOOKUP(IDNMaps[[#This Row],[Type]],RecordCount[],6,0)&amp;"-"&amp;IDNMaps[[#This Row],[Type Count]],"")</f>
        <v>Resource Relations-4</v>
      </c>
      <c r="N47" s="6" t="str">
        <f ca="1">IFERROR(VLOOKUP(IDNMaps[[#This Row],[Primary]],INDIRECT(VLOOKUP(IDNMaps[[#This Row],[Type]],RecordCount[],2,0)),VLOOKUP(IDNMaps[[#This Row],[Type]],RecordCount[],7,0),0),"")</f>
        <v>Role/Groups</v>
      </c>
      <c r="O47" s="6" t="str">
        <f ca="1">IF(IDNMaps[[#This Row],[Name]]="","","("&amp;IDNMaps[[#This Row],[Type]]&amp;") "&amp;IDNMaps[[#This Row],[Name]])</f>
        <v>(Relation) Role/Groups</v>
      </c>
      <c r="P47" s="6">
        <f ca="1">IFERROR(VLOOKUP(IDNMaps[[#This Row],[Primary]],INDIRECT(VLOOKUP(IDNMaps[[#This Row],[Type]],RecordCount[],2,0)),VLOOKUP(IDNMaps[[#This Row],[Type]],RecordCount[],8,0),0),"")</f>
        <v>4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5</v>
      </c>
      <c r="M48" s="6" t="str">
        <f ca="1">IFERROR(VLOOKUP(IDNMaps[[#This Row],[Type]],RecordCount[],6,0)&amp;"-"&amp;IDNMaps[[#This Row],[Type Count]],"")</f>
        <v>Resource Relations-5</v>
      </c>
      <c r="N48" s="6" t="str">
        <f ca="1">IFERROR(VLOOKUP(IDNMaps[[#This Row],[Primary]],INDIRECT(VLOOKUP(IDNMaps[[#This Row],[Type]],RecordCount[],2,0)),VLOOKUP(IDNMaps[[#This Row],[Type]],RecordCount[],7,0),0),"")</f>
        <v>Role/Resources</v>
      </c>
      <c r="O48" s="6" t="str">
        <f ca="1">IF(IDNMaps[[#This Row],[Name]]="","","("&amp;IDNMaps[[#This Row],[Type]]&amp;") "&amp;IDNMaps[[#This Row],[Name]])</f>
        <v>(Relation) Role/Resources</v>
      </c>
      <c r="P48" s="6">
        <f ca="1">IFERROR(VLOOKUP(IDNMaps[[#This Row],[Primary]],INDIRECT(VLOOKUP(IDNMaps[[#This Row],[Type]],RecordCount[],2,0)),VLOOKUP(IDNMaps[[#This Row],[Type]],RecordCount[],8,0),0),"")</f>
        <v>5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6</v>
      </c>
      <c r="M49" s="6" t="str">
        <f ca="1">IFERROR(VLOOKUP(IDNMaps[[#This Row],[Type]],RecordCount[],6,0)&amp;"-"&amp;IDNMaps[[#This Row],[Type Count]],"")</f>
        <v>Resource Relations-6</v>
      </c>
      <c r="N49" s="6" t="str">
        <f ca="1">IFERROR(VLOOKUP(IDNMaps[[#This Row],[Primary]],INDIRECT(VLOOKUP(IDNMaps[[#This Row],[Type]],RecordCount[],2,0)),VLOOKUP(IDNMaps[[#This Row],[Type]],RecordCount[],7,0),0),"")</f>
        <v>Resource/Roles</v>
      </c>
      <c r="O49" s="6" t="str">
        <f ca="1">IF(IDNMaps[[#This Row],[Name]]="","","("&amp;IDNMaps[[#This Row],[Type]]&amp;") "&amp;IDNMaps[[#This Row],[Name]])</f>
        <v>(Relation) Resource/Roles</v>
      </c>
      <c r="P49" s="6">
        <f ca="1">IFERROR(VLOOKUP(IDNMaps[[#This Row],[Primary]],INDIRECT(VLOOKUP(IDNMaps[[#This Row],[Type]],RecordCount[],2,0)),VLOOKUP(IDNMaps[[#This Row],[Type]],RecordCount[],8,0),0),"")</f>
        <v>6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7</v>
      </c>
      <c r="M50" s="6" t="str">
        <f ca="1">IFERROR(VLOOKUP(IDNMaps[[#This Row],[Type]],RecordCount[],6,0)&amp;"-"&amp;IDNMaps[[#This Row],[Type Count]],"")</f>
        <v>Resource Relations-7</v>
      </c>
      <c r="N50" s="6" t="str">
        <f ca="1">IFERROR(VLOOKUP(IDNMaps[[#This Row],[Primary]],INDIRECT(VLOOKUP(IDNMaps[[#This Row],[Type]],RecordCount[],2,0)),VLOOKUP(IDNMaps[[#This Row],[Type]],RecordCount[],7,0),0),"")</f>
        <v>Resource/Actions</v>
      </c>
      <c r="O50" s="6" t="str">
        <f ca="1">IF(IDNMaps[[#This Row],[Name]]="","","("&amp;IDNMaps[[#This Row],[Type]]&amp;") "&amp;IDNMaps[[#This Row],[Name]])</f>
        <v>(Relation) Resource/Actions</v>
      </c>
      <c r="P50" s="6">
        <f ca="1">IFERROR(VLOOKUP(IDNMaps[[#This Row],[Primary]],INDIRECT(VLOOKUP(IDNMaps[[#This Row],[Type]],RecordCount[],2,0)),VLOOKUP(IDNMaps[[#This Row],[Type]],RecordCount[],8,0),0),"")</f>
        <v>7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8</v>
      </c>
      <c r="M51" s="6" t="str">
        <f ca="1">IFERROR(VLOOKUP(IDNMaps[[#This Row],[Type]],RecordCount[],6,0)&amp;"-"&amp;IDNMaps[[#This Row],[Type Count]],"")</f>
        <v>Resource Relations-8</v>
      </c>
      <c r="N51" s="6" t="str">
        <f ca="1">IFERROR(VLOOKUP(IDNMaps[[#This Row],[Primary]],INDIRECT(VLOOKUP(IDNMaps[[#This Row],[Type]],RecordCount[],2,0)),VLOOKUP(IDNMaps[[#This Row],[Type]],RecordCount[],7,0),0),"")</f>
        <v>ResourceAction/Method</v>
      </c>
      <c r="O51" s="6" t="str">
        <f ca="1">IF(IDNMaps[[#This Row],[Name]]="","","("&amp;IDNMaps[[#This Row],[Type]]&amp;") "&amp;IDNMaps[[#This Row],[Name]])</f>
        <v>(Relation) ResourceAction/Method</v>
      </c>
      <c r="P51" s="6">
        <f ca="1">IFERROR(VLOOKUP(IDNMaps[[#This Row],[Primary]],INDIRECT(VLOOKUP(IDNMaps[[#This Row],[Type]],RecordCount[],2,0)),VLOOKUP(IDNMaps[[#This Row],[Type]],RecordCount[],8,0),0),"")</f>
        <v>8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9</v>
      </c>
      <c r="M52" s="6" t="str">
        <f ca="1">IFERROR(VLOOKUP(IDNMaps[[#This Row],[Type]],RecordCount[],6,0)&amp;"-"&amp;IDNMaps[[#This Row],[Type Count]],"")</f>
        <v>Resource Relations-9</v>
      </c>
      <c r="N52" s="6" t="str">
        <f ca="1">IFERROR(VLOOKUP(IDNMaps[[#This Row],[Primary]],INDIRECT(VLOOKUP(IDNMaps[[#This Row],[Type]],RecordCount[],2,0)),VLOOKUP(IDNMaps[[#This Row],[Type]],RecordCount[],7,0),0),"")</f>
        <v>ResourceAction/Lists</v>
      </c>
      <c r="O52" s="6" t="str">
        <f ca="1">IF(IDNMaps[[#This Row],[Name]]="","","("&amp;IDNMaps[[#This Row],[Type]]&amp;") "&amp;IDNMaps[[#This Row],[Name]])</f>
        <v>(Relation) ResourceAction/Lists</v>
      </c>
      <c r="P52" s="6">
        <f ca="1">IFERROR(VLOOKUP(IDNMaps[[#This Row],[Primary]],INDIRECT(VLOOKUP(IDNMaps[[#This Row],[Type]],RecordCount[],2,0)),VLOOKUP(IDNMaps[[#This Row],[Type]],RecordCount[],8,0),0),"")</f>
        <v>9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10</v>
      </c>
      <c r="M53" s="6" t="str">
        <f ca="1">IFERROR(VLOOKUP(IDNMaps[[#This Row],[Type]],RecordCount[],6,0)&amp;"-"&amp;IDNMaps[[#This Row],[Type Count]],"")</f>
        <v>Resource Relations-10</v>
      </c>
      <c r="N53" s="6" t="str">
        <f ca="1">IFERROR(VLOOKUP(IDNMaps[[#This Row],[Primary]],INDIRECT(VLOOKUP(IDNMaps[[#This Row],[Type]],RecordCount[],2,0)),VLOOKUP(IDNMaps[[#This Row],[Type]],RecordCount[],7,0),0),"")</f>
        <v>ResourceAction/Data</v>
      </c>
      <c r="O53" s="6" t="str">
        <f ca="1">IF(IDNMaps[[#This Row],[Name]]="","","("&amp;IDNMaps[[#This Row],[Type]]&amp;") "&amp;IDNMaps[[#This Row],[Name]])</f>
        <v>(Relation) ResourceAction/Data</v>
      </c>
      <c r="P53" s="6">
        <f ca="1">IFERROR(VLOOKUP(IDNMaps[[#This Row],[Primary]],INDIRECT(VLOOKUP(IDNMaps[[#This Row],[Type]],RecordCount[],2,0)),VLOOKUP(IDNMaps[[#This Row],[Type]],RecordCount[],8,0),0),"")</f>
        <v>10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11</v>
      </c>
      <c r="M54" s="6" t="str">
        <f ca="1">IFERROR(VLOOKUP(IDNMaps[[#This Row],[Type]],RecordCount[],6,0)&amp;"-"&amp;IDNMaps[[#This Row],[Type Count]],"")</f>
        <v>Resource Relations-11</v>
      </c>
      <c r="N54" s="6" t="str">
        <f ca="1">IFERROR(VLOOKUP(IDNMaps[[#This Row],[Primary]],INDIRECT(VLOOKUP(IDNMaps[[#This Row],[Type]],RecordCount[],2,0)),VLOOKUP(IDNMaps[[#This Row],[Type]],RecordCount[],7,0),0),"")</f>
        <v>ResourceAction/Resource</v>
      </c>
      <c r="O54" s="6" t="str">
        <f ca="1">IF(IDNMaps[[#This Row],[Name]]="","","("&amp;IDNMaps[[#This Row],[Type]]&amp;") "&amp;IDNMaps[[#This Row],[Name]])</f>
        <v>(Relation) ResourceAction/Resource</v>
      </c>
      <c r="P54" s="6">
        <f ca="1">IFERROR(VLOOKUP(IDNMaps[[#This Row],[Primary]],INDIRECT(VLOOKUP(IDNMaps[[#This Row],[Type]],RecordCount[],2,0)),VLOOKUP(IDNMaps[[#This Row],[Type]],RecordCount[],8,0),0),"")</f>
        <v>11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12</v>
      </c>
      <c r="M55" s="6" t="str">
        <f ca="1">IFERROR(VLOOKUP(IDNMaps[[#This Row],[Type]],RecordCount[],6,0)&amp;"-"&amp;IDNMaps[[#This Row],[Type Count]],"")</f>
        <v>Resource Relations-12</v>
      </c>
      <c r="N55" s="6" t="str">
        <f ca="1">IFERROR(VLOOKUP(IDNMaps[[#This Row],[Primary]],INDIRECT(VLOOKUP(IDNMaps[[#This Row],[Type]],RecordCount[],2,0)),VLOOKUP(IDNMaps[[#This Row],[Type]],RecordCount[],7,0),0),"")</f>
        <v>Organisation/Contacts</v>
      </c>
      <c r="O55" s="6" t="str">
        <f ca="1">IF(IDNMaps[[#This Row],[Name]]="","","("&amp;IDNMaps[[#This Row],[Type]]&amp;") "&amp;IDNMaps[[#This Row],[Name]])</f>
        <v>(Relation) Organisation/Contacts</v>
      </c>
      <c r="P55" s="6">
        <f ca="1">IFERROR(VLOOKUP(IDNMaps[[#This Row],[Primary]],INDIRECT(VLOOKUP(IDNMaps[[#This Row],[Type]],RecordCount[],2,0)),VLOOKUP(IDNMaps[[#This Row],[Type]],RecordCount[],8,0),0),"")</f>
        <v>12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13</v>
      </c>
      <c r="M56" s="6" t="str">
        <f ca="1">IFERROR(VLOOKUP(IDNMaps[[#This Row],[Type]],RecordCount[],6,0)&amp;"-"&amp;IDNMaps[[#This Row],[Type Count]],"")</f>
        <v>Resource Relations-13</v>
      </c>
      <c r="N56" s="6" t="str">
        <f ca="1">IFERROR(VLOOKUP(IDNMaps[[#This Row],[Primary]],INDIRECT(VLOOKUP(IDNMaps[[#This Row],[Type]],RecordCount[],2,0)),VLOOKUP(IDNMaps[[#This Row],[Type]],RecordCount[],7,0),0),"")</f>
        <v>ResourceRole/Resource</v>
      </c>
      <c r="O56" s="6" t="str">
        <f ca="1">IF(IDNMaps[[#This Row],[Name]]="","","("&amp;IDNMaps[[#This Row],[Type]]&amp;") "&amp;IDNMaps[[#This Row],[Name]])</f>
        <v>(Relation) ResourceRole/Resource</v>
      </c>
      <c r="P56" s="6">
        <f ca="1">IFERROR(VLOOKUP(IDNMaps[[#This Row],[Primary]],INDIRECT(VLOOKUP(IDNMaps[[#This Row],[Type]],RecordCount[],2,0)),VLOOKUP(IDNMaps[[#This Row],[Type]],RecordCount[],8,0),0),"")</f>
        <v>13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14</v>
      </c>
      <c r="M57" s="6" t="str">
        <f ca="1">IFERROR(VLOOKUP(IDNMaps[[#This Row],[Type]],RecordCount[],6,0)&amp;"-"&amp;IDNMaps[[#This Row],[Type Count]],"")</f>
        <v>Resource Relations-14</v>
      </c>
      <c r="N57" s="6" t="str">
        <f ca="1">IFERROR(VLOOKUP(IDNMaps[[#This Row],[Primary]],INDIRECT(VLOOKUP(IDNMaps[[#This Row],[Type]],RecordCount[],2,0)),VLOOKUP(IDNMaps[[#This Row],[Type]],RecordCount[],7,0),0),"")</f>
        <v>Resource/Forms</v>
      </c>
      <c r="O57" s="6" t="str">
        <f ca="1">IF(IDNMaps[[#This Row],[Name]]="","","("&amp;IDNMaps[[#This Row],[Type]]&amp;") "&amp;IDNMaps[[#This Row],[Name]])</f>
        <v>(Relation) Resource/Forms</v>
      </c>
      <c r="P57" s="6">
        <f ca="1">IFERROR(VLOOKUP(IDNMaps[[#This Row],[Primary]],INDIRECT(VLOOKUP(IDNMaps[[#This Row],[Type]],RecordCount[],2,0)),VLOOKUP(IDNMaps[[#This Row],[Type]],RecordCount[],8,0),0),"")</f>
        <v>14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15</v>
      </c>
      <c r="M58" s="6" t="str">
        <f ca="1">IFERROR(VLOOKUP(IDNMaps[[#This Row],[Type]],RecordCount[],6,0)&amp;"-"&amp;IDNMaps[[#This Row],[Type Count]],"")</f>
        <v>Resource Relations-15</v>
      </c>
      <c r="N58" s="6" t="str">
        <f ca="1">IFERROR(VLOOKUP(IDNMaps[[#This Row],[Primary]],INDIRECT(VLOOKUP(IDNMaps[[#This Row],[Type]],RecordCount[],2,0)),VLOOKUP(IDNMaps[[#This Row],[Type]],RecordCount[],7,0),0),"")</f>
        <v>ResourceForm/Fields</v>
      </c>
      <c r="O58" s="6" t="str">
        <f ca="1">IF(IDNMaps[[#This Row],[Name]]="","","("&amp;IDNMaps[[#This Row],[Type]]&amp;") "&amp;IDNMaps[[#This Row],[Name]])</f>
        <v>(Relation) ResourceForm/Fields</v>
      </c>
      <c r="P58" s="6">
        <f ca="1">IFERROR(VLOOKUP(IDNMaps[[#This Row],[Primary]],INDIRECT(VLOOKUP(IDNMaps[[#This Row],[Type]],RecordCount[],2,0)),VLOOKUP(IDNMaps[[#This Row],[Type]],RecordCount[],8,0),0),"")</f>
        <v>15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16</v>
      </c>
      <c r="M59" s="6" t="str">
        <f ca="1">IFERROR(VLOOKUP(IDNMaps[[#This Row],[Type]],RecordCount[],6,0)&amp;"-"&amp;IDNMaps[[#This Row],[Type Count]],"")</f>
        <v>Resource Relations-16</v>
      </c>
      <c r="N59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59" s="6" t="str">
        <f ca="1">IF(IDNMaps[[#This Row],[Name]]="","","("&amp;IDNMaps[[#This Row],[Type]]&amp;") "&amp;IDNMaps[[#This Row],[Name]])</f>
        <v>(Relation) ResourceFormField/Attributes</v>
      </c>
      <c r="P59" s="6">
        <f ca="1">IFERROR(VLOOKUP(IDNMaps[[#This Row],[Primary]],INDIRECT(VLOOKUP(IDNMaps[[#This Row],[Type]],RecordCount[],2,0)),VLOOKUP(IDNMaps[[#This Row],[Type]],RecordCount[],8,0),0),"")</f>
        <v>16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17</v>
      </c>
      <c r="M60" s="6" t="str">
        <f ca="1">IFERROR(VLOOKUP(IDNMaps[[#This Row],[Type]],RecordCount[],6,0)&amp;"-"&amp;IDNMaps[[#This Row],[Type Count]],"")</f>
        <v>Resource Relations-17</v>
      </c>
      <c r="N60" s="6" t="str">
        <f ca="1">IFERROR(VLOOKUP(IDNMaps[[#This Row],[Primary]],INDIRECT(VLOOKUP(IDNMaps[[#This Row],[Type]],RecordCount[],2,0)),VLOOKUP(IDNMaps[[#This Row],[Type]],RecordCount[],7,0),0),"")</f>
        <v>ResourceFormField/Options</v>
      </c>
      <c r="O60" s="6" t="str">
        <f ca="1">IF(IDNMaps[[#This Row],[Name]]="","","("&amp;IDNMaps[[#This Row],[Type]]&amp;") "&amp;IDNMaps[[#This Row],[Name]])</f>
        <v>(Relation) ResourceFormField/Options</v>
      </c>
      <c r="P60" s="6">
        <f ca="1">IFERROR(VLOOKUP(IDNMaps[[#This Row],[Primary]],INDIRECT(VLOOKUP(IDNMaps[[#This Row],[Type]],RecordCount[],2,0)),VLOOKUP(IDNMaps[[#This Row],[Type]],RecordCount[],8,0),0),"")</f>
        <v>17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18</v>
      </c>
      <c r="M61" s="6" t="str">
        <f ca="1">IFERROR(VLOOKUP(IDNMaps[[#This Row],[Type]],RecordCount[],6,0)&amp;"-"&amp;IDNMaps[[#This Row],[Type Count]],"")</f>
        <v>Resource Relations-18</v>
      </c>
      <c r="N61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1" s="6" t="str">
        <f ca="1">IF(IDNMaps[[#This Row],[Name]]="","","("&amp;IDNMaps[[#This Row],[Type]]&amp;") "&amp;IDNMaps[[#This Row],[Name]])</f>
        <v>(Relation) ResourceFormField/Validations</v>
      </c>
      <c r="P61" s="6">
        <f ca="1">IFERROR(VLOOKUP(IDNMaps[[#This Row],[Primary]],INDIRECT(VLOOKUP(IDNMaps[[#This Row],[Type]],RecordCount[],2,0)),VLOOKUP(IDNMaps[[#This Row],[Type]],RecordCount[],8,0),0),"")</f>
        <v>18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19</v>
      </c>
      <c r="M62" s="6" t="str">
        <f ca="1">IFERROR(VLOOKUP(IDNMaps[[#This Row],[Type]],RecordCount[],6,0)&amp;"-"&amp;IDNMaps[[#This Row],[Type Count]],"")</f>
        <v>Resource Relations-19</v>
      </c>
      <c r="N62" s="6" t="str">
        <f ca="1">IFERROR(VLOOKUP(IDNMaps[[#This Row],[Primary]],INDIRECT(VLOOKUP(IDNMaps[[#This Row],[Type]],RecordCount[],2,0)),VLOOKUP(IDNMaps[[#This Row],[Type]],RecordCount[],7,0),0),"")</f>
        <v>ResourceForm/Resource</v>
      </c>
      <c r="O62" s="6" t="str">
        <f ca="1">IF(IDNMaps[[#This Row],[Name]]="","","("&amp;IDNMaps[[#This Row],[Type]]&amp;") "&amp;IDNMaps[[#This Row],[Name]])</f>
        <v>(Relation) ResourceForm/Resource</v>
      </c>
      <c r="P62" s="6">
        <f ca="1">IFERROR(VLOOKUP(IDNMaps[[#This Row],[Primary]],INDIRECT(VLOOKUP(IDNMaps[[#This Row],[Type]],RecordCount[],2,0)),VLOOKUP(IDNMaps[[#This Row],[Type]],RecordCount[],8,0),0),"")</f>
        <v>19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20</v>
      </c>
      <c r="M63" s="6" t="str">
        <f ca="1">IFERROR(VLOOKUP(IDNMaps[[#This Row],[Type]],RecordCount[],6,0)&amp;"-"&amp;IDNMaps[[#This Row],[Type Count]],"")</f>
        <v>Resource Relations-20</v>
      </c>
      <c r="N63" s="6" t="str">
        <f ca="1">IFERROR(VLOOKUP(IDNMaps[[#This Row],[Primary]],INDIRECT(VLOOKUP(IDNMaps[[#This Row],[Type]],RecordCount[],2,0)),VLOOKUP(IDNMaps[[#This Row],[Type]],RecordCount[],7,0),0),"")</f>
        <v>ResourceForm/Defaults</v>
      </c>
      <c r="O63" s="6" t="str">
        <f ca="1">IF(IDNMaps[[#This Row],[Name]]="","","("&amp;IDNMaps[[#This Row],[Type]]&amp;") "&amp;IDNMaps[[#This Row],[Name]])</f>
        <v>(Relation) ResourceForm/Defaults</v>
      </c>
      <c r="P63" s="6">
        <f ca="1">IFERROR(VLOOKUP(IDNMaps[[#This Row],[Primary]],INDIRECT(VLOOKUP(IDNMaps[[#This Row],[Type]],RecordCount[],2,0)),VLOOKUP(IDNMaps[[#This Row],[Type]],RecordCount[],8,0),0),"")</f>
        <v>20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21</v>
      </c>
      <c r="M64" s="6" t="str">
        <f ca="1">IFERROR(VLOOKUP(IDNMaps[[#This Row],[Type]],RecordCount[],6,0)&amp;"-"&amp;IDNMaps[[#This Row],[Type Count]],"")</f>
        <v>Resource Relations-21</v>
      </c>
      <c r="N64" s="6" t="str">
        <f ca="1">IFERROR(VLOOKUP(IDNMaps[[#This Row],[Primary]],INDIRECT(VLOOKUP(IDNMaps[[#This Row],[Type]],RecordCount[],2,0)),VLOOKUP(IDNMaps[[#This Row],[Type]],RecordCount[],7,0),0),"")</f>
        <v>ResourceFormField/Data</v>
      </c>
      <c r="O64" s="6" t="str">
        <f ca="1">IF(IDNMaps[[#This Row],[Name]]="","","("&amp;IDNMaps[[#This Row],[Type]]&amp;") "&amp;IDNMaps[[#This Row],[Name]])</f>
        <v>(Relation) ResourceFormField/Data</v>
      </c>
      <c r="P64" s="6">
        <f ca="1">IFERROR(VLOOKUP(IDNMaps[[#This Row],[Primary]],INDIRECT(VLOOKUP(IDNMaps[[#This Row],[Type]],RecordCount[],2,0)),VLOOKUP(IDNMaps[[#This Row],[Type]],RecordCount[],8,0),0),"")</f>
        <v>21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22</v>
      </c>
      <c r="M65" s="6" t="str">
        <f ca="1">IFERROR(VLOOKUP(IDNMaps[[#This Row],[Type]],RecordCount[],6,0)&amp;"-"&amp;IDNMaps[[#This Row],[Type Count]],"")</f>
        <v>Resource Relations-22</v>
      </c>
      <c r="N65" s="6" t="str">
        <f ca="1">IFERROR(VLOOKUP(IDNMaps[[#This Row],[Primary]],INDIRECT(VLOOKUP(IDNMaps[[#This Row],[Type]],RecordCount[],2,0)),VLOOKUP(IDNMaps[[#This Row],[Type]],RecordCount[],7,0),0),"")</f>
        <v>Resource/Relations</v>
      </c>
      <c r="O65" s="6" t="str">
        <f ca="1">IF(IDNMaps[[#This Row],[Name]]="","","("&amp;IDNMaps[[#This Row],[Type]]&amp;") "&amp;IDNMaps[[#This Row],[Name]])</f>
        <v>(Relation) Resource/Relations</v>
      </c>
      <c r="P65" s="6">
        <f ca="1">IFERROR(VLOOKUP(IDNMaps[[#This Row],[Primary]],INDIRECT(VLOOKUP(IDNMaps[[#This Row],[Type]],RecordCount[],2,0)),VLOOKUP(IDNMaps[[#This Row],[Type]],RecordCount[],8,0),0),"")</f>
        <v>22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23</v>
      </c>
      <c r="M66" s="6" t="str">
        <f ca="1">IFERROR(VLOOKUP(IDNMaps[[#This Row],[Type]],RecordCount[],6,0)&amp;"-"&amp;IDNMaps[[#This Row],[Type Count]],"")</f>
        <v>Resource Relations-23</v>
      </c>
      <c r="N66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6" s="6" t="str">
        <f ca="1">IF(IDNMaps[[#This Row],[Name]]="","","("&amp;IDNMaps[[#This Row],[Type]]&amp;") "&amp;IDNMaps[[#This Row],[Name]])</f>
        <v>(Relation) ResourceFormFieldData/Relation</v>
      </c>
      <c r="P66" s="6">
        <f ca="1">IFERROR(VLOOKUP(IDNMaps[[#This Row],[Primary]],INDIRECT(VLOOKUP(IDNMaps[[#This Row],[Type]],RecordCount[],2,0)),VLOOKUP(IDNMaps[[#This Row],[Type]],RecordCount[],8,0),0),"")</f>
        <v>23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24</v>
      </c>
      <c r="M67" s="6" t="str">
        <f ca="1">IFERROR(VLOOKUP(IDNMaps[[#This Row],[Type]],RecordCount[],6,0)&amp;"-"&amp;IDNMaps[[#This Row],[Type Count]],"")</f>
        <v>Resource Relations-24</v>
      </c>
      <c r="N67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67" s="6" t="str">
        <f ca="1">IF(IDNMaps[[#This Row],[Name]]="","","("&amp;IDNMaps[[#This Row],[Type]]&amp;") "&amp;IDNMaps[[#This Row],[Name]])</f>
        <v>(Relation) ResourceFormDefault/Relation</v>
      </c>
      <c r="P67" s="6">
        <f ca="1">IFERROR(VLOOKUP(IDNMaps[[#This Row],[Primary]],INDIRECT(VLOOKUP(IDNMaps[[#This Row],[Type]],RecordCount[],2,0)),VLOOKUP(IDNMaps[[#This Row],[Type]],RecordCount[],8,0),0),"")</f>
        <v>24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25</v>
      </c>
      <c r="M68" s="6" t="str">
        <f ca="1">IFERROR(VLOOKUP(IDNMaps[[#This Row],[Type]],RecordCount[],6,0)&amp;"-"&amp;IDNMaps[[#This Row],[Type Count]],"")</f>
        <v>Resource Relations-25</v>
      </c>
      <c r="N68" s="6" t="str">
        <f ca="1">IFERROR(VLOOKUP(IDNMaps[[#This Row],[Primary]],INDIRECT(VLOOKUP(IDNMaps[[#This Row],[Type]],RecordCount[],2,0)),VLOOKUP(IDNMaps[[#This Row],[Type]],RecordCount[],7,0),0),"")</f>
        <v>ResourceList/Resource</v>
      </c>
      <c r="O68" s="6" t="str">
        <f ca="1">IF(IDNMaps[[#This Row],[Name]]="","","("&amp;IDNMaps[[#This Row],[Type]]&amp;") "&amp;IDNMaps[[#This Row],[Name]])</f>
        <v>(Relation) ResourceList/Resource</v>
      </c>
      <c r="P68" s="6">
        <f ca="1">IFERROR(VLOOKUP(IDNMaps[[#This Row],[Primary]],INDIRECT(VLOOKUP(IDNMaps[[#This Row],[Type]],RecordCount[],2,0)),VLOOKUP(IDNMaps[[#This Row],[Type]],RecordCount[],8,0),0),"")</f>
        <v>25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26</v>
      </c>
      <c r="M69" s="6" t="str">
        <f ca="1">IFERROR(VLOOKUP(IDNMaps[[#This Row],[Type]],RecordCount[],6,0)&amp;"-"&amp;IDNMaps[[#This Row],[Type Count]],"")</f>
        <v>Resource Relations-26</v>
      </c>
      <c r="N69" s="6" t="str">
        <f ca="1">IFERROR(VLOOKUP(IDNMaps[[#This Row],[Primary]],INDIRECT(VLOOKUP(IDNMaps[[#This Row],[Type]],RecordCount[],2,0)),VLOOKUP(IDNMaps[[#This Row],[Type]],RecordCount[],7,0),0),"")</f>
        <v>ResourceList/Relations</v>
      </c>
      <c r="O69" s="6" t="str">
        <f ca="1">IF(IDNMaps[[#This Row],[Name]]="","","("&amp;IDNMaps[[#This Row],[Type]]&amp;") "&amp;IDNMaps[[#This Row],[Name]])</f>
        <v>(Relation) ResourceList/Relations</v>
      </c>
      <c r="P69" s="6">
        <f ca="1">IFERROR(VLOOKUP(IDNMaps[[#This Row],[Primary]],INDIRECT(VLOOKUP(IDNMaps[[#This Row],[Type]],RecordCount[],2,0)),VLOOKUP(IDNMaps[[#This Row],[Type]],RecordCount[],8,0),0),"")</f>
        <v>26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27</v>
      </c>
      <c r="M70" s="6" t="str">
        <f ca="1">IFERROR(VLOOKUP(IDNMaps[[#This Row],[Type]],RecordCount[],6,0)&amp;"-"&amp;IDNMaps[[#This Row],[Type Count]],"")</f>
        <v>Resource Relations-27</v>
      </c>
      <c r="N70" s="6" t="str">
        <f ca="1">IFERROR(VLOOKUP(IDNMaps[[#This Row],[Primary]],INDIRECT(VLOOKUP(IDNMaps[[#This Row],[Type]],RecordCount[],2,0)),VLOOKUP(IDNMaps[[#This Row],[Type]],RecordCount[],7,0),0),"")</f>
        <v>Resource/Scopes</v>
      </c>
      <c r="O70" s="6" t="str">
        <f ca="1">IF(IDNMaps[[#This Row],[Name]]="","","("&amp;IDNMaps[[#This Row],[Type]]&amp;") "&amp;IDNMaps[[#This Row],[Name]])</f>
        <v>(Relation) Resource/Scopes</v>
      </c>
      <c r="P70" s="6">
        <f ca="1">IFERROR(VLOOKUP(IDNMaps[[#This Row],[Primary]],INDIRECT(VLOOKUP(IDNMaps[[#This Row],[Type]],RecordCount[],2,0)),VLOOKUP(IDNMaps[[#This Row],[Type]],RecordCount[],8,0),0),"")</f>
        <v>27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28</v>
      </c>
      <c r="M71" s="6" t="str">
        <f ca="1">IFERROR(VLOOKUP(IDNMaps[[#This Row],[Type]],RecordCount[],6,0)&amp;"-"&amp;IDNMaps[[#This Row],[Type Count]],"")</f>
        <v>Resource Relations-28</v>
      </c>
      <c r="N71" s="6" t="str">
        <f ca="1">IFERROR(VLOOKUP(IDNMaps[[#This Row],[Primary]],INDIRECT(VLOOKUP(IDNMaps[[#This Row],[Type]],RecordCount[],2,0)),VLOOKUP(IDNMaps[[#This Row],[Type]],RecordCount[],7,0),0),"")</f>
        <v>ResourceList/Scopes</v>
      </c>
      <c r="O71" s="6" t="str">
        <f ca="1">IF(IDNMaps[[#This Row],[Name]]="","","("&amp;IDNMaps[[#This Row],[Type]]&amp;") "&amp;IDNMaps[[#This Row],[Name]])</f>
        <v>(Relation) ResourceList/Scopes</v>
      </c>
      <c r="P71" s="6">
        <f ca="1">IFERROR(VLOOKUP(IDNMaps[[#This Row],[Primary]],INDIRECT(VLOOKUP(IDNMaps[[#This Row],[Type]],RecordCount[],2,0)),VLOOKUP(IDNMaps[[#This Row],[Type]],RecordCount[],8,0),0),"")</f>
        <v>28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29</v>
      </c>
      <c r="M72" s="6" t="str">
        <f ca="1">IFERROR(VLOOKUP(IDNMaps[[#This Row],[Type]],RecordCount[],6,0)&amp;"-"&amp;IDNMaps[[#This Row],[Type Count]],"")</f>
        <v>Resource Relations-29</v>
      </c>
      <c r="N72" s="6" t="str">
        <f ca="1">IFERROR(VLOOKUP(IDNMaps[[#This Row],[Primary]],INDIRECT(VLOOKUP(IDNMaps[[#This Row],[Type]],RecordCount[],2,0)),VLOOKUP(IDNMaps[[#This Row],[Type]],RecordCount[],7,0),0),"")</f>
        <v>ResourceData/Relations</v>
      </c>
      <c r="O72" s="6" t="str">
        <f ca="1">IF(IDNMaps[[#This Row],[Name]]="","","("&amp;IDNMaps[[#This Row],[Type]]&amp;") "&amp;IDNMaps[[#This Row],[Name]])</f>
        <v>(Relation) ResourceData/Relations</v>
      </c>
      <c r="P72" s="6">
        <f ca="1">IFERROR(VLOOKUP(IDNMaps[[#This Row],[Primary]],INDIRECT(VLOOKUP(IDNMaps[[#This Row],[Type]],RecordCount[],2,0)),VLOOKUP(IDNMaps[[#This Row],[Type]],RecordCount[],8,0),0),"")</f>
        <v>29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30</v>
      </c>
      <c r="M73" s="6" t="str">
        <f ca="1">IFERROR(VLOOKUP(IDNMaps[[#This Row],[Type]],RecordCount[],6,0)&amp;"-"&amp;IDNMaps[[#This Row],[Type Count]],"")</f>
        <v>Resource Relations-30</v>
      </c>
      <c r="N73" s="6" t="str">
        <f ca="1">IFERROR(VLOOKUP(IDNMaps[[#This Row],[Primary]],INDIRECT(VLOOKUP(IDNMaps[[#This Row],[Type]],RecordCount[],2,0)),VLOOKUP(IDNMaps[[#This Row],[Type]],RecordCount[],7,0),0),"")</f>
        <v>ResourceData/Resource</v>
      </c>
      <c r="O73" s="6" t="str">
        <f ca="1">IF(IDNMaps[[#This Row],[Name]]="","","("&amp;IDNMaps[[#This Row],[Type]]&amp;") "&amp;IDNMaps[[#This Row],[Name]])</f>
        <v>(Relation) ResourceData/Resource</v>
      </c>
      <c r="P73" s="6">
        <f ca="1">IFERROR(VLOOKUP(IDNMaps[[#This Row],[Primary]],INDIRECT(VLOOKUP(IDNMaps[[#This Row],[Type]],RecordCount[],2,0)),VLOOKUP(IDNMaps[[#This Row],[Type]],RecordCount[],8,0),0),"")</f>
        <v>30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31</v>
      </c>
      <c r="M74" s="6" t="str">
        <f ca="1">IFERROR(VLOOKUP(IDNMaps[[#This Row],[Type]],RecordCount[],6,0)&amp;"-"&amp;IDNMaps[[#This Row],[Type Count]],"")</f>
        <v>Resource Relations-31</v>
      </c>
      <c r="N74" s="6" t="str">
        <f ca="1">IFERROR(VLOOKUP(IDNMaps[[#This Row],[Primary]],INDIRECT(VLOOKUP(IDNMaps[[#This Row],[Type]],RecordCount[],2,0)),VLOOKUP(IDNMaps[[#This Row],[Type]],RecordCount[],7,0),0),"")</f>
        <v>ResourceList/Layout</v>
      </c>
      <c r="O74" s="6" t="str">
        <f ca="1">IF(IDNMaps[[#This Row],[Name]]="","","("&amp;IDNMaps[[#This Row],[Type]]&amp;") "&amp;IDNMaps[[#This Row],[Name]])</f>
        <v>(Relation) ResourceList/Layout</v>
      </c>
      <c r="P74" s="6">
        <f ca="1">IFERROR(VLOOKUP(IDNMaps[[#This Row],[Primary]],INDIRECT(VLOOKUP(IDNMaps[[#This Row],[Type]],RecordCount[],2,0)),VLOOKUP(IDNMaps[[#This Row],[Type]],RecordCount[],8,0),0),"")</f>
        <v>31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32</v>
      </c>
      <c r="M75" s="6" t="str">
        <f ca="1">IFERROR(VLOOKUP(IDNMaps[[#This Row],[Type]],RecordCount[],6,0)&amp;"-"&amp;IDNMaps[[#This Row],[Type Count]],"")</f>
        <v>Resource Relations-32</v>
      </c>
      <c r="N75" s="6" t="str">
        <f ca="1">IFERROR(VLOOKUP(IDNMaps[[#This Row],[Primary]],INDIRECT(VLOOKUP(IDNMaps[[#This Row],[Type]],RecordCount[],2,0)),VLOOKUP(IDNMaps[[#This Row],[Type]],RecordCount[],7,0),0),"")</f>
        <v>ResourceRelation/Nest</v>
      </c>
      <c r="O75" s="6" t="str">
        <f ca="1">IF(IDNMaps[[#This Row],[Name]]="","","("&amp;IDNMaps[[#This Row],[Type]]&amp;") "&amp;IDNMaps[[#This Row],[Name]])</f>
        <v>(Relation) ResourceRelation/Nest</v>
      </c>
      <c r="P75" s="6">
        <f ca="1">IFERROR(VLOOKUP(IDNMaps[[#This Row],[Primary]],INDIRECT(VLOOKUP(IDNMaps[[#This Row],[Type]],RecordCount[],2,0)),VLOOKUP(IDNMaps[[#This Row],[Type]],RecordCount[],8,0),0),"")</f>
        <v>32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33</v>
      </c>
      <c r="M76" s="6" t="str">
        <f ca="1">IFERROR(VLOOKUP(IDNMaps[[#This Row],[Type]],RecordCount[],6,0)&amp;"-"&amp;IDNMaps[[#This Row],[Type Count]],"")</f>
        <v>Resource Relations-33</v>
      </c>
      <c r="N76" s="6" t="str">
        <f ca="1">IFERROR(VLOOKUP(IDNMaps[[#This Row],[Primary]],INDIRECT(VLOOKUP(IDNMaps[[#This Row],[Type]],RecordCount[],2,0)),VLOOKUP(IDNMaps[[#This Row],[Type]],RecordCount[],7,0),0),"")</f>
        <v>ResourceRelation/Relation</v>
      </c>
      <c r="O76" s="6" t="str">
        <f ca="1">IF(IDNMaps[[#This Row],[Name]]="","","("&amp;IDNMaps[[#This Row],[Type]]&amp;") "&amp;IDNMaps[[#This Row],[Name]])</f>
        <v>(Relation) ResourceRelation/Relation</v>
      </c>
      <c r="P76" s="6">
        <f ca="1">IFERROR(VLOOKUP(IDNMaps[[#This Row],[Primary]],INDIRECT(VLOOKUP(IDNMaps[[#This Row],[Type]],RecordCount[],2,0)),VLOOKUP(IDNMaps[[#This Row],[Type]],RecordCount[],8,0),0),"")</f>
        <v>33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34</v>
      </c>
      <c r="M77" s="6" t="str">
        <f ca="1">IFERROR(VLOOKUP(IDNMaps[[#This Row],[Type]],RecordCount[],6,0)&amp;"-"&amp;IDNMaps[[#This Row],[Type Count]],"")</f>
        <v>Resource Relations-34</v>
      </c>
      <c r="N77" s="6" t="str">
        <f ca="1">IFERROR(VLOOKUP(IDNMaps[[#This Row],[Primary]],INDIRECT(VLOOKUP(IDNMaps[[#This Row],[Type]],RecordCount[],2,0)),VLOOKUP(IDNMaps[[#This Row],[Type]],RecordCount[],7,0),0),"")</f>
        <v>ResourceData/Sections</v>
      </c>
      <c r="O77" s="6" t="str">
        <f ca="1">IF(IDNMaps[[#This Row],[Name]]="","","("&amp;IDNMaps[[#This Row],[Type]]&amp;") "&amp;IDNMaps[[#This Row],[Name]])</f>
        <v>(Relation) ResourceData/Sections</v>
      </c>
      <c r="P77" s="6">
        <f ca="1">IFERROR(VLOOKUP(IDNMaps[[#This Row],[Primary]],INDIRECT(VLOOKUP(IDNMaps[[#This Row],[Type]],RecordCount[],2,0)),VLOOKUP(IDNMaps[[#This Row],[Type]],RecordCount[],8,0),0),"")</f>
        <v>34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35</v>
      </c>
      <c r="M78" s="6" t="str">
        <f ca="1">IFERROR(VLOOKUP(IDNMaps[[#This Row],[Type]],RecordCount[],6,0)&amp;"-"&amp;IDNMaps[[#This Row],[Type Count]],"")</f>
        <v>Resource Relations-35</v>
      </c>
      <c r="N78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78" s="6" t="str">
        <f ca="1">IF(IDNMaps[[#This Row],[Name]]="","","("&amp;IDNMaps[[#This Row],[Type]]&amp;") "&amp;IDNMaps[[#This Row],[Name]])</f>
        <v>(Relation) ResourceDataViewSection/Relation</v>
      </c>
      <c r="P78" s="6">
        <f ca="1">IFERROR(VLOOKUP(IDNMaps[[#This Row],[Primary]],INDIRECT(VLOOKUP(IDNMaps[[#This Row],[Type]],RecordCount[],2,0)),VLOOKUP(IDNMaps[[#This Row],[Type]],RecordCount[],8,0),0),"")</f>
        <v>35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36</v>
      </c>
      <c r="M79" s="6" t="str">
        <f ca="1">IFERROR(VLOOKUP(IDNMaps[[#This Row],[Type]],RecordCount[],6,0)&amp;"-"&amp;IDNMaps[[#This Row],[Type Count]],"")</f>
        <v>Resource Relations-36</v>
      </c>
      <c r="N79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79" s="6" t="str">
        <f ca="1">IF(IDNMaps[[#This Row],[Name]]="","","("&amp;IDNMaps[[#This Row],[Type]]&amp;") "&amp;IDNMaps[[#This Row],[Name]])</f>
        <v>(Relation) ResourceDataViewSectionItem/Relation</v>
      </c>
      <c r="P79" s="6">
        <f ca="1">IFERROR(VLOOKUP(IDNMaps[[#This Row],[Primary]],INDIRECT(VLOOKUP(IDNMaps[[#This Row],[Type]],RecordCount[],2,0)),VLOOKUP(IDNMaps[[#This Row],[Type]],RecordCount[],8,0),0),"")</f>
        <v>36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37</v>
      </c>
      <c r="M80" s="6" t="str">
        <f ca="1">IFERROR(VLOOKUP(IDNMaps[[#This Row],[Type]],RecordCount[],6,0)&amp;"-"&amp;IDNMaps[[#This Row],[Type Count]],"")</f>
        <v>Resource Relations-37</v>
      </c>
      <c r="N80" s="6" t="str">
        <f ca="1">IFERROR(VLOOKUP(IDNMaps[[#This Row],[Primary]],INDIRECT(VLOOKUP(IDNMaps[[#This Row],[Type]],RecordCount[],2,0)),VLOOKUP(IDNMaps[[#This Row],[Type]],RecordCount[],7,0),0),"")</f>
        <v>ResourceRelation/Owner</v>
      </c>
      <c r="O80" s="6" t="str">
        <f ca="1">IF(IDNMaps[[#This Row],[Name]]="","","("&amp;IDNMaps[[#This Row],[Type]]&amp;") "&amp;IDNMaps[[#This Row],[Name]])</f>
        <v>(Relation) ResourceRelation/Owner</v>
      </c>
      <c r="P80" s="6">
        <f ca="1">IFERROR(VLOOKUP(IDNMaps[[#This Row],[Primary]],INDIRECT(VLOOKUP(IDNMaps[[#This Row],[Type]],RecordCount[],2,0)),VLOOKUP(IDNMaps[[#This Row],[Type]],RecordCount[],8,0),0),"")</f>
        <v>37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38</v>
      </c>
      <c r="M81" s="6" t="str">
        <f ca="1">IFERROR(VLOOKUP(IDNMaps[[#This Row],[Type]],RecordCount[],6,0)&amp;"-"&amp;IDNMaps[[#This Row],[Type Count]],"")</f>
        <v>Resource Relations-38</v>
      </c>
      <c r="N81" s="6" t="str">
        <f ca="1">IFERROR(VLOOKUP(IDNMaps[[#This Row],[Primary]],INDIRECT(VLOOKUP(IDNMaps[[#This Row],[Type]],RecordCount[],2,0)),VLOOKUP(IDNMaps[[#This Row],[Type]],RecordCount[],7,0),0),"")</f>
        <v>ResourceForm/Collections</v>
      </c>
      <c r="O81" s="6" t="str">
        <f ca="1">IF(IDNMaps[[#This Row],[Name]]="","","("&amp;IDNMaps[[#This Row],[Type]]&amp;") "&amp;IDNMaps[[#This Row],[Name]])</f>
        <v>(Relation) ResourceForm/Collections</v>
      </c>
      <c r="P81" s="6">
        <f ca="1">IFERROR(VLOOKUP(IDNMaps[[#This Row],[Primary]],INDIRECT(VLOOKUP(IDNMaps[[#This Row],[Type]],RecordCount[],2,0)),VLOOKUP(IDNMaps[[#This Row],[Type]],RecordCount[],8,0),0),"")</f>
        <v>38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39</v>
      </c>
      <c r="M82" s="6" t="str">
        <f ca="1">IFERROR(VLOOKUP(IDNMaps[[#This Row],[Type]],RecordCount[],6,0)&amp;"-"&amp;IDNMaps[[#This Row],[Type Count]],"")</f>
        <v>Resource Relations-39</v>
      </c>
      <c r="N82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2" s="6" t="str">
        <f ca="1">IF(IDNMaps[[#This Row],[Name]]="","","("&amp;IDNMaps[[#This Row],[Type]]&amp;") "&amp;IDNMaps[[#This Row],[Name]])</f>
        <v>(Relation) ResourceFormCollection/Form</v>
      </c>
      <c r="P82" s="6">
        <f ca="1">IFERROR(VLOOKUP(IDNMaps[[#This Row],[Primary]],INDIRECT(VLOOKUP(IDNMaps[[#This Row],[Type]],RecordCount[],2,0)),VLOOKUP(IDNMaps[[#This Row],[Type]],RecordCount[],8,0),0),"")</f>
        <v>39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40</v>
      </c>
      <c r="M83" s="6" t="str">
        <f ca="1">IFERROR(VLOOKUP(IDNMaps[[#This Row],[Type]],RecordCount[],6,0)&amp;"-"&amp;IDNMaps[[#This Row],[Type Count]],"")</f>
        <v>Resource Relations-40</v>
      </c>
      <c r="N83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3" s="6" t="str">
        <f ca="1">IF(IDNMaps[[#This Row],[Name]]="","","("&amp;IDNMaps[[#This Row],[Type]]&amp;") "&amp;IDNMaps[[#This Row],[Name]])</f>
        <v>(Relation) ResourceFormCollection/Relation</v>
      </c>
      <c r="P83" s="6">
        <f ca="1">IFERROR(VLOOKUP(IDNMaps[[#This Row],[Primary]],INDIRECT(VLOOKUP(IDNMaps[[#This Row],[Type]],RecordCount[],2,0)),VLOOKUP(IDNMaps[[#This Row],[Type]],RecordCount[],8,0),0),"")</f>
        <v>40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41</v>
      </c>
      <c r="M84" s="6" t="str">
        <f ca="1">IFERROR(VLOOKUP(IDNMaps[[#This Row],[Type]],RecordCount[],6,0)&amp;"-"&amp;IDNMaps[[#This Row],[Type Count]],"")</f>
        <v>Resource Relations-41</v>
      </c>
      <c r="N84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4" s="6" t="str">
        <f ca="1">IF(IDNMaps[[#This Row],[Name]]="","","("&amp;IDNMaps[[#This Row],[Type]]&amp;") "&amp;IDNMaps[[#This Row],[Name]])</f>
        <v>(Relation) ResourceFormFieldOption/Field</v>
      </c>
      <c r="P84" s="6">
        <f ca="1">IFERROR(VLOOKUP(IDNMaps[[#This Row],[Primary]],INDIRECT(VLOOKUP(IDNMaps[[#This Row],[Type]],RecordCount[],2,0)),VLOOKUP(IDNMaps[[#This Row],[Type]],RecordCount[],8,0),0),"")</f>
        <v>41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42</v>
      </c>
      <c r="M85" s="6" t="str">
        <f ca="1">IFERROR(VLOOKUP(IDNMaps[[#This Row],[Type]],RecordCount[],6,0)&amp;"-"&amp;IDNMaps[[#This Row],[Type Count]],"")</f>
        <v>Resource Relations-42</v>
      </c>
      <c r="N85" s="6" t="str">
        <f ca="1">IFERROR(VLOOKUP(IDNMaps[[#This Row],[Primary]],INDIRECT(VLOOKUP(IDNMaps[[#This Row],[Type]],RecordCount[],2,0)),VLOOKUP(IDNMaps[[#This Row],[Type]],RecordCount[],7,0),0),"")</f>
        <v>ResourceFormField/Form</v>
      </c>
      <c r="O85" s="6" t="str">
        <f ca="1">IF(IDNMaps[[#This Row],[Name]]="","","("&amp;IDNMaps[[#This Row],[Type]]&amp;") "&amp;IDNMaps[[#This Row],[Name]])</f>
        <v>(Relation) ResourceFormField/Form</v>
      </c>
      <c r="P85" s="6">
        <f ca="1">IFERROR(VLOOKUP(IDNMaps[[#This Row],[Primary]],INDIRECT(VLOOKUP(IDNMaps[[#This Row],[Type]],RecordCount[],2,0)),VLOOKUP(IDNMaps[[#This Row],[Type]],RecordCount[],8,0),0),"")</f>
        <v>42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43</v>
      </c>
      <c r="M86" s="6" t="str">
        <f ca="1">IFERROR(VLOOKUP(IDNMaps[[#This Row],[Type]],RecordCount[],6,0)&amp;"-"&amp;IDNMaps[[#This Row],[Type Count]],"")</f>
        <v>Resource Relations-43</v>
      </c>
      <c r="N86" s="6" t="str">
        <f ca="1">IFERROR(VLOOKUP(IDNMaps[[#This Row],[Primary]],INDIRECT(VLOOKUP(IDNMaps[[#This Row],[Type]],RecordCount[],2,0)),VLOOKUP(IDNMaps[[#This Row],[Type]],RecordCount[],7,0),0),"")</f>
        <v>ResourceList/Search</v>
      </c>
      <c r="O86" s="6" t="str">
        <f ca="1">IF(IDNMaps[[#This Row],[Name]]="","","("&amp;IDNMaps[[#This Row],[Type]]&amp;") "&amp;IDNMaps[[#This Row],[Name]])</f>
        <v>(Relation) ResourceList/Search</v>
      </c>
      <c r="P86" s="6">
        <f ca="1">IFERROR(VLOOKUP(IDNMaps[[#This Row],[Primary]],INDIRECT(VLOOKUP(IDNMaps[[#This Row],[Type]],RecordCount[],2,0)),VLOOKUP(IDNMaps[[#This Row],[Type]],RecordCount[],8,0),0),"")</f>
        <v>43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44</v>
      </c>
      <c r="M87" s="6" t="str">
        <f ca="1">IFERROR(VLOOKUP(IDNMaps[[#This Row],[Type]],RecordCount[],6,0)&amp;"-"&amp;IDNMaps[[#This Row],[Type Count]],"")</f>
        <v>Resource Relations-44</v>
      </c>
      <c r="N87" s="6" t="str">
        <f ca="1">IFERROR(VLOOKUP(IDNMaps[[#This Row],[Primary]],INDIRECT(VLOOKUP(IDNMaps[[#This Row],[Type]],RecordCount[],2,0)),VLOOKUP(IDNMaps[[#This Row],[Type]],RecordCount[],7,0),0),"")</f>
        <v>ResourceFormField/Depends</v>
      </c>
      <c r="O87" s="6" t="str">
        <f ca="1">IF(IDNMaps[[#This Row],[Name]]="","","("&amp;IDNMaps[[#This Row],[Type]]&amp;") "&amp;IDNMaps[[#This Row],[Name]])</f>
        <v>(Relation) ResourceFormField/Depends</v>
      </c>
      <c r="P87" s="6">
        <f ca="1">IFERROR(VLOOKUP(IDNMaps[[#This Row],[Primary]],INDIRECT(VLOOKUP(IDNMaps[[#This Row],[Type]],RecordCount[],2,0)),VLOOKUP(IDNMaps[[#This Row],[Type]],RecordCount[],8,0),0),"")</f>
        <v>44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45</v>
      </c>
      <c r="M88" s="6" t="str">
        <f ca="1">IFERROR(VLOOKUP(IDNMaps[[#This Row],[Type]],RecordCount[],6,0)&amp;"-"&amp;IDNMaps[[#This Row],[Type Count]],"")</f>
        <v>Resource Relations-45</v>
      </c>
      <c r="N88" s="6" t="str">
        <f ca="1">IFERROR(VLOOKUP(IDNMaps[[#This Row],[Primary]],INDIRECT(VLOOKUP(IDNMaps[[#This Row],[Type]],RecordCount[],2,0)),VLOOKUP(IDNMaps[[#This Row],[Type]],RecordCount[],7,0),0),"")</f>
        <v>Resource/Dashboards</v>
      </c>
      <c r="O88" s="6" t="str">
        <f ca="1">IF(IDNMaps[[#This Row],[Name]]="","","("&amp;IDNMaps[[#This Row],[Type]]&amp;") "&amp;IDNMaps[[#This Row],[Name]])</f>
        <v>(Relation) Resource/Dashboards</v>
      </c>
      <c r="P88" s="6">
        <f ca="1">IFERROR(VLOOKUP(IDNMaps[[#This Row],[Primary]],INDIRECT(VLOOKUP(IDNMaps[[#This Row],[Type]],RecordCount[],2,0)),VLOOKUP(IDNMaps[[#This Row],[Type]],RecordCount[],8,0),0),"")</f>
        <v>45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46</v>
      </c>
      <c r="M89" s="6" t="str">
        <f ca="1">IFERROR(VLOOKUP(IDNMaps[[#This Row],[Type]],RecordCount[],6,0)&amp;"-"&amp;IDNMaps[[#This Row],[Type Count]],"")</f>
        <v>Resource Relations-46</v>
      </c>
      <c r="N89" s="6" t="str">
        <f ca="1">IFERROR(VLOOKUP(IDNMaps[[#This Row],[Primary]],INDIRECT(VLOOKUP(IDNMaps[[#This Row],[Type]],RecordCount[],2,0)),VLOOKUP(IDNMaps[[#This Row],[Type]],RecordCount[],7,0),0),"")</f>
        <v>ResourceDashboard/Sections</v>
      </c>
      <c r="O89" s="6" t="str">
        <f ca="1">IF(IDNMaps[[#This Row],[Name]]="","","("&amp;IDNMaps[[#This Row],[Type]]&amp;") "&amp;IDNMaps[[#This Row],[Name]])</f>
        <v>(Relation) ResourceDashboard/Sections</v>
      </c>
      <c r="P89" s="6">
        <f ca="1">IFERROR(VLOOKUP(IDNMaps[[#This Row],[Primary]],INDIRECT(VLOOKUP(IDNMaps[[#This Row],[Type]],RecordCount[],2,0)),VLOOKUP(IDNMaps[[#This Row],[Type]],RecordCount[],8,0),0),"")</f>
        <v>46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47</v>
      </c>
      <c r="M90" s="6" t="str">
        <f ca="1">IFERROR(VLOOKUP(IDNMaps[[#This Row],[Type]],RecordCount[],6,0)&amp;"-"&amp;IDNMaps[[#This Row],[Type Count]],"")</f>
        <v>Resource Relations-47</v>
      </c>
      <c r="N90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0" s="6" t="str">
        <f ca="1">IF(IDNMaps[[#This Row],[Name]]="","","("&amp;IDNMaps[[#This Row],[Type]]&amp;") "&amp;IDNMaps[[#This Row],[Name]])</f>
        <v>(Relation) ResourceDashboardSection/Items</v>
      </c>
      <c r="P90" s="6">
        <f ca="1">IFERROR(VLOOKUP(IDNMaps[[#This Row],[Primary]],INDIRECT(VLOOKUP(IDNMaps[[#This Row],[Type]],RecordCount[],2,0)),VLOOKUP(IDNMaps[[#This Row],[Type]],RecordCount[],8,0),0),"")</f>
        <v>47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48</v>
      </c>
      <c r="M91" s="6" t="str">
        <f ca="1">IFERROR(VLOOKUP(IDNMaps[[#This Row],[Type]],RecordCount[],6,0)&amp;"-"&amp;IDNMaps[[#This Row],[Type Count]],"")</f>
        <v>Resource Relations-48</v>
      </c>
      <c r="N91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1" s="6" t="str">
        <f ca="1">IF(IDNMaps[[#This Row],[Name]]="","","("&amp;IDNMaps[[#This Row],[Type]]&amp;") "&amp;IDNMaps[[#This Row],[Name]])</f>
        <v>(Relation) ResourceDashboard/Resource</v>
      </c>
      <c r="P91" s="6">
        <f ca="1">IFERROR(VLOOKUP(IDNMaps[[#This Row],[Primary]],INDIRECT(VLOOKUP(IDNMaps[[#This Row],[Type]],RecordCount[],2,0)),VLOOKUP(IDNMaps[[#This Row],[Type]],RecordCount[],8,0),0),"")</f>
        <v>48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49</v>
      </c>
      <c r="M92" s="6" t="str">
        <f ca="1">IFERROR(VLOOKUP(IDNMaps[[#This Row],[Type]],RecordCount[],6,0)&amp;"-"&amp;IDNMaps[[#This Row],[Type Count]],"")</f>
        <v>Resource Relations-49</v>
      </c>
      <c r="N92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2" s="6" t="str">
        <f ca="1">IF(IDNMaps[[#This Row],[Name]]="","","("&amp;IDNMaps[[#This Row],[Type]]&amp;") "&amp;IDNMaps[[#This Row],[Name]])</f>
        <v>(Relation) ResourceFormField/Dynamics</v>
      </c>
      <c r="P92" s="6">
        <f ca="1">IFERROR(VLOOKUP(IDNMaps[[#This Row],[Primary]],INDIRECT(VLOOKUP(IDNMaps[[#This Row],[Type]],RecordCount[],2,0)),VLOOKUP(IDNMaps[[#This Row],[Type]],RecordCount[],8,0),0),"")</f>
        <v>49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50</v>
      </c>
      <c r="M93" s="6" t="str">
        <f ca="1">IFERROR(VLOOKUP(IDNMaps[[#This Row],[Type]],RecordCount[],6,0)&amp;"-"&amp;IDNMaps[[#This Row],[Type Count]],"")</f>
        <v>Resource Relations-50</v>
      </c>
      <c r="N93" s="6" t="str">
        <f ca="1">IFERROR(VLOOKUP(IDNMaps[[#This Row],[Primary]],INDIRECT(VLOOKUP(IDNMaps[[#This Row],[Type]],RecordCount[],2,0)),VLOOKUP(IDNMaps[[#This Row],[Type]],RecordCount[],7,0),0),"")</f>
        <v>ResourceData/Scopes</v>
      </c>
      <c r="O93" s="6" t="str">
        <f ca="1">IF(IDNMaps[[#This Row],[Name]]="","","("&amp;IDNMaps[[#This Row],[Type]]&amp;") "&amp;IDNMaps[[#This Row],[Name]])</f>
        <v>(Relation) ResourceData/Scopes</v>
      </c>
      <c r="P93" s="6">
        <f ca="1">IFERROR(VLOOKUP(IDNMaps[[#This Row],[Primary]],INDIRECT(VLOOKUP(IDNMaps[[#This Row],[Type]],RecordCount[],2,0)),VLOOKUP(IDNMaps[[#This Row],[Type]],RecordCount[],8,0),0),"")</f>
        <v>50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51</v>
      </c>
      <c r="M94" s="6" t="str">
        <f ca="1">IFERROR(VLOOKUP(IDNMaps[[#This Row],[Type]],RecordCount[],6,0)&amp;"-"&amp;IDNMaps[[#This Row],[Type Count]],"")</f>
        <v>Resource Relations-51</v>
      </c>
      <c r="N94" s="6" t="str">
        <f ca="1">IFERROR(VLOOKUP(IDNMaps[[#This Row],[Primary]],INDIRECT(VLOOKUP(IDNMaps[[#This Row],[Type]],RecordCount[],2,0)),VLOOKUP(IDNMaps[[#This Row],[Type]],RecordCount[],7,0),0),"")</f>
        <v>ResourceList/Actions</v>
      </c>
      <c r="O94" s="6" t="str">
        <f ca="1">IF(IDNMaps[[#This Row],[Name]]="","","("&amp;IDNMaps[[#This Row],[Type]]&amp;") "&amp;IDNMaps[[#This Row],[Name]])</f>
        <v>(Relation) ResourceList/Actions</v>
      </c>
      <c r="P94" s="6">
        <f ca="1">IFERROR(VLOOKUP(IDNMaps[[#This Row],[Primary]],INDIRECT(VLOOKUP(IDNMaps[[#This Row],[Type]],RecordCount[],2,0)),VLOOKUP(IDNMaps[[#This Row],[Type]],RecordCount[],8,0),0),"")</f>
        <v>51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52</v>
      </c>
      <c r="M95" s="6" t="str">
        <f ca="1">IFERROR(VLOOKUP(IDNMaps[[#This Row],[Type]],RecordCount[],6,0)&amp;"-"&amp;IDNMaps[[#This Row],[Type Count]],"")</f>
        <v>Resource Relations-52</v>
      </c>
      <c r="N95" s="6" t="str">
        <f ca="1">IFERROR(VLOOKUP(IDNMaps[[#This Row],[Primary]],INDIRECT(VLOOKUP(IDNMaps[[#This Row],[Type]],RecordCount[],2,0)),VLOOKUP(IDNMaps[[#This Row],[Type]],RecordCount[],7,0),0),"")</f>
        <v>ResourceData/Actions</v>
      </c>
      <c r="O95" s="6" t="str">
        <f ca="1">IF(IDNMaps[[#This Row],[Name]]="","","("&amp;IDNMaps[[#This Row],[Type]]&amp;") "&amp;IDNMaps[[#This Row],[Name]])</f>
        <v>(Relation) ResourceData/Actions</v>
      </c>
      <c r="P95" s="6">
        <f ca="1">IFERROR(VLOOKUP(IDNMaps[[#This Row],[Primary]],INDIRECT(VLOOKUP(IDNMaps[[#This Row],[Type]],RecordCount[],2,0)),VLOOKUP(IDNMaps[[#This Row],[Type]],RecordCount[],8,0),0),"")</f>
        <v>52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53</v>
      </c>
      <c r="M96" s="6" t="str">
        <f ca="1">IFERROR(VLOOKUP(IDNMaps[[#This Row],[Type]],RecordCount[],6,0)&amp;"-"&amp;IDNMaps[[#This Row],[Type Count]],"")</f>
        <v>Resource Relations-53</v>
      </c>
      <c r="N96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6" s="6" t="str">
        <f ca="1">IF(IDNMaps[[#This Row],[Name]]="","","("&amp;IDNMaps[[#This Row],[Type]]&amp;") "&amp;IDNMaps[[#This Row],[Name]])</f>
        <v>(Relation) ResourceFormFieldDepend/Field</v>
      </c>
      <c r="P96" s="6">
        <f ca="1">IFERROR(VLOOKUP(IDNMaps[[#This Row],[Primary]],INDIRECT(VLOOKUP(IDNMaps[[#This Row],[Type]],RecordCount[],2,0)),VLOOKUP(IDNMaps[[#This Row],[Type]],RecordCount[],8,0),0),"")</f>
        <v>53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54</v>
      </c>
      <c r="M97" s="6" t="str">
        <f ca="1">IFERROR(VLOOKUP(IDNMaps[[#This Row],[Type]],RecordCount[],6,0)&amp;"-"&amp;IDNMaps[[#This Row],[Type Count]],"")</f>
        <v>Resource Relations-54</v>
      </c>
      <c r="N97" s="6" t="str">
        <f ca="1">IFERROR(VLOOKUP(IDNMaps[[#This Row],[Primary]],INDIRECT(VLOOKUP(IDNMaps[[#This Row],[Type]],RecordCount[],2,0)),VLOOKUP(IDNMaps[[#This Row],[Type]],RecordCount[],7,0),0),"")</f>
        <v>Resource/Lists</v>
      </c>
      <c r="O97" s="6" t="str">
        <f ca="1">IF(IDNMaps[[#This Row],[Name]]="","","("&amp;IDNMaps[[#This Row],[Type]]&amp;") "&amp;IDNMaps[[#This Row],[Name]])</f>
        <v>(Relation) Resource/Lists</v>
      </c>
      <c r="P97" s="6">
        <f ca="1">IFERROR(VLOOKUP(IDNMaps[[#This Row],[Primary]],INDIRECT(VLOOKUP(IDNMaps[[#This Row],[Type]],RecordCount[],2,0)),VLOOKUP(IDNMaps[[#This Row],[Type]],RecordCount[],8,0),0),"")</f>
        <v>54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55</v>
      </c>
      <c r="M98" s="6" t="str">
        <f ca="1">IFERROR(VLOOKUP(IDNMaps[[#This Row],[Type]],RecordCount[],6,0)&amp;"-"&amp;IDNMaps[[#This Row],[Type Count]],"")</f>
        <v>Resource Relations-55</v>
      </c>
      <c r="N98" s="6" t="str">
        <f ca="1">IFERROR(VLOOKUP(IDNMaps[[#This Row],[Primary]],INDIRECT(VLOOKUP(IDNMaps[[#This Row],[Type]],RecordCount[],2,0)),VLOOKUP(IDNMaps[[#This Row],[Type]],RecordCount[],7,0),0),"")</f>
        <v>Resource/Data</v>
      </c>
      <c r="O98" s="6" t="str">
        <f ca="1">IF(IDNMaps[[#This Row],[Name]]="","","("&amp;IDNMaps[[#This Row],[Type]]&amp;") "&amp;IDNMaps[[#This Row],[Name]])</f>
        <v>(Relation) Resource/Data</v>
      </c>
      <c r="P98" s="6">
        <f ca="1">IFERROR(VLOOKUP(IDNMaps[[#This Row],[Primary]],INDIRECT(VLOOKUP(IDNMaps[[#This Row],[Type]],RecordCount[],2,0)),VLOOKUP(IDNMaps[[#This Row],[Type]],RecordCount[],8,0),0),"")</f>
        <v>55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56</v>
      </c>
      <c r="M99" s="6" t="str">
        <f ca="1">IFERROR(VLOOKUP(IDNMaps[[#This Row],[Type]],RecordCount[],6,0)&amp;"-"&amp;IDNMaps[[#This Row],[Type Count]],"")</f>
        <v>Resource Relations-56</v>
      </c>
      <c r="N99" s="6" t="str">
        <f ca="1">IFERROR(VLOOKUP(IDNMaps[[#This Row],[Primary]],INDIRECT(VLOOKUP(IDNMaps[[#This Row],[Type]],RecordCount[],2,0)),VLOOKUP(IDNMaps[[#This Row],[Type]],RecordCount[],7,0),0),"")</f>
        <v>ResourceForm/Layout</v>
      </c>
      <c r="O99" s="6" t="str">
        <f ca="1">IF(IDNMaps[[#This Row],[Name]]="","","("&amp;IDNMaps[[#This Row],[Type]]&amp;") "&amp;IDNMaps[[#This Row],[Name]])</f>
        <v>(Relation) ResourceForm/Layout</v>
      </c>
      <c r="P99" s="6">
        <f ca="1">IFERROR(VLOOKUP(IDNMaps[[#This Row],[Primary]],INDIRECT(VLOOKUP(IDNMaps[[#This Row],[Type]],RecordCount[],2,0)),VLOOKUP(IDNMaps[[#This Row],[Type]],RecordCount[],8,0),0),"")</f>
        <v>56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57</v>
      </c>
      <c r="M100" s="6" t="str">
        <f ca="1">IFERROR(VLOOKUP(IDNMaps[[#This Row],[Type]],RecordCount[],6,0)&amp;"-"&amp;IDNMaps[[#This Row],[Type Count]],"")</f>
        <v>Resource Relations-57</v>
      </c>
      <c r="N100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0" s="6" t="str">
        <f ca="1">IF(IDNMaps[[#This Row],[Name]]="","","("&amp;IDNMaps[[#This Row],[Type]]&amp;") "&amp;IDNMaps[[#This Row],[Name]])</f>
        <v>(Relation) ResourceDataViewSection/Items</v>
      </c>
      <c r="P100" s="6">
        <f ca="1">IFERROR(VLOOKUP(IDNMaps[[#This Row],[Primary]],INDIRECT(VLOOKUP(IDNMaps[[#This Row],[Type]],RecordCount[],2,0)),VLOOKUP(IDNMaps[[#This Row],[Type]],RecordCount[],8,0),0),"")</f>
        <v>57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58</v>
      </c>
      <c r="M101" s="6" t="str">
        <f ca="1">IFERROR(VLOOKUP(IDNMaps[[#This Row],[Type]],RecordCount[],6,0)&amp;"-"&amp;IDNMaps[[#This Row],[Type Count]],"")</f>
        <v>Resource Relations-58</v>
      </c>
      <c r="N101" s="6" t="str">
        <f ca="1">IFERROR(VLOOKUP(IDNMaps[[#This Row],[Primary]],INDIRECT(VLOOKUP(IDNMaps[[#This Row],[Type]],RecordCount[],2,0)),VLOOKUP(IDNMaps[[#This Row],[Type]],RecordCount[],7,0),0),"")</f>
        <v>ResourceFormLayout/Form</v>
      </c>
      <c r="O101" s="6" t="str">
        <f ca="1">IF(IDNMaps[[#This Row],[Name]]="","","("&amp;IDNMaps[[#This Row],[Type]]&amp;") "&amp;IDNMaps[[#This Row],[Name]])</f>
        <v>(Relation) ResourceFormLayout/Form</v>
      </c>
      <c r="P101" s="6">
        <f ca="1">IFERROR(VLOOKUP(IDNMaps[[#This Row],[Primary]],INDIRECT(VLOOKUP(IDNMaps[[#This Row],[Type]],RecordCount[],2,0)),VLOOKUP(IDNMaps[[#This Row],[Type]],RecordCount[],8,0),0),"")</f>
        <v>58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59</v>
      </c>
      <c r="M102" s="6" t="str">
        <f ca="1">IFERROR(VLOOKUP(IDNMaps[[#This Row],[Type]],RecordCount[],6,0)&amp;"-"&amp;IDNMaps[[#This Row],[Type Count]],"")</f>
        <v>Resource Relations-59</v>
      </c>
      <c r="N102" s="6" t="str">
        <f ca="1">IFERROR(VLOOKUP(IDNMaps[[#This Row],[Primary]],INDIRECT(VLOOKUP(IDNMaps[[#This Row],[Type]],RecordCount[],2,0)),VLOOKUP(IDNMaps[[#This Row],[Type]],RecordCount[],7,0),0),"")</f>
        <v>ResourceFormLayout/Field</v>
      </c>
      <c r="O102" s="6" t="str">
        <f ca="1">IF(IDNMaps[[#This Row],[Name]]="","","("&amp;IDNMaps[[#This Row],[Type]]&amp;") "&amp;IDNMaps[[#This Row],[Name]])</f>
        <v>(Relation) ResourceFormLayout/Field</v>
      </c>
      <c r="P102" s="6">
        <f ca="1">IFERROR(VLOOKUP(IDNMaps[[#This Row],[Primary]],INDIRECT(VLOOKUP(IDNMaps[[#This Row],[Type]],RecordCount[],2,0)),VLOOKUP(IDNMaps[[#This Row],[Type]],RecordCount[],8,0),0),"")</f>
        <v>59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60</v>
      </c>
      <c r="M103" s="6" t="str">
        <f ca="1">IFERROR(VLOOKUP(IDNMaps[[#This Row],[Type]],RecordCount[],6,0)&amp;"-"&amp;IDNMaps[[#This Row],[Type Count]],"")</f>
        <v>Resource Relations-60</v>
      </c>
      <c r="N103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3" s="6" t="str">
        <f ca="1">IF(IDNMaps[[#This Row],[Name]]="","","("&amp;IDNMaps[[#This Row],[Type]]&amp;") "&amp;IDNMaps[[#This Row],[Name]])</f>
        <v>(Relation) ResourceFormCollection/Field</v>
      </c>
      <c r="P103" s="6">
        <f ca="1">IFERROR(VLOOKUP(IDNMaps[[#This Row],[Primary]],INDIRECT(VLOOKUP(IDNMaps[[#This Row],[Type]],RecordCount[],2,0)),VLOOKUP(IDNMaps[[#This Row],[Type]],RecordCount[],8,0),0),"")</f>
        <v>60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61</v>
      </c>
      <c r="M104" s="6" t="str">
        <f ca="1">IFERROR(VLOOKUP(IDNMaps[[#This Row],[Type]],RecordCount[],6,0)&amp;"-"&amp;IDNMaps[[#This Row],[Type Count]],"")</f>
        <v>Resource Relations-61</v>
      </c>
      <c r="N104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4" s="6" t="str">
        <f ca="1">IF(IDNMaps[[#This Row],[Name]]="","","("&amp;IDNMaps[[#This Row],[Type]]&amp;") "&amp;IDNMaps[[#This Row],[Name]])</f>
        <v>(Relation) ResourceListRelation/List</v>
      </c>
      <c r="P104" s="6">
        <f ca="1">IFERROR(VLOOKUP(IDNMaps[[#This Row],[Primary]],INDIRECT(VLOOKUP(IDNMaps[[#This Row],[Type]],RecordCount[],2,0)),VLOOKUP(IDNMaps[[#This Row],[Type]],RecordCount[],8,0),0),"")</f>
        <v>61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62</v>
      </c>
      <c r="M105" s="6" t="str">
        <f ca="1">IFERROR(VLOOKUP(IDNMaps[[#This Row],[Type]],RecordCount[],6,0)&amp;"-"&amp;IDNMaps[[#This Row],[Type Count]],"")</f>
        <v>Resource Relations-62</v>
      </c>
      <c r="N105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5" s="6" t="str">
        <f ca="1">IF(IDNMaps[[#This Row],[Name]]="","","("&amp;IDNMaps[[#This Row],[Type]]&amp;") "&amp;IDNMaps[[#This Row],[Name]])</f>
        <v>(Relation) ResourceListRelation/Relation</v>
      </c>
      <c r="P105" s="6">
        <f ca="1">IFERROR(VLOOKUP(IDNMaps[[#This Row],[Primary]],INDIRECT(VLOOKUP(IDNMaps[[#This Row],[Type]],RecordCount[],2,0)),VLOOKUP(IDNMaps[[#This Row],[Type]],RecordCount[],8,0),0),"")</f>
        <v>62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63</v>
      </c>
      <c r="M106" s="6" t="str">
        <f ca="1">IFERROR(VLOOKUP(IDNMaps[[#This Row],[Type]],RecordCount[],6,0)&amp;"-"&amp;IDNMaps[[#This Row],[Type Count]],"")</f>
        <v>Resource Relations-63</v>
      </c>
      <c r="N106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6" s="6" t="str">
        <f ca="1">IF(IDNMaps[[#This Row],[Name]]="","","("&amp;IDNMaps[[#This Row],[Type]]&amp;") "&amp;IDNMaps[[#This Row],[Name]])</f>
        <v>(Relation) ResourceListRelation/NRelation</v>
      </c>
      <c r="P106" s="6">
        <f ca="1">IFERROR(VLOOKUP(IDNMaps[[#This Row],[Primary]],INDIRECT(VLOOKUP(IDNMaps[[#This Row],[Type]],RecordCount[],2,0)),VLOOKUP(IDNMaps[[#This Row],[Type]],RecordCount[],8,0),0),"")</f>
        <v>63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64</v>
      </c>
      <c r="M107" s="6" t="str">
        <f ca="1">IFERROR(VLOOKUP(IDNMaps[[#This Row],[Type]],RecordCount[],6,0)&amp;"-"&amp;IDNMaps[[#This Row],[Type Count]],"")</f>
        <v>Resource Relations-64</v>
      </c>
      <c r="N107" s="6" t="str">
        <f ca="1">IFERROR(VLOOKUP(IDNMaps[[#This Row],[Primary]],INDIRECT(VLOOKUP(IDNMaps[[#This Row],[Type]],RecordCount[],2,0)),VLOOKUP(IDNMaps[[#This Row],[Type]],RecordCount[],7,0),0),"")</f>
        <v>ResourceListScope/List</v>
      </c>
      <c r="O107" s="6" t="str">
        <f ca="1">IF(IDNMaps[[#This Row],[Name]]="","","("&amp;IDNMaps[[#This Row],[Type]]&amp;") "&amp;IDNMaps[[#This Row],[Name]])</f>
        <v>(Relation) ResourceListScope/List</v>
      </c>
      <c r="P107" s="6">
        <f ca="1">IFERROR(VLOOKUP(IDNMaps[[#This Row],[Primary]],INDIRECT(VLOOKUP(IDNMaps[[#This Row],[Type]],RecordCount[],2,0)),VLOOKUP(IDNMaps[[#This Row],[Type]],RecordCount[],8,0),0),"")</f>
        <v>64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65</v>
      </c>
      <c r="M108" s="6" t="str">
        <f ca="1">IFERROR(VLOOKUP(IDNMaps[[#This Row],[Type]],RecordCount[],6,0)&amp;"-"&amp;IDNMaps[[#This Row],[Type Count]],"")</f>
        <v>Resource Relations-65</v>
      </c>
      <c r="N108" s="6" t="str">
        <f ca="1">IFERROR(VLOOKUP(IDNMaps[[#This Row],[Primary]],INDIRECT(VLOOKUP(IDNMaps[[#This Row],[Type]],RecordCount[],2,0)),VLOOKUP(IDNMaps[[#This Row],[Type]],RecordCount[],7,0),0),"")</f>
        <v>ResourceListScope/Scope</v>
      </c>
      <c r="O108" s="6" t="str">
        <f ca="1">IF(IDNMaps[[#This Row],[Name]]="","","("&amp;IDNMaps[[#This Row],[Type]]&amp;") "&amp;IDNMaps[[#This Row],[Name]])</f>
        <v>(Relation) ResourceListScope/Scope</v>
      </c>
      <c r="P108" s="6">
        <f ca="1">IFERROR(VLOOKUP(IDNMaps[[#This Row],[Primary]],INDIRECT(VLOOKUP(IDNMaps[[#This Row],[Type]],RecordCount[],2,0)),VLOOKUP(IDNMaps[[#This Row],[Type]],RecordCount[],8,0),0),"")</f>
        <v>65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66</v>
      </c>
      <c r="M109" s="6" t="str">
        <f ca="1">IFERROR(VLOOKUP(IDNMaps[[#This Row],[Type]],RecordCount[],6,0)&amp;"-"&amp;IDNMaps[[#This Row],[Type Count]],"")</f>
        <v>Resource Relations-66</v>
      </c>
      <c r="N109" s="6" t="str">
        <f ca="1">IFERROR(VLOOKUP(IDNMaps[[#This Row],[Primary]],INDIRECT(VLOOKUP(IDNMaps[[#This Row],[Type]],RecordCount[],2,0)),VLOOKUP(IDNMaps[[#This Row],[Type]],RecordCount[],7,0),0),"")</f>
        <v>ResourceListLayout/List</v>
      </c>
      <c r="O109" s="6" t="str">
        <f ca="1">IF(IDNMaps[[#This Row],[Name]]="","","("&amp;IDNMaps[[#This Row],[Type]]&amp;") "&amp;IDNMaps[[#This Row],[Name]])</f>
        <v>(Relation) ResourceListLayout/List</v>
      </c>
      <c r="P109" s="6">
        <f ca="1">IFERROR(VLOOKUP(IDNMaps[[#This Row],[Primary]],INDIRECT(VLOOKUP(IDNMaps[[#This Row],[Type]],RecordCount[],2,0)),VLOOKUP(IDNMaps[[#This Row],[Type]],RecordCount[],8,0),0),"")</f>
        <v>66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67</v>
      </c>
      <c r="M110" s="6" t="str">
        <f ca="1">IFERROR(VLOOKUP(IDNMaps[[#This Row],[Type]],RecordCount[],6,0)&amp;"-"&amp;IDNMaps[[#This Row],[Type Count]],"")</f>
        <v>Resource Relations-67</v>
      </c>
      <c r="N110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0" s="6" t="str">
        <f ca="1">IF(IDNMaps[[#This Row],[Name]]="","","("&amp;IDNMaps[[#This Row],[Type]]&amp;") "&amp;IDNMaps[[#This Row],[Name]])</f>
        <v>(Relation) ResourceListLayout/Relation</v>
      </c>
      <c r="P110" s="6">
        <f ca="1">IFERROR(VLOOKUP(IDNMaps[[#This Row],[Primary]],INDIRECT(VLOOKUP(IDNMaps[[#This Row],[Type]],RecordCount[],2,0)),VLOOKUP(IDNMaps[[#This Row],[Type]],RecordCount[],8,0),0),"")</f>
        <v>67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68</v>
      </c>
      <c r="M111" s="6" t="str">
        <f ca="1">IFERROR(VLOOKUP(IDNMaps[[#This Row],[Type]],RecordCount[],6,0)&amp;"-"&amp;IDNMaps[[#This Row],[Type Count]],"")</f>
        <v>Resource Relations-68</v>
      </c>
      <c r="N111" s="6" t="str">
        <f ca="1">IFERROR(VLOOKUP(IDNMaps[[#This Row],[Primary]],INDIRECT(VLOOKUP(IDNMaps[[#This Row],[Type]],RecordCount[],2,0)),VLOOKUP(IDNMaps[[#This Row],[Type]],RecordCount[],7,0),0),"")</f>
        <v>ResourceListSearch/List</v>
      </c>
      <c r="O111" s="6" t="str">
        <f ca="1">IF(IDNMaps[[#This Row],[Name]]="","","("&amp;IDNMaps[[#This Row],[Type]]&amp;") "&amp;IDNMaps[[#This Row],[Name]])</f>
        <v>(Relation) ResourceListSearch/List</v>
      </c>
      <c r="P111" s="6">
        <f ca="1">IFERROR(VLOOKUP(IDNMaps[[#This Row],[Primary]],INDIRECT(VLOOKUP(IDNMaps[[#This Row],[Type]],RecordCount[],2,0)),VLOOKUP(IDNMaps[[#This Row],[Type]],RecordCount[],8,0),0),"")</f>
        <v>68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69</v>
      </c>
      <c r="M112" s="6" t="str">
        <f ca="1">IFERROR(VLOOKUP(IDNMaps[[#This Row],[Type]],RecordCount[],6,0)&amp;"-"&amp;IDNMaps[[#This Row],[Type Count]],"")</f>
        <v>Resource Relations-69</v>
      </c>
      <c r="N112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2" s="6" t="str">
        <f ca="1">IF(IDNMaps[[#This Row],[Name]]="","","("&amp;IDNMaps[[#This Row],[Type]]&amp;") "&amp;IDNMaps[[#This Row],[Name]])</f>
        <v>(Relation) ResourceListSearch/Relation</v>
      </c>
      <c r="P112" s="6">
        <f ca="1">IFERROR(VLOOKUP(IDNMaps[[#This Row],[Primary]],INDIRECT(VLOOKUP(IDNMaps[[#This Row],[Type]],RecordCount[],2,0)),VLOOKUP(IDNMaps[[#This Row],[Type]],RecordCount[],8,0),0),"")</f>
        <v>69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70</v>
      </c>
      <c r="M113" s="6" t="str">
        <f ca="1">IFERROR(VLOOKUP(IDNMaps[[#This Row],[Type]],RecordCount[],6,0)&amp;"-"&amp;IDNMaps[[#This Row],[Type Count]],"")</f>
        <v>Resource Relations-70</v>
      </c>
      <c r="N113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3" s="6" t="str">
        <f ca="1">IF(IDNMaps[[#This Row],[Name]]="","","("&amp;IDNMaps[[#This Row],[Type]]&amp;") "&amp;IDNMaps[[#This Row],[Name]])</f>
        <v>(Relation) ResourceDataRelation/Data</v>
      </c>
      <c r="P113" s="6">
        <f ca="1">IFERROR(VLOOKUP(IDNMaps[[#This Row],[Primary]],INDIRECT(VLOOKUP(IDNMaps[[#This Row],[Type]],RecordCount[],2,0)),VLOOKUP(IDNMaps[[#This Row],[Type]],RecordCount[],8,0),0),"")</f>
        <v>70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71</v>
      </c>
      <c r="M114" s="6" t="str">
        <f ca="1">IFERROR(VLOOKUP(IDNMaps[[#This Row],[Type]],RecordCount[],6,0)&amp;"-"&amp;IDNMaps[[#This Row],[Type Count]],"")</f>
        <v>Resource Relations-71</v>
      </c>
      <c r="N114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4" s="6" t="str">
        <f ca="1">IF(IDNMaps[[#This Row],[Name]]="","","("&amp;IDNMaps[[#This Row],[Type]]&amp;") "&amp;IDNMaps[[#This Row],[Name]])</f>
        <v>(Relation) ResourceDataRelation/Relation</v>
      </c>
      <c r="P114" s="6">
        <f ca="1">IFERROR(VLOOKUP(IDNMaps[[#This Row],[Primary]],INDIRECT(VLOOKUP(IDNMaps[[#This Row],[Type]],RecordCount[],2,0)),VLOOKUP(IDNMaps[[#This Row],[Type]],RecordCount[],8,0),0),"")</f>
        <v>71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72</v>
      </c>
      <c r="M115" s="6" t="str">
        <f ca="1">IFERROR(VLOOKUP(IDNMaps[[#This Row],[Type]],RecordCount[],6,0)&amp;"-"&amp;IDNMaps[[#This Row],[Type Count]],"")</f>
        <v>Resource Relations-72</v>
      </c>
      <c r="N115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5" s="6" t="str">
        <f ca="1">IF(IDNMaps[[#This Row],[Name]]="","","("&amp;IDNMaps[[#This Row],[Type]]&amp;") "&amp;IDNMaps[[#This Row],[Name]])</f>
        <v>(Relation) ResourceDataRelation/NRelation</v>
      </c>
      <c r="P115" s="6">
        <f ca="1">IFERROR(VLOOKUP(IDNMaps[[#This Row],[Primary]],INDIRECT(VLOOKUP(IDNMaps[[#This Row],[Type]],RecordCount[],2,0)),VLOOKUP(IDNMaps[[#This Row],[Type]],RecordCount[],8,0),0),"")</f>
        <v>72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73</v>
      </c>
      <c r="M116" s="6" t="str">
        <f ca="1">IFERROR(VLOOKUP(IDNMaps[[#This Row],[Type]],RecordCount[],6,0)&amp;"-"&amp;IDNMaps[[#This Row],[Type Count]],"")</f>
        <v>Resource Relations-73</v>
      </c>
      <c r="N116" s="6" t="str">
        <f ca="1">IFERROR(VLOOKUP(IDNMaps[[#This Row],[Primary]],INDIRECT(VLOOKUP(IDNMaps[[#This Row],[Type]],RecordCount[],2,0)),VLOOKUP(IDNMaps[[#This Row],[Type]],RecordCount[],7,0),0),"")</f>
        <v>ResourceDataScope/Data</v>
      </c>
      <c r="O116" s="6" t="str">
        <f ca="1">IF(IDNMaps[[#This Row],[Name]]="","","("&amp;IDNMaps[[#This Row],[Type]]&amp;") "&amp;IDNMaps[[#This Row],[Name]])</f>
        <v>(Relation) ResourceDataScope/Data</v>
      </c>
      <c r="P116" s="6">
        <f ca="1">IFERROR(VLOOKUP(IDNMaps[[#This Row],[Primary]],INDIRECT(VLOOKUP(IDNMaps[[#This Row],[Type]],RecordCount[],2,0)),VLOOKUP(IDNMaps[[#This Row],[Type]],RecordCount[],8,0),0),"")</f>
        <v>73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74</v>
      </c>
      <c r="M117" s="6" t="str">
        <f ca="1">IFERROR(VLOOKUP(IDNMaps[[#This Row],[Type]],RecordCount[],6,0)&amp;"-"&amp;IDNMaps[[#This Row],[Type Count]],"")</f>
        <v>Resource Relations-74</v>
      </c>
      <c r="N117" s="6" t="str">
        <f ca="1">IFERROR(VLOOKUP(IDNMaps[[#This Row],[Primary]],INDIRECT(VLOOKUP(IDNMaps[[#This Row],[Type]],RecordCount[],2,0)),VLOOKUP(IDNMaps[[#This Row],[Type]],RecordCount[],7,0),0),"")</f>
        <v>ResourceDataScope/Scope</v>
      </c>
      <c r="O117" s="6" t="str">
        <f ca="1">IF(IDNMaps[[#This Row],[Name]]="","","("&amp;IDNMaps[[#This Row],[Type]]&amp;") "&amp;IDNMaps[[#This Row],[Name]])</f>
        <v>(Relation) ResourceDataScope/Scope</v>
      </c>
      <c r="P117" s="6">
        <f ca="1">IFERROR(VLOOKUP(IDNMaps[[#This Row],[Primary]],INDIRECT(VLOOKUP(IDNMaps[[#This Row],[Type]],RecordCount[],2,0)),VLOOKUP(IDNMaps[[#This Row],[Type]],RecordCount[],8,0),0),"")</f>
        <v>74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75</v>
      </c>
      <c r="M118" s="6" t="str">
        <f ca="1">IFERROR(VLOOKUP(IDNMaps[[#This Row],[Type]],RecordCount[],6,0)&amp;"-"&amp;IDNMaps[[#This Row],[Type Count]],"")</f>
        <v>Resource Relations-75</v>
      </c>
      <c r="N118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18" s="6" t="str">
        <f ca="1">IF(IDNMaps[[#This Row],[Name]]="","","("&amp;IDNMaps[[#This Row],[Type]]&amp;") "&amp;IDNMaps[[#This Row],[Name]])</f>
        <v>(Relation) ResourceDataViewSection/Data</v>
      </c>
      <c r="P118" s="6">
        <f ca="1">IFERROR(VLOOKUP(IDNMaps[[#This Row],[Primary]],INDIRECT(VLOOKUP(IDNMaps[[#This Row],[Type]],RecordCount[],2,0)),VLOOKUP(IDNMaps[[#This Row],[Type]],RecordCount[],8,0),0),"")</f>
        <v>75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76</v>
      </c>
      <c r="M119" s="6" t="str">
        <f ca="1">IFERROR(VLOOKUP(IDNMaps[[#This Row],[Type]],RecordCount[],6,0)&amp;"-"&amp;IDNMaps[[#This Row],[Type Count]],"")</f>
        <v>Resource Relations-76</v>
      </c>
      <c r="N119" s="6" t="str">
        <f ca="1">IFERROR(VLOOKUP(IDNMaps[[#This Row],[Primary]],INDIRECT(VLOOKUP(IDNMaps[[#This Row],[Type]],RecordCount[],2,0)),VLOOKUP(IDNMaps[[#This Row],[Type]],RecordCount[],7,0),0),"")</f>
        <v>ResourceAction/Attrs</v>
      </c>
      <c r="O119" s="6" t="str">
        <f ca="1">IF(IDNMaps[[#This Row],[Name]]="","","("&amp;IDNMaps[[#This Row],[Type]]&amp;") "&amp;IDNMaps[[#This Row],[Name]])</f>
        <v>(Relation) ResourceAction/Attrs</v>
      </c>
      <c r="P119" s="6">
        <f ca="1">IFERROR(VLOOKUP(IDNMaps[[#This Row],[Primary]],INDIRECT(VLOOKUP(IDNMaps[[#This Row],[Type]],RecordCount[],2,0)),VLOOKUP(IDNMaps[[#This Row],[Type]],RecordCount[],8,0),0),"")</f>
        <v>76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6"/>
  <sheetViews>
    <sheetView topLeftCell="A173" workbookViewId="0">
      <selection activeCell="A186" sqref="A18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704</v>
      </c>
      <c r="B4" s="5" t="s">
        <v>704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706</v>
      </c>
      <c r="B14" s="4" t="s">
        <v>47</v>
      </c>
      <c r="C14" s="4" t="s">
        <v>705</v>
      </c>
      <c r="D14" s="4" t="s">
        <v>568</v>
      </c>
      <c r="E14" s="4" t="s">
        <v>503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453</v>
      </c>
      <c r="B25" s="2" t="s">
        <v>24</v>
      </c>
      <c r="C25" s="2" t="s">
        <v>453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454</v>
      </c>
      <c r="B26" s="2" t="s">
        <v>24</v>
      </c>
      <c r="C26" s="2" t="s">
        <v>454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455</v>
      </c>
      <c r="B27" s="2" t="s">
        <v>24</v>
      </c>
      <c r="C27" s="2" t="s">
        <v>455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456</v>
      </c>
      <c r="B28" s="2" t="s">
        <v>24</v>
      </c>
      <c r="C28" s="2" t="s">
        <v>456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457</v>
      </c>
      <c r="B29" s="2" t="s">
        <v>24</v>
      </c>
      <c r="C29" s="2" t="s">
        <v>457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458</v>
      </c>
      <c r="B31" s="2" t="s">
        <v>41</v>
      </c>
      <c r="C31" s="2" t="s">
        <v>453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459</v>
      </c>
      <c r="B32" s="2" t="s">
        <v>41</v>
      </c>
      <c r="C32" s="2" t="s">
        <v>454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460</v>
      </c>
      <c r="B33" s="2" t="s">
        <v>41</v>
      </c>
      <c r="C33" s="2" t="s">
        <v>455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461</v>
      </c>
      <c r="B34" s="2" t="s">
        <v>41</v>
      </c>
      <c r="C34" s="2" t="s">
        <v>456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462</v>
      </c>
      <c r="B35" s="2" t="s">
        <v>41</v>
      </c>
      <c r="C35" s="2" t="s">
        <v>457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625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502</v>
      </c>
      <c r="B108" s="4" t="s">
        <v>47</v>
      </c>
      <c r="C108" s="4" t="s">
        <v>47</v>
      </c>
      <c r="D108" s="4" t="s">
        <v>361</v>
      </c>
      <c r="E108" s="4" t="s">
        <v>503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423</v>
      </c>
      <c r="B116" s="5" t="s">
        <v>41</v>
      </c>
      <c r="C116" s="5" t="s">
        <v>425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424</v>
      </c>
      <c r="B117" s="4" t="s">
        <v>41</v>
      </c>
      <c r="C117" s="4" t="s">
        <v>426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428</v>
      </c>
      <c r="B118" s="4" t="s">
        <v>24</v>
      </c>
      <c r="C118" s="4" t="s">
        <v>425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427</v>
      </c>
      <c r="B119" s="5" t="s">
        <v>24</v>
      </c>
      <c r="C119" s="5" t="s">
        <v>426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440</v>
      </c>
      <c r="B121" s="4" t="s">
        <v>27</v>
      </c>
      <c r="C121" s="4" t="s">
        <v>440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451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452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476</v>
      </c>
      <c r="B124" s="4" t="s">
        <v>469</v>
      </c>
      <c r="C124" s="4" t="s">
        <v>470</v>
      </c>
      <c r="D124" s="4"/>
      <c r="E124" s="4" t="s">
        <v>471</v>
      </c>
      <c r="F124" s="4"/>
      <c r="G124" s="4"/>
      <c r="H124" s="4"/>
      <c r="I124" s="4"/>
    </row>
    <row r="125" spans="1:9">
      <c r="A125" s="4" t="s">
        <v>479</v>
      </c>
      <c r="B125" s="4" t="s">
        <v>24</v>
      </c>
      <c r="C125" s="4" t="s">
        <v>480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481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482</v>
      </c>
      <c r="B127" s="4" t="s">
        <v>41</v>
      </c>
      <c r="C127" s="4" t="s">
        <v>480</v>
      </c>
      <c r="D127" s="4"/>
      <c r="E127" s="4" t="s">
        <v>42</v>
      </c>
      <c r="F127" s="4" t="s">
        <v>489</v>
      </c>
      <c r="G127" s="4" t="s">
        <v>44</v>
      </c>
      <c r="H127" s="4" t="s">
        <v>45</v>
      </c>
      <c r="I127" s="4"/>
    </row>
    <row r="128" spans="1:9">
      <c r="A128" s="4" t="s">
        <v>504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505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506</v>
      </c>
      <c r="B130" s="5" t="s">
        <v>24</v>
      </c>
      <c r="C130" s="5" t="s">
        <v>508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507</v>
      </c>
      <c r="B131" s="4" t="s">
        <v>41</v>
      </c>
      <c r="C131" s="4" t="s">
        <v>508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521</v>
      </c>
      <c r="B132" s="4" t="s">
        <v>47</v>
      </c>
      <c r="C132" s="4" t="s">
        <v>48</v>
      </c>
      <c r="D132" s="4" t="s">
        <v>522</v>
      </c>
      <c r="E132" s="4" t="s">
        <v>523</v>
      </c>
      <c r="F132" s="4"/>
      <c r="G132" s="4"/>
      <c r="H132" s="4"/>
      <c r="I132" s="4"/>
    </row>
    <row r="133" spans="1:9">
      <c r="A133" s="4" t="s">
        <v>524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525</v>
      </c>
      <c r="B134" s="4" t="s">
        <v>24</v>
      </c>
      <c r="C134" s="4" t="s">
        <v>526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527</v>
      </c>
      <c r="B135" s="4" t="s">
        <v>41</v>
      </c>
      <c r="C135" s="4" t="s">
        <v>526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538</v>
      </c>
      <c r="B136" s="4" t="s">
        <v>27</v>
      </c>
      <c r="C136" s="4" t="s">
        <v>539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540</v>
      </c>
      <c r="B137" s="4" t="s">
        <v>27</v>
      </c>
      <c r="C137" s="4" t="s">
        <v>541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542</v>
      </c>
      <c r="B138" s="4" t="s">
        <v>47</v>
      </c>
      <c r="C138" s="4" t="s">
        <v>543</v>
      </c>
      <c r="D138" s="4" t="s">
        <v>544</v>
      </c>
      <c r="E138" s="4" t="s">
        <v>545</v>
      </c>
      <c r="F138" s="4"/>
      <c r="G138" s="4"/>
      <c r="H138" s="4"/>
      <c r="I138" s="4"/>
    </row>
    <row r="139" spans="1:9">
      <c r="A139" s="4" t="s">
        <v>546</v>
      </c>
      <c r="B139" s="4" t="s">
        <v>27</v>
      </c>
      <c r="C139" s="4" t="s">
        <v>547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556</v>
      </c>
      <c r="B140" s="4" t="s">
        <v>47</v>
      </c>
      <c r="C140" s="4" t="s">
        <v>557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558</v>
      </c>
      <c r="B141" s="4" t="s">
        <v>27</v>
      </c>
      <c r="C141" s="4" t="s">
        <v>559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561</v>
      </c>
      <c r="B142" s="4" t="s">
        <v>47</v>
      </c>
      <c r="C142" s="4" t="s">
        <v>635</v>
      </c>
      <c r="D142" s="4" t="s">
        <v>563</v>
      </c>
      <c r="E142" s="4" t="s">
        <v>562</v>
      </c>
      <c r="F142" s="4"/>
      <c r="G142" s="4"/>
      <c r="H142" s="4"/>
      <c r="I142" s="4"/>
    </row>
    <row r="143" spans="1:9">
      <c r="A143" s="4" t="s">
        <v>565</v>
      </c>
      <c r="B143" s="4" t="s">
        <v>27</v>
      </c>
      <c r="C143" s="4" t="s">
        <v>564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566</v>
      </c>
      <c r="B144" s="4" t="s">
        <v>47</v>
      </c>
      <c r="C144" s="4" t="s">
        <v>567</v>
      </c>
      <c r="D144" s="4" t="s">
        <v>568</v>
      </c>
      <c r="E144" s="4" t="s">
        <v>503</v>
      </c>
      <c r="F144" s="4"/>
      <c r="G144" s="4"/>
      <c r="H144" s="4"/>
      <c r="I144" s="4"/>
    </row>
    <row r="145" spans="1:9">
      <c r="A145" s="4" t="s">
        <v>569</v>
      </c>
      <c r="B145" s="4" t="s">
        <v>47</v>
      </c>
      <c r="C145" s="4" t="s">
        <v>570</v>
      </c>
      <c r="D145" s="4" t="s">
        <v>571</v>
      </c>
      <c r="E145" s="4" t="s">
        <v>572</v>
      </c>
      <c r="F145" s="4"/>
      <c r="G145" s="4"/>
      <c r="H145" s="4"/>
      <c r="I145" s="4"/>
    </row>
    <row r="146" spans="1:9">
      <c r="A146" s="4" t="s">
        <v>573</v>
      </c>
      <c r="B146" s="4" t="s">
        <v>47</v>
      </c>
      <c r="C146" s="4" t="s">
        <v>574</v>
      </c>
      <c r="D146" s="4" t="s">
        <v>575</v>
      </c>
      <c r="E146" s="4" t="s">
        <v>576</v>
      </c>
      <c r="F146" s="4"/>
      <c r="G146" s="4"/>
      <c r="H146" s="4"/>
      <c r="I146" s="4"/>
    </row>
    <row r="147" spans="1:9">
      <c r="A147" s="4" t="s">
        <v>577</v>
      </c>
      <c r="B147" s="4" t="s">
        <v>469</v>
      </c>
      <c r="C147" s="4" t="s">
        <v>578</v>
      </c>
      <c r="D147" s="4"/>
      <c r="E147" s="4" t="s">
        <v>579</v>
      </c>
      <c r="F147" s="4"/>
      <c r="G147" s="4"/>
      <c r="H147" s="4"/>
      <c r="I147" s="4"/>
    </row>
    <row r="148" spans="1:9">
      <c r="A148" s="4" t="s">
        <v>580</v>
      </c>
      <c r="B148" s="4" t="s">
        <v>27</v>
      </c>
      <c r="C148" s="4" t="s">
        <v>581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585</v>
      </c>
      <c r="B149" s="4" t="s">
        <v>62</v>
      </c>
      <c r="C149" s="4" t="s">
        <v>585</v>
      </c>
      <c r="D149" s="4"/>
      <c r="E149" s="4" t="s">
        <v>586</v>
      </c>
      <c r="F149" s="4"/>
      <c r="G149" s="4"/>
      <c r="H149" s="4"/>
      <c r="I149" s="4"/>
    </row>
    <row r="150" spans="1:9">
      <c r="A150" s="4" t="s">
        <v>582</v>
      </c>
      <c r="B150" s="4" t="s">
        <v>24</v>
      </c>
      <c r="C150" s="4" t="s">
        <v>582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587</v>
      </c>
      <c r="B151" s="4" t="s">
        <v>41</v>
      </c>
      <c r="C151" s="4" t="s">
        <v>582</v>
      </c>
      <c r="D151" s="4"/>
      <c r="E151" s="4" t="s">
        <v>42</v>
      </c>
      <c r="F151" s="4" t="s">
        <v>588</v>
      </c>
      <c r="G151" s="4" t="s">
        <v>44</v>
      </c>
      <c r="H151" s="4" t="s">
        <v>45</v>
      </c>
      <c r="I151" s="4"/>
    </row>
    <row r="152" spans="1:9">
      <c r="A152" s="4" t="s">
        <v>584</v>
      </c>
      <c r="B152" s="5" t="s">
        <v>24</v>
      </c>
      <c r="C152" s="5" t="s">
        <v>480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590</v>
      </c>
      <c r="B153" s="4" t="s">
        <v>41</v>
      </c>
      <c r="C153" s="5" t="s">
        <v>480</v>
      </c>
      <c r="D153" s="4"/>
      <c r="E153" s="4" t="s">
        <v>42</v>
      </c>
      <c r="F153" s="4" t="s">
        <v>591</v>
      </c>
      <c r="G153" s="4" t="s">
        <v>44</v>
      </c>
      <c r="H153" s="4" t="s">
        <v>45</v>
      </c>
      <c r="I153" s="4"/>
    </row>
    <row r="154" spans="1:9">
      <c r="A154" s="4" t="s">
        <v>592</v>
      </c>
      <c r="B154" s="4" t="s">
        <v>469</v>
      </c>
      <c r="C154" s="4" t="s">
        <v>80</v>
      </c>
      <c r="D154" s="4"/>
      <c r="E154" s="4" t="s">
        <v>471</v>
      </c>
      <c r="F154" s="4"/>
      <c r="G154" s="4"/>
      <c r="H154" s="4"/>
      <c r="I154" s="4"/>
    </row>
    <row r="155" spans="1:9">
      <c r="A155" s="4" t="s">
        <v>594</v>
      </c>
      <c r="B155" s="4" t="s">
        <v>47</v>
      </c>
      <c r="C155" s="4" t="s">
        <v>593</v>
      </c>
      <c r="D155" s="4" t="s">
        <v>600</v>
      </c>
      <c r="E155" s="4" t="s">
        <v>599</v>
      </c>
      <c r="F155" s="4"/>
      <c r="G155" s="4"/>
      <c r="H155" s="4"/>
      <c r="I155" s="4"/>
    </row>
    <row r="156" spans="1:9">
      <c r="A156" s="4" t="s">
        <v>595</v>
      </c>
      <c r="B156" s="4" t="s">
        <v>27</v>
      </c>
      <c r="C156" s="4" t="s">
        <v>597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596</v>
      </c>
      <c r="B157" s="4" t="s">
        <v>27</v>
      </c>
      <c r="C157" s="4" t="s">
        <v>598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626</v>
      </c>
      <c r="B158" s="4" t="s">
        <v>27</v>
      </c>
      <c r="C158" s="4" t="s">
        <v>440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627</v>
      </c>
      <c r="B159" s="4" t="s">
        <v>27</v>
      </c>
      <c r="C159" s="4" t="s">
        <v>628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629</v>
      </c>
      <c r="B160" s="4" t="s">
        <v>469</v>
      </c>
      <c r="C160" s="4" t="s">
        <v>630</v>
      </c>
      <c r="D160" s="4"/>
      <c r="E160" s="4" t="s">
        <v>631</v>
      </c>
      <c r="F160" s="4"/>
      <c r="G160" s="4"/>
      <c r="H160" s="4"/>
      <c r="I160" s="4"/>
    </row>
    <row r="161" spans="1:9">
      <c r="A161" s="4" t="s">
        <v>632</v>
      </c>
      <c r="B161" s="4" t="s">
        <v>47</v>
      </c>
      <c r="C161" s="4" t="s">
        <v>48</v>
      </c>
      <c r="D161" s="4" t="s">
        <v>633</v>
      </c>
      <c r="E161" s="4" t="s">
        <v>634</v>
      </c>
      <c r="F161" s="4"/>
      <c r="G161" s="4"/>
      <c r="H161" s="4"/>
      <c r="I161" s="4"/>
    </row>
    <row r="162" spans="1:9">
      <c r="A162" s="4" t="s">
        <v>637</v>
      </c>
      <c r="B162" s="4" t="s">
        <v>47</v>
      </c>
      <c r="C162" s="4" t="s">
        <v>48</v>
      </c>
      <c r="D162" s="4" t="s">
        <v>639</v>
      </c>
      <c r="E162" s="4" t="s">
        <v>638</v>
      </c>
      <c r="F162" s="4"/>
      <c r="G162" s="4"/>
      <c r="H162" s="4"/>
      <c r="I162" s="4"/>
    </row>
    <row r="163" spans="1:9">
      <c r="A163" s="4" t="s">
        <v>640</v>
      </c>
      <c r="B163" s="4" t="s">
        <v>47</v>
      </c>
      <c r="C163" s="4" t="s">
        <v>641</v>
      </c>
      <c r="D163" s="4" t="s">
        <v>642</v>
      </c>
      <c r="E163" s="4" t="s">
        <v>643</v>
      </c>
      <c r="F163" s="4"/>
      <c r="G163" s="4"/>
      <c r="H163" s="4"/>
      <c r="I163" s="4"/>
    </row>
    <row r="164" spans="1:9">
      <c r="A164" s="4" t="s">
        <v>644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645</v>
      </c>
      <c r="B165" s="4" t="s">
        <v>27</v>
      </c>
      <c r="C165" s="4" t="s">
        <v>657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646</v>
      </c>
      <c r="B166" s="4" t="s">
        <v>47</v>
      </c>
      <c r="C166" s="4" t="s">
        <v>647</v>
      </c>
      <c r="D166" s="4" t="s">
        <v>648</v>
      </c>
      <c r="E166" s="4" t="s">
        <v>649</v>
      </c>
      <c r="F166" s="4"/>
      <c r="G166" s="4"/>
      <c r="H166" s="4"/>
      <c r="I166" s="4"/>
    </row>
    <row r="167" spans="1:9">
      <c r="A167" s="5" t="s">
        <v>685</v>
      </c>
      <c r="B167" s="5" t="s">
        <v>686</v>
      </c>
      <c r="C167" s="5" t="s">
        <v>685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687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688</v>
      </c>
      <c r="B169" s="5" t="s">
        <v>27</v>
      </c>
      <c r="C169" s="5" t="s">
        <v>689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690</v>
      </c>
      <c r="B170" s="5" t="s">
        <v>27</v>
      </c>
      <c r="C170" s="5" t="s">
        <v>690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691</v>
      </c>
      <c r="B171" s="5" t="s">
        <v>27</v>
      </c>
      <c r="C171" s="5" t="s">
        <v>692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693</v>
      </c>
      <c r="B172" s="5" t="s">
        <v>24</v>
      </c>
      <c r="C172" s="5" t="s">
        <v>80</v>
      </c>
      <c r="D172" s="5"/>
      <c r="E172" s="5" t="s">
        <v>699</v>
      </c>
      <c r="F172" s="5"/>
      <c r="G172" s="5"/>
      <c r="H172" s="5"/>
      <c r="I172" s="5"/>
    </row>
    <row r="173" spans="1:9">
      <c r="A173" s="5" t="s">
        <v>694</v>
      </c>
      <c r="B173" s="5" t="s">
        <v>27</v>
      </c>
      <c r="C173" s="5" t="s">
        <v>698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695</v>
      </c>
      <c r="B174" s="5" t="s">
        <v>27</v>
      </c>
      <c r="C174" s="5" t="s">
        <v>695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697</v>
      </c>
      <c r="B175" s="5" t="s">
        <v>27</v>
      </c>
      <c r="C175" s="5" t="s">
        <v>696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700</v>
      </c>
      <c r="B176" s="5" t="s">
        <v>27</v>
      </c>
      <c r="C176" s="5" t="s">
        <v>701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  <row r="178" spans="1:9">
      <c r="A178" s="4" t="s">
        <v>1444</v>
      </c>
      <c r="B178" s="4" t="s">
        <v>24</v>
      </c>
      <c r="C178" s="4" t="s">
        <v>65</v>
      </c>
      <c r="D178" s="4"/>
      <c r="E178" s="4" t="s">
        <v>25</v>
      </c>
      <c r="F178" s="4" t="s">
        <v>29</v>
      </c>
      <c r="G178" s="4"/>
      <c r="H178" s="4"/>
      <c r="I178" s="4"/>
    </row>
    <row r="179" spans="1:9">
      <c r="A179" s="4" t="s">
        <v>1445</v>
      </c>
      <c r="B179" s="4" t="s">
        <v>41</v>
      </c>
      <c r="C179" s="4" t="s">
        <v>65</v>
      </c>
      <c r="D179" s="4"/>
      <c r="E179" s="4" t="s">
        <v>42</v>
      </c>
      <c r="F179" s="1" t="s">
        <v>98</v>
      </c>
      <c r="G179" s="1" t="s">
        <v>44</v>
      </c>
      <c r="H179" s="2" t="s">
        <v>53</v>
      </c>
      <c r="I179" s="4"/>
    </row>
    <row r="180" spans="1:9">
      <c r="A180" s="4" t="s">
        <v>1446</v>
      </c>
      <c r="B180" s="4" t="s">
        <v>24</v>
      </c>
      <c r="C180" s="4" t="s">
        <v>66</v>
      </c>
      <c r="D180" s="4"/>
      <c r="E180" s="4" t="s">
        <v>25</v>
      </c>
      <c r="F180" s="4" t="s">
        <v>29</v>
      </c>
      <c r="G180" s="4"/>
      <c r="H180" s="4"/>
      <c r="I180" s="4"/>
    </row>
    <row r="181" spans="1:9">
      <c r="A181" s="4" t="s">
        <v>1447</v>
      </c>
      <c r="B181" s="4" t="s">
        <v>41</v>
      </c>
      <c r="C181" s="4" t="s">
        <v>66</v>
      </c>
      <c r="D181" s="4"/>
      <c r="E181" s="4" t="s">
        <v>42</v>
      </c>
      <c r="F181" s="4" t="s">
        <v>98</v>
      </c>
      <c r="G181" s="4" t="s">
        <v>44</v>
      </c>
      <c r="H181" s="4" t="s">
        <v>53</v>
      </c>
      <c r="I181" s="4"/>
    </row>
    <row r="182" spans="1:9">
      <c r="A182" s="4" t="s">
        <v>1448</v>
      </c>
      <c r="B182" s="4" t="s">
        <v>24</v>
      </c>
      <c r="C182" s="4" t="s">
        <v>67</v>
      </c>
      <c r="D182" s="4"/>
      <c r="E182" s="4" t="s">
        <v>25</v>
      </c>
      <c r="F182" s="4" t="s">
        <v>29</v>
      </c>
      <c r="G182" s="4"/>
      <c r="H182" s="4"/>
      <c r="I182" s="4"/>
    </row>
    <row r="183" spans="1:9">
      <c r="A183" s="4" t="s">
        <v>1449</v>
      </c>
      <c r="B183" s="4" t="s">
        <v>41</v>
      </c>
      <c r="C183" s="4" t="s">
        <v>67</v>
      </c>
      <c r="D183" s="4"/>
      <c r="E183" s="4" t="s">
        <v>42</v>
      </c>
      <c r="F183" s="4" t="s">
        <v>98</v>
      </c>
      <c r="G183" s="4" t="s">
        <v>44</v>
      </c>
      <c r="H183" s="4" t="s">
        <v>53</v>
      </c>
      <c r="I183" s="4"/>
    </row>
    <row r="184" spans="1:9">
      <c r="A184" s="4" t="s">
        <v>1450</v>
      </c>
      <c r="B184" s="4" t="s">
        <v>24</v>
      </c>
      <c r="C184" s="4" t="s">
        <v>68</v>
      </c>
      <c r="D184" s="4"/>
      <c r="E184" s="4" t="s">
        <v>25</v>
      </c>
      <c r="F184" s="4" t="s">
        <v>29</v>
      </c>
      <c r="G184" s="4"/>
      <c r="H184" s="4"/>
      <c r="I184" s="4"/>
    </row>
    <row r="185" spans="1:9">
      <c r="A185" s="4" t="s">
        <v>1451</v>
      </c>
      <c r="B185" s="4" t="s">
        <v>41</v>
      </c>
      <c r="C185" s="4" t="s">
        <v>68</v>
      </c>
      <c r="D185" s="4"/>
      <c r="E185" s="4" t="s">
        <v>42</v>
      </c>
      <c r="F185" s="4" t="s">
        <v>98</v>
      </c>
      <c r="G185" s="4" t="s">
        <v>44</v>
      </c>
      <c r="H185" s="4" t="s">
        <v>53</v>
      </c>
      <c r="I185" s="4"/>
    </row>
    <row r="186" spans="1:9">
      <c r="A186" s="4" t="s">
        <v>1495</v>
      </c>
      <c r="B186" s="4" t="s">
        <v>27</v>
      </c>
      <c r="C186" s="4" t="s">
        <v>1496</v>
      </c>
      <c r="D186" s="4">
        <v>64</v>
      </c>
      <c r="E186" s="4" t="s">
        <v>29</v>
      </c>
      <c r="F186" s="4"/>
      <c r="G186" s="4"/>
      <c r="H186" s="4"/>
      <c r="I186" s="4"/>
    </row>
  </sheetData>
  <conditionalFormatting sqref="A44:A47">
    <cfRule type="duplicateValues" dxfId="449" priority="12"/>
  </conditionalFormatting>
  <conditionalFormatting sqref="A57:A60">
    <cfRule type="duplicateValues" dxfId="448" priority="11"/>
  </conditionalFormatting>
  <conditionalFormatting sqref="A128:A129">
    <cfRule type="duplicateValues" dxfId="447" priority="10"/>
  </conditionalFormatting>
  <conditionalFormatting sqref="A128:A129">
    <cfRule type="duplicateValues" dxfId="446" priority="9"/>
  </conditionalFormatting>
  <conditionalFormatting sqref="A130:A131">
    <cfRule type="duplicateValues" dxfId="445" priority="8"/>
  </conditionalFormatting>
  <conditionalFormatting sqref="A152:A153">
    <cfRule type="duplicateValues" dxfId="444" priority="7"/>
  </conditionalFormatting>
  <conditionalFormatting sqref="A2:A186">
    <cfRule type="duplicateValues" dxfId="443" priority="37"/>
  </conditionalFormatting>
  <conditionalFormatting sqref="A180:A181">
    <cfRule type="duplicateValues" dxfId="442" priority="6"/>
  </conditionalFormatting>
  <conditionalFormatting sqref="A182:A183">
    <cfRule type="duplicateValues" dxfId="441" priority="5"/>
  </conditionalFormatting>
  <conditionalFormatting sqref="A182:A183">
    <cfRule type="duplicateValues" dxfId="440" priority="4"/>
  </conditionalFormatting>
  <conditionalFormatting sqref="A184:A185">
    <cfRule type="duplicateValues" dxfId="439" priority="3"/>
  </conditionalFormatting>
  <conditionalFormatting sqref="A184:A185">
    <cfRule type="duplicateValues" dxfId="438" priority="2"/>
  </conditionalFormatting>
  <conditionalFormatting sqref="A184:A185">
    <cfRule type="duplicateValues" dxfId="437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workbookViewId="0">
      <selection activeCell="K62" sqref="K6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 hidden="1">
      <c r="A10" s="2" t="s">
        <v>2</v>
      </c>
      <c r="B10" s="4" t="s">
        <v>706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 hidden="1">
      <c r="A11" s="2" t="s">
        <v>2</v>
      </c>
      <c r="B11" s="4" t="s">
        <v>704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704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 hidden="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704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 hidden="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704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 hidden="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451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453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454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455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456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457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704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 hidden="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452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458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459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460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461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462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s="21" customFormat="1">
      <c r="A61" s="4" t="s">
        <v>5</v>
      </c>
      <c r="B61" s="4" t="s">
        <v>1495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"&amp;VLOOKUP([Field],Columns[],4,0)&amp;")",")")</f>
        <v>, 64)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64)-&gt;nullable();</v>
      </c>
    </row>
    <row r="62" spans="1:11">
      <c r="A62" s="4" t="s">
        <v>5</v>
      </c>
      <c r="B62" s="4" t="s">
        <v>61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"&amp;VLOOKUP([Field],Columns[],4,0)&amp;")",")")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"&amp;VLOOKUP([Field],Columns[],4,0)&amp;")",")")</f>
        <v>, 128)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128)-&gt;nullable();</v>
      </c>
    </row>
    <row r="64" spans="1:11">
      <c r="A64" s="4" t="s">
        <v>5</v>
      </c>
      <c r="B64" s="4" t="s">
        <v>704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 hidden="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 hidden="1">
      <c r="A67" s="4" t="s">
        <v>10</v>
      </c>
      <c r="B67" s="4" t="s">
        <v>93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 hidden="1">
      <c r="A68" s="4" t="s">
        <v>10</v>
      </c>
      <c r="B68" s="4" t="s">
        <v>451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 hidden="1">
      <c r="A69" s="4" t="s">
        <v>10</v>
      </c>
      <c r="B69" s="4" t="s">
        <v>453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"&amp;VLOOKUP([Field],Columns[],4,0)&amp;")",")")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 hidden="1">
      <c r="A70" s="4" t="s">
        <v>10</v>
      </c>
      <c r="B70" s="4" t="s">
        <v>454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 hidden="1">
      <c r="A71" s="4" t="s">
        <v>10</v>
      </c>
      <c r="B71" s="4" t="s">
        <v>455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 hidden="1">
      <c r="A72" s="4" t="s">
        <v>10</v>
      </c>
      <c r="B72" s="4" t="s">
        <v>456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 hidden="1">
      <c r="A73" s="4" t="s">
        <v>10</v>
      </c>
      <c r="B73" s="4" t="s">
        <v>457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 hidden="1">
      <c r="A74" s="4" t="s">
        <v>10</v>
      </c>
      <c r="B74" s="4" t="s">
        <v>704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 hidden="1">
      <c r="A75" s="4" t="s">
        <v>10</v>
      </c>
      <c r="B75" s="4" t="s">
        <v>94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 hidden="1">
      <c r="A76" s="4" t="s">
        <v>10</v>
      </c>
      <c r="B76" s="4" t="s">
        <v>452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 hidden="1">
      <c r="A77" s="4" t="s">
        <v>10</v>
      </c>
      <c r="B77" s="4" t="s">
        <v>458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 hidden="1">
      <c r="A78" s="4" t="s">
        <v>10</v>
      </c>
      <c r="B78" s="4" t="s">
        <v>459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 hidden="1">
      <c r="A79" s="4" t="s">
        <v>10</v>
      </c>
      <c r="B79" s="4" t="s">
        <v>460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 hidden="1">
      <c r="A80" s="4" t="s">
        <v>10</v>
      </c>
      <c r="B80" s="4" t="s">
        <v>461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 hidden="1">
      <c r="A81" s="4" t="s">
        <v>10</v>
      </c>
      <c r="B81" s="4" t="s">
        <v>462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 hidden="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 hidden="1">
      <c r="A83" s="4" t="s">
        <v>11</v>
      </c>
      <c r="B83" s="4" t="s">
        <v>93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 hidden="1">
      <c r="A84" s="4" t="s">
        <v>11</v>
      </c>
      <c r="B84" s="4" t="s">
        <v>56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 hidden="1">
      <c r="A85" s="4" t="s">
        <v>11</v>
      </c>
      <c r="B85" s="4" t="s">
        <v>704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 hidden="1">
      <c r="A86" s="4" t="s">
        <v>11</v>
      </c>
      <c r="B86" s="4" t="s">
        <v>94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 hidden="1">
      <c r="A87" s="4" t="s">
        <v>11</v>
      </c>
      <c r="B87" s="4" t="s">
        <v>59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 hidden="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 hidden="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"&amp;VLOOKUP([Field],Columns[],4,0)&amp;")",")")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 hidden="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"&amp;VLOOKUP([Field],Columns[],4,0)&amp;")",")")</f>
        <v>, 64)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64)-&gt;index();</v>
      </c>
    </row>
    <row r="91" spans="1:11" hidden="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"&amp;VLOOKUP([Field],Columns[],4,0)&amp;")",")")</f>
        <v>, 1024)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1024)-&gt;nullable();</v>
      </c>
    </row>
    <row r="92" spans="1:11" hidden="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"&amp;VLOOKUP([Field],Columns[],4,0)&amp;")",")")</f>
        <v>, 128)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128)-&gt;nullable();</v>
      </c>
    </row>
    <row r="93" spans="1:11" hidden="1">
      <c r="A93" s="4" t="s">
        <v>6</v>
      </c>
      <c r="B93" s="4" t="s">
        <v>63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"&amp;VLOOKUP([Field],Columns[],4,0)&amp;")",")")</f>
        <v>, 64)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64)-&gt;default('Submit');</v>
      </c>
    </row>
    <row r="94" spans="1:11" hidden="1">
      <c r="A94" s="4" t="s">
        <v>6</v>
      </c>
      <c r="B94" s="4" t="s">
        <v>704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 hidden="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 hidden="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 hidden="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 hidden="1">
      <c r="A98" s="4" t="s">
        <v>7</v>
      </c>
      <c r="B98" s="4" t="s">
        <v>1444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 hidden="1">
      <c r="A99" s="4" t="s">
        <v>7</v>
      </c>
      <c r="B99" s="4" t="s">
        <v>1446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 hidden="1">
      <c r="A100" s="4" t="s">
        <v>7</v>
      </c>
      <c r="B100" s="4" t="s">
        <v>1448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 hidden="1">
      <c r="A101" s="4" t="s">
        <v>7</v>
      </c>
      <c r="B101" s="4" t="s">
        <v>1450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 hidden="1">
      <c r="A102" s="4" t="s">
        <v>7</v>
      </c>
      <c r="B102" s="4" t="s">
        <v>704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 hidden="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 hidden="1">
      <c r="A104" s="4" t="s">
        <v>7</v>
      </c>
      <c r="B104" s="4" t="s">
        <v>1445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 hidden="1">
      <c r="A105" s="4" t="s">
        <v>7</v>
      </c>
      <c r="B105" s="4" t="s">
        <v>1447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 hidden="1">
      <c r="A106" s="4" t="s">
        <v>7</v>
      </c>
      <c r="B106" s="4" t="s">
        <v>1449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 hidden="1">
      <c r="A107" s="4" t="s">
        <v>7</v>
      </c>
      <c r="B107" s="4" t="s">
        <v>1451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 hidden="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 hidden="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"&amp;VLOOKUP([Field],Columns[],4,0)&amp;")",")")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 hidden="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"&amp;VLOOKUP([Field],Columns[],4,0)&amp;")",")")</f>
        <v>, 64)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64)-&gt;index();</v>
      </c>
    </row>
    <row r="111" spans="1:11" hidden="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"&amp;VLOOKUP([Field],Columns[],4,0)&amp;")",")")</f>
        <v>, 1024)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1024)-&gt;nullable();</v>
      </c>
    </row>
    <row r="112" spans="1:11" hidden="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"&amp;VLOOKUP([Field],Columns[],4,0)&amp;")",")")</f>
        <v>, 128)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128)-&gt;nullable();</v>
      </c>
    </row>
    <row r="113" spans="1:11" hidden="1">
      <c r="A113" s="4" t="s">
        <v>8</v>
      </c>
      <c r="B113" s="4" t="s">
        <v>260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hidden="1">
      <c r="A114" s="4" t="s">
        <v>8</v>
      </c>
      <c r="B114" s="4" t="s">
        <v>266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128)-&gt;nullable();</v>
      </c>
    </row>
    <row r="115" spans="1:11" hidden="1">
      <c r="A115" s="4" t="s">
        <v>8</v>
      </c>
      <c r="B115" s="4" t="s">
        <v>76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"&amp;VLOOKUP([Field],Columns[],4,0)&amp;")",")")</f>
        <v>, 128)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128)-&gt;nullable();</v>
      </c>
    </row>
    <row r="116" spans="1:11" hidden="1">
      <c r="A116" s="4" t="s">
        <v>8</v>
      </c>
      <c r="B116" s="4" t="s">
        <v>261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"&amp;VLOOKUP([Field],Columns[],4,0)&amp;")",")")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 hidden="1">
      <c r="A117" s="4" t="s">
        <v>8</v>
      </c>
      <c r="B117" s="4" t="s">
        <v>90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256)-&gt;nullable();</v>
      </c>
    </row>
    <row r="118" spans="1:11" hidden="1">
      <c r="A118" s="4" t="s">
        <v>8</v>
      </c>
      <c r="B118" s="4" t="s">
        <v>84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"&amp;VLOOKUP([Field],Columns[],4,0)&amp;")",")")</f>
        <v>, 256)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256)-&gt;nullable();</v>
      </c>
    </row>
    <row r="119" spans="1:11" hidden="1">
      <c r="A119" s="4" t="s">
        <v>8</v>
      </c>
      <c r="B119" s="4" t="s">
        <v>86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"&amp;VLOOKUP([Field],Columns[],4,0)&amp;")",")")</f>
        <v>, 128)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128)-&gt;nullable();</v>
      </c>
    </row>
    <row r="120" spans="1:11" hidden="1">
      <c r="A120" s="4" t="s">
        <v>8</v>
      </c>
      <c r="B120" s="4" t="s">
        <v>704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 hidden="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 hidden="1">
      <c r="A122" s="4" t="s">
        <v>99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 hidden="1">
      <c r="A123" s="4" t="s">
        <v>99</v>
      </c>
      <c r="B123" s="4" t="s">
        <v>96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"&amp;VLOOKUP([Field],Columns[],4,0)&amp;")",")")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 hidden="1">
      <c r="A124" s="4" t="s">
        <v>99</v>
      </c>
      <c r="B124" s="4" t="s">
        <v>122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"&amp;VLOOKUP([Field],Columns[],4,0)&amp;")",")")</f>
        <v>, 64)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64)-&gt;nullable();</v>
      </c>
    </row>
    <row r="125" spans="1:11" hidden="1">
      <c r="A125" s="4" t="s">
        <v>99</v>
      </c>
      <c r="B125" s="4" t="s">
        <v>123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"&amp;VLOOKUP([Field],Columns[],4,0)&amp;")",")")</f>
        <v>, 128)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128)-&gt;nullable();</v>
      </c>
    </row>
    <row r="126" spans="1:11" hidden="1">
      <c r="A126" s="4" t="s">
        <v>99</v>
      </c>
      <c r="B126" s="4" t="s">
        <v>704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 hidden="1">
      <c r="A127" s="4" t="s">
        <v>99</v>
      </c>
      <c r="B127" s="4" t="s">
        <v>97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 hidden="1">
      <c r="A128" s="4" t="s">
        <v>100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 hidden="1">
      <c r="A129" s="4" t="s">
        <v>100</v>
      </c>
      <c r="B129" s="4" t="s">
        <v>96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"&amp;VLOOKUP([Field],Columns[],4,0)&amp;")",")")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 hidden="1">
      <c r="A130" s="4" t="s">
        <v>100</v>
      </c>
      <c r="B130" s="4" t="s">
        <v>227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"&amp;VLOOKUP([Field],Columns[],4,0)&amp;")",")")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 hidden="1">
      <c r="A131" s="4" t="s">
        <v>100</v>
      </c>
      <c r="B131" s="4" t="s">
        <v>105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"&amp;VLOOKUP([Field],Columns[],4,0)&amp;")",")")</f>
        <v>, 128)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128)-&gt;nullable();</v>
      </c>
    </row>
    <row r="132" spans="1:11" hidden="1">
      <c r="A132" s="4" t="s">
        <v>100</v>
      </c>
      <c r="B132" s="4" t="s">
        <v>106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64)-&gt;nullable();</v>
      </c>
    </row>
    <row r="133" spans="1:11" hidden="1">
      <c r="A133" s="4" t="s">
        <v>100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64)-&gt;nullable();</v>
      </c>
    </row>
    <row r="134" spans="1:11" hidden="1">
      <c r="A134" s="4" t="s">
        <v>100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64)-&gt;nullable();</v>
      </c>
    </row>
    <row r="135" spans="1:11" hidden="1">
      <c r="A135" s="4" t="s">
        <v>100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64)-&gt;nullable();</v>
      </c>
    </row>
    <row r="136" spans="1:11" hidden="1">
      <c r="A136" s="4" t="s">
        <v>100</v>
      </c>
      <c r="B136" s="4" t="s">
        <v>107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"&amp;VLOOKUP([Field],Columns[],4,0)&amp;")",")")</f>
        <v>, 64)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64)-&gt;nullable();</v>
      </c>
    </row>
    <row r="137" spans="1:11" hidden="1">
      <c r="A137" s="4" t="s">
        <v>100</v>
      </c>
      <c r="B137" s="4" t="s">
        <v>704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 hidden="1">
      <c r="A138" s="4" t="s">
        <v>100</v>
      </c>
      <c r="B138" s="4" t="s">
        <v>97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 hidden="1">
      <c r="A139" s="4" t="s">
        <v>101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 hidden="1">
      <c r="A140" s="4" t="s">
        <v>101</v>
      </c>
      <c r="B140" s="4" t="s">
        <v>116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"&amp;VLOOKUP([Field],Columns[],4,0)&amp;")",")")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 hidden="1">
      <c r="A141" s="4" t="s">
        <v>101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"&amp;VLOOKUP([Field],Columns[],4,0)&amp;")",")")</f>
        <v>, 64)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64)-&gt;index();</v>
      </c>
    </row>
    <row r="142" spans="1:11" hidden="1">
      <c r="A142" s="4" t="s">
        <v>101</v>
      </c>
      <c r="B142" s="4" t="s">
        <v>118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"&amp;VLOOKUP([Field],Columns[],4,0)&amp;")",")")</f>
        <v>, 128)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128)-&gt;nullable();</v>
      </c>
    </row>
    <row r="143" spans="1:11" hidden="1">
      <c r="A143" s="4" t="s">
        <v>101</v>
      </c>
      <c r="B143" s="4" t="s">
        <v>229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"&amp;VLOOKUP([Field],Columns[],4,0)&amp;")",")")</f>
        <v>, 256)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256)-&gt;nullable();</v>
      </c>
    </row>
    <row r="144" spans="1:11" hidden="1">
      <c r="A144" s="4" t="s">
        <v>101</v>
      </c>
      <c r="B144" s="4" t="s">
        <v>704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 hidden="1">
      <c r="A145" s="4" t="s">
        <v>101</v>
      </c>
      <c r="B145" s="4" t="s">
        <v>117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102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102</v>
      </c>
      <c r="B147" s="4" t="s">
        <v>119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102</v>
      </c>
      <c r="B148" s="4" t="s">
        <v>122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102</v>
      </c>
      <c r="B149" s="4" t="s">
        <v>123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102</v>
      </c>
      <c r="B150" s="4" t="s">
        <v>704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 hidden="1">
      <c r="A151" s="4" t="s">
        <v>102</v>
      </c>
      <c r="B151" s="4" t="s">
        <v>120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103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103</v>
      </c>
      <c r="B153" s="4" t="s">
        <v>119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103</v>
      </c>
      <c r="B154" s="4" t="s">
        <v>451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103</v>
      </c>
      <c r="B155" s="4" t="s">
        <v>453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103</v>
      </c>
      <c r="B156" s="4" t="s">
        <v>454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103</v>
      </c>
      <c r="B157" s="4" t="s">
        <v>455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103</v>
      </c>
      <c r="B158" s="4" t="s">
        <v>125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103</v>
      </c>
      <c r="B159" s="4" t="s">
        <v>704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 hidden="1">
      <c r="A160" s="4" t="s">
        <v>103</v>
      </c>
      <c r="B160" s="4" t="s">
        <v>120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103</v>
      </c>
      <c r="B161" s="4" t="s">
        <v>452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103</v>
      </c>
      <c r="B162" s="4" t="s">
        <v>458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103</v>
      </c>
      <c r="B163" s="4" t="s">
        <v>459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103</v>
      </c>
      <c r="B164" s="4" t="s">
        <v>460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104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104</v>
      </c>
      <c r="B166" s="4" t="s">
        <v>119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104</v>
      </c>
      <c r="B167" s="4" t="s">
        <v>126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104</v>
      </c>
      <c r="B168" s="4" t="s">
        <v>127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104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104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104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104</v>
      </c>
      <c r="B172" s="4" t="s">
        <v>130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104</v>
      </c>
      <c r="B173" s="4" t="s">
        <v>131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104</v>
      </c>
      <c r="B174" s="4" t="s">
        <v>704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 hidden="1">
      <c r="A175" s="4" t="s">
        <v>104</v>
      </c>
      <c r="B175" s="4" t="s">
        <v>120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132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132</v>
      </c>
      <c r="B177" s="4" t="s">
        <v>96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132</v>
      </c>
      <c r="B178" s="4" t="s">
        <v>93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132</v>
      </c>
      <c r="B179" s="4" t="s">
        <v>704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 hidden="1">
      <c r="A180" s="4" t="s">
        <v>132</v>
      </c>
      <c r="B180" s="4" t="s">
        <v>97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132</v>
      </c>
      <c r="B181" s="4" t="s">
        <v>94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133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133</v>
      </c>
      <c r="B183" s="4" t="s">
        <v>96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133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133</v>
      </c>
      <c r="B185" s="4" t="s">
        <v>704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 hidden="1">
      <c r="A186" s="4" t="s">
        <v>133</v>
      </c>
      <c r="B186" s="4" t="s">
        <v>97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133</v>
      </c>
      <c r="B187" s="4" t="s">
        <v>92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134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134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134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134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134</v>
      </c>
      <c r="B192" s="4" t="s">
        <v>704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 hidden="1">
      <c r="A193" s="4" t="s">
        <v>135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135</v>
      </c>
      <c r="B194" s="4" t="s">
        <v>138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135</v>
      </c>
      <c r="B195" s="4" t="s">
        <v>141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135</v>
      </c>
      <c r="B196" s="4" t="s">
        <v>704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 hidden="1">
      <c r="A197" s="4" t="s">
        <v>135</v>
      </c>
      <c r="B197" s="4" t="s">
        <v>139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135</v>
      </c>
      <c r="B198" s="4" t="s">
        <v>142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136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136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136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136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136</v>
      </c>
      <c r="B203" s="4" t="s">
        <v>704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 hidden="1">
      <c r="A204" s="4" t="s">
        <v>137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137</v>
      </c>
      <c r="B205" s="4" t="s">
        <v>138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137</v>
      </c>
      <c r="B206" s="4" t="s">
        <v>144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137</v>
      </c>
      <c r="B207" s="4" t="s">
        <v>704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 hidden="1">
      <c r="A208" s="4" t="s">
        <v>137</v>
      </c>
      <c r="B208" s="4" t="s">
        <v>139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137</v>
      </c>
      <c r="B209" s="4" t="s">
        <v>145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147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147</v>
      </c>
      <c r="B211" s="4" t="s">
        <v>116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147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147</v>
      </c>
      <c r="B213" s="4" t="s">
        <v>148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147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147</v>
      </c>
      <c r="B215" s="4" t="s">
        <v>451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147</v>
      </c>
      <c r="B216" s="4" t="s">
        <v>453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147</v>
      </c>
      <c r="B217" s="4" t="s">
        <v>454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147</v>
      </c>
      <c r="B218" s="4" t="s">
        <v>455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147</v>
      </c>
      <c r="B219" s="4" t="s">
        <v>149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147</v>
      </c>
      <c r="B220" s="4" t="s">
        <v>704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 hidden="1">
      <c r="A221" s="4" t="s">
        <v>147</v>
      </c>
      <c r="B221" s="4" t="s">
        <v>117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147</v>
      </c>
      <c r="B222" s="4" t="s">
        <v>452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147</v>
      </c>
      <c r="B223" s="4" t="s">
        <v>458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147</v>
      </c>
      <c r="B224" s="4" t="s">
        <v>459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147</v>
      </c>
      <c r="B225" s="4" t="s">
        <v>460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184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184</v>
      </c>
      <c r="B227" s="2" t="s">
        <v>190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184</v>
      </c>
      <c r="B228" s="2" t="s">
        <v>187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184</v>
      </c>
      <c r="B229" s="2" t="s">
        <v>188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184</v>
      </c>
      <c r="B230" s="2" t="s">
        <v>185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184</v>
      </c>
      <c r="B231" s="2" t="s">
        <v>186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184</v>
      </c>
      <c r="B232" s="2" t="s">
        <v>192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184</v>
      </c>
      <c r="B233" s="2" t="s">
        <v>191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184</v>
      </c>
      <c r="B234" s="4" t="s">
        <v>704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 hidden="1">
      <c r="A235" s="4" t="s">
        <v>189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189</v>
      </c>
      <c r="B236" s="2" t="s">
        <v>184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189</v>
      </c>
      <c r="B237" s="2" t="s">
        <v>195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189</v>
      </c>
      <c r="B238" s="2" t="s">
        <v>197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189</v>
      </c>
      <c r="B239" s="2" t="s">
        <v>199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189</v>
      </c>
      <c r="B240" s="4" t="s">
        <v>704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 hidden="1">
      <c r="A241" s="4" t="s">
        <v>189</v>
      </c>
      <c r="B241" s="2" t="s">
        <v>193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208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208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208</v>
      </c>
      <c r="B244" s="4" t="s">
        <v>144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208</v>
      </c>
      <c r="B245" s="4" t="s">
        <v>284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208</v>
      </c>
      <c r="B246" s="4" t="s">
        <v>286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208</v>
      </c>
      <c r="B247" s="4" t="s">
        <v>704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 hidden="1">
      <c r="A248" s="4" t="s">
        <v>208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208</v>
      </c>
      <c r="B249" s="4" t="s">
        <v>145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354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354</v>
      </c>
      <c r="B251" s="4" t="s">
        <v>119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354</v>
      </c>
      <c r="B252" s="4" t="s">
        <v>521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354</v>
      </c>
      <c r="B253" s="4" t="s">
        <v>524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354</v>
      </c>
      <c r="B254" s="4" t="s">
        <v>355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354</v>
      </c>
      <c r="B255" s="4" t="s">
        <v>357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354</v>
      </c>
      <c r="B256" s="4" t="s">
        <v>359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354</v>
      </c>
      <c r="B257" s="4" t="s">
        <v>704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 hidden="1">
      <c r="A258" s="4" t="s">
        <v>354</v>
      </c>
      <c r="B258" s="4" t="s">
        <v>120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439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439</v>
      </c>
      <c r="B260" s="4" t="s">
        <v>93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439</v>
      </c>
      <c r="B261" s="4" t="s">
        <v>230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439</v>
      </c>
      <c r="B262" s="4" t="s">
        <v>440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439</v>
      </c>
      <c r="B263" s="4" t="s">
        <v>451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439</v>
      </c>
      <c r="B264" s="4" t="s">
        <v>453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439</v>
      </c>
      <c r="B265" s="4" t="s">
        <v>454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439</v>
      </c>
      <c r="B266" s="4" t="s">
        <v>704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 hidden="1">
      <c r="A267" s="4" t="s">
        <v>439</v>
      </c>
      <c r="B267" s="4" t="s">
        <v>94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439</v>
      </c>
      <c r="B268" s="4" t="s">
        <v>452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439</v>
      </c>
      <c r="B269" s="4" t="s">
        <v>458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439</v>
      </c>
      <c r="B270" s="4" t="s">
        <v>459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446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446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446</v>
      </c>
      <c r="B273" s="5" t="s">
        <v>56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446</v>
      </c>
      <c r="B274" s="4" t="s">
        <v>704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 hidden="1">
      <c r="A275" s="5" t="s">
        <v>446</v>
      </c>
      <c r="B275" s="5" t="s">
        <v>92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446</v>
      </c>
      <c r="B276" s="4" t="s">
        <v>59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468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468</v>
      </c>
      <c r="B278" s="4" t="s">
        <v>116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468</v>
      </c>
      <c r="B279" s="4" t="s">
        <v>119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468</v>
      </c>
      <c r="B280" s="4" t="s">
        <v>476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468</v>
      </c>
      <c r="B281" s="4" t="s">
        <v>704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 hidden="1">
      <c r="A282" s="4" t="s">
        <v>468</v>
      </c>
      <c r="B282" s="4" t="s">
        <v>117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468</v>
      </c>
      <c r="B283" s="4" t="s">
        <v>120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477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477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477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477</v>
      </c>
      <c r="B287" s="4" t="s">
        <v>54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477</v>
      </c>
      <c r="B288" s="4" t="s">
        <v>451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477</v>
      </c>
      <c r="B289" s="4" t="s">
        <v>476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477</v>
      </c>
      <c r="B290" s="4" t="s">
        <v>704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 hidden="1">
      <c r="A291" s="4" t="s">
        <v>477</v>
      </c>
      <c r="B291" s="4" t="s">
        <v>92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477</v>
      </c>
      <c r="B292" s="4" t="s">
        <v>452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478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478</v>
      </c>
      <c r="B294" s="4" t="s">
        <v>479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478</v>
      </c>
      <c r="B295" s="4" t="s">
        <v>230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478</v>
      </c>
      <c r="B296" s="4" t="s">
        <v>481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478</v>
      </c>
      <c r="B297" s="4" t="s">
        <v>451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478</v>
      </c>
      <c r="B298" s="4" t="s">
        <v>704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 hidden="1">
      <c r="A299" s="4" t="s">
        <v>478</v>
      </c>
      <c r="B299" s="4" t="s">
        <v>482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478</v>
      </c>
      <c r="B300" s="4" t="s">
        <v>452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506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506</v>
      </c>
      <c r="B302" s="4" t="s">
        <v>116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506</v>
      </c>
      <c r="B303" s="4" t="s">
        <v>506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506</v>
      </c>
      <c r="B304" s="4" t="s">
        <v>451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506</v>
      </c>
      <c r="B305" s="4" t="s">
        <v>525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 hidden="1">
      <c r="A306" s="4" t="s">
        <v>506</v>
      </c>
      <c r="B306" s="4" t="s">
        <v>704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 hidden="1">
      <c r="A307" s="4" t="s">
        <v>506</v>
      </c>
      <c r="B307" s="4" t="s">
        <v>117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506</v>
      </c>
      <c r="B308" s="4" t="s">
        <v>507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506</v>
      </c>
      <c r="B309" s="4" t="s">
        <v>452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506</v>
      </c>
      <c r="B310" s="4" t="s">
        <v>527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530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530</v>
      </c>
      <c r="B312" s="4" t="s">
        <v>93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530</v>
      </c>
      <c r="B313" s="4" t="s">
        <v>440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530</v>
      </c>
      <c r="B314" s="4" t="s">
        <v>451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530</v>
      </c>
      <c r="B315" s="4" t="s">
        <v>453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530</v>
      </c>
      <c r="B316" s="4" t="s">
        <v>454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530</v>
      </c>
      <c r="B317" s="4" t="s">
        <v>455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530</v>
      </c>
      <c r="B318" s="4" t="s">
        <v>704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 hidden="1">
      <c r="A319" s="4" t="s">
        <v>530</v>
      </c>
      <c r="B319" s="4" t="s">
        <v>94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530</v>
      </c>
      <c r="B320" s="4" t="s">
        <v>452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530</v>
      </c>
      <c r="B321" s="4" t="s">
        <v>458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530</v>
      </c>
      <c r="B322" s="4" t="s">
        <v>459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530</v>
      </c>
      <c r="B323" s="4" t="s">
        <v>460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 hidden="1">
      <c r="A324" s="4" t="s">
        <v>537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 hidden="1">
      <c r="A325" s="4" t="s">
        <v>537</v>
      </c>
      <c r="B325" s="4" t="s">
        <v>119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 hidden="1">
      <c r="A326" s="4" t="s">
        <v>537</v>
      </c>
      <c r="B326" s="4" t="s">
        <v>538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 hidden="1">
      <c r="A327" s="4" t="s">
        <v>537</v>
      </c>
      <c r="B327" s="4" t="s">
        <v>540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 hidden="1">
      <c r="A328" s="4" t="s">
        <v>537</v>
      </c>
      <c r="B328" s="4" t="s">
        <v>542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 hidden="1">
      <c r="A329" s="4" t="s">
        <v>537</v>
      </c>
      <c r="B329" s="4" t="s">
        <v>546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 hidden="1">
      <c r="A330" s="4" t="s">
        <v>537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hidden="1">
      <c r="A331" s="4" t="s">
        <v>537</v>
      </c>
      <c r="B331" s="4" t="s">
        <v>558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1" customFormat="1" hidden="1">
      <c r="A332" s="4" t="s">
        <v>537</v>
      </c>
      <c r="B332" s="4" t="s">
        <v>556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 hidden="1">
      <c r="A333" s="4" t="s">
        <v>537</v>
      </c>
      <c r="B333" s="4" t="s">
        <v>704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 hidden="1">
      <c r="A334" s="4" t="s">
        <v>537</v>
      </c>
      <c r="B334" s="4" t="s">
        <v>120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 hidden="1">
      <c r="A335" s="4" t="s">
        <v>560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 hidden="1">
      <c r="A336" s="4" t="s">
        <v>560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 hidden="1">
      <c r="A337" s="4" t="s">
        <v>560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hidden="1">
      <c r="A338" s="4" t="s">
        <v>560</v>
      </c>
      <c r="B338" s="4" t="s">
        <v>632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 hidden="1">
      <c r="A339" s="4" t="s">
        <v>560</v>
      </c>
      <c r="B339" s="4" t="s">
        <v>93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 hidden="1">
      <c r="A340" s="4" t="s">
        <v>560</v>
      </c>
      <c r="B340" s="4" t="s">
        <v>561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 hidden="1">
      <c r="A341" s="4" t="s">
        <v>560</v>
      </c>
      <c r="B341" s="4" t="s">
        <v>565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 hidden="1">
      <c r="A342" s="4" t="s">
        <v>560</v>
      </c>
      <c r="B342" s="5" t="s">
        <v>566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 hidden="1">
      <c r="A343" s="4" t="s">
        <v>560</v>
      </c>
      <c r="B343" s="5" t="s">
        <v>626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 hidden="1">
      <c r="A344" s="4" t="s">
        <v>560</v>
      </c>
      <c r="B344" s="5" t="s">
        <v>627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 hidden="1">
      <c r="A345" s="4" t="s">
        <v>560</v>
      </c>
      <c r="B345" s="5" t="s">
        <v>629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hidden="1">
      <c r="A346" s="4" t="s">
        <v>560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 s="21" customFormat="1" hidden="1">
      <c r="A347" s="4" t="s">
        <v>560</v>
      </c>
      <c r="B347" s="4" t="s">
        <v>704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 hidden="1">
      <c r="A348" s="4" t="s">
        <v>560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 hidden="1">
      <c r="A349" s="4" t="s">
        <v>560</v>
      </c>
      <c r="B349" s="4" t="s">
        <v>94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 hidden="1">
      <c r="A350" s="4" t="s">
        <v>582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 hidden="1">
      <c r="A351" s="4" t="s">
        <v>582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 hidden="1">
      <c r="A352" s="4" t="s">
        <v>582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 hidden="1">
      <c r="A353" s="4" t="s">
        <v>582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 hidden="1">
      <c r="A354" s="4" t="s">
        <v>582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 hidden="1">
      <c r="A355" s="4" t="s">
        <v>582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 hidden="1">
      <c r="A356" s="4" t="s">
        <v>582</v>
      </c>
      <c r="B356" s="4" t="s">
        <v>704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 hidden="1">
      <c r="A357" s="4" t="s">
        <v>582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 hidden="1">
      <c r="A358" s="4" t="s">
        <v>583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hidden="1">
      <c r="A359" s="4" t="s">
        <v>583</v>
      </c>
      <c r="B359" s="4" t="s">
        <v>582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 hidden="1">
      <c r="A360" s="4" t="s">
        <v>583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 hidden="1">
      <c r="A361" s="4" t="s">
        <v>583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 hidden="1">
      <c r="A362" s="4" t="s">
        <v>583</v>
      </c>
      <c r="B362" s="4" t="s">
        <v>585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 hidden="1">
      <c r="A363" s="4" t="s">
        <v>583</v>
      </c>
      <c r="B363" s="4" t="s">
        <v>704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 hidden="1">
      <c r="A364" s="4" t="s">
        <v>583</v>
      </c>
      <c r="B364" s="4" t="s">
        <v>587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 hidden="1">
      <c r="A365" s="4" t="s">
        <v>589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 hidden="1">
      <c r="A366" s="4" t="s">
        <v>589</v>
      </c>
      <c r="B366" s="4" t="s">
        <v>584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 hidden="1">
      <c r="A367" s="4" t="s">
        <v>589</v>
      </c>
      <c r="B367" s="4" t="s">
        <v>592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 hidden="1">
      <c r="A368" s="4" t="s">
        <v>589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 hidden="1">
      <c r="A369" s="4" t="s">
        <v>589</v>
      </c>
      <c r="B369" s="4" t="s">
        <v>594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 hidden="1">
      <c r="A370" s="4" t="s">
        <v>589</v>
      </c>
      <c r="B370" s="4" t="s">
        <v>595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 hidden="1">
      <c r="A371" s="4" t="s">
        <v>589</v>
      </c>
      <c r="B371" s="4" t="s">
        <v>596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 hidden="1">
      <c r="A372" s="4" t="s">
        <v>589</v>
      </c>
      <c r="B372" s="4" t="s">
        <v>704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 hidden="1">
      <c r="A373" s="4" t="s">
        <v>589</v>
      </c>
      <c r="B373" s="4" t="s">
        <v>590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 hidden="1">
      <c r="A374" s="4" t="s">
        <v>636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 hidden="1">
      <c r="A375" s="4" t="s">
        <v>636</v>
      </c>
      <c r="B375" s="4" t="s">
        <v>119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 hidden="1">
      <c r="A376" s="4" t="s">
        <v>636</v>
      </c>
      <c r="B376" s="4" t="s">
        <v>637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 hidden="1">
      <c r="A377" s="4" t="s">
        <v>636</v>
      </c>
      <c r="B377" s="4" t="s">
        <v>538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 hidden="1">
      <c r="A378" s="4" t="s">
        <v>636</v>
      </c>
      <c r="B378" s="4" t="s">
        <v>640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 hidden="1">
      <c r="A379" s="4" t="s">
        <v>636</v>
      </c>
      <c r="B379" s="4" t="s">
        <v>644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 hidden="1">
      <c r="A380" s="4" t="s">
        <v>636</v>
      </c>
      <c r="B380" s="5" t="s">
        <v>645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 hidden="1">
      <c r="A381" s="4" t="s">
        <v>636</v>
      </c>
      <c r="B381" s="4" t="s">
        <v>542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 hidden="1">
      <c r="A382" s="4" t="s">
        <v>636</v>
      </c>
      <c r="B382" s="4" t="s">
        <v>646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 hidden="1">
      <c r="A383" s="4" t="s">
        <v>636</v>
      </c>
      <c r="B383" s="4" t="s">
        <v>704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 hidden="1">
      <c r="A384" s="4" t="s">
        <v>636</v>
      </c>
      <c r="B384" s="4" t="s">
        <v>120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 hidden="1">
      <c r="A385" s="4" t="s">
        <v>684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"&amp;VLOOKUP([Field],Columns[],4,0)&amp;")",")")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 hidden="1">
      <c r="A386" s="4" t="s">
        <v>684</v>
      </c>
      <c r="B386" s="5" t="s">
        <v>687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"&amp;VLOOKUP([Field],Columns[],4,0)&amp;")",")")</f>
        <v>, 256)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256)-&gt;nullable();</v>
      </c>
    </row>
    <row r="387" spans="1:11" hidden="1">
      <c r="A387" s="4" t="s">
        <v>684</v>
      </c>
      <c r="B387" s="5" t="s">
        <v>688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"&amp;VLOOKUP([Field],Columns[],4,0)&amp;")",")")</f>
        <v>, 1024)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1024)-&gt;nullable();</v>
      </c>
    </row>
    <row r="388" spans="1:11" hidden="1">
      <c r="A388" s="4" t="s">
        <v>684</v>
      </c>
      <c r="B388" s="5" t="s">
        <v>690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"&amp;VLOOKUP([Field],Columns[],4,0)&amp;")",")")</f>
        <v>, 64)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64)-&gt;nullable();</v>
      </c>
    </row>
    <row r="389" spans="1:11" hidden="1">
      <c r="A389" s="4" t="s">
        <v>684</v>
      </c>
      <c r="B389" s="5" t="s">
        <v>691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"&amp;VLOOKUP([Field],Columns[],4,0)&amp;")",")")</f>
        <v>, 256)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256)-&gt;nullable();</v>
      </c>
    </row>
    <row r="390" spans="1:11" hidden="1">
      <c r="A390" s="4" t="s">
        <v>684</v>
      </c>
      <c r="B390" s="5" t="s">
        <v>693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"&amp;VLOOKUP([Field],Columns[],4,0)&amp;")",")")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 hidden="1">
      <c r="A391" s="4" t="s">
        <v>684</v>
      </c>
      <c r="B391" s="5" t="s">
        <v>694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"&amp;VLOOKUP([Field],Columns[],4,0)&amp;")",")")</f>
        <v>, 64)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64)-&gt;nullable();</v>
      </c>
    </row>
    <row r="392" spans="1:11" hidden="1">
      <c r="A392" s="4" t="s">
        <v>684</v>
      </c>
      <c r="B392" s="5" t="s">
        <v>695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"&amp;VLOOKUP([Field],Columns[],4,0)&amp;")",")")</f>
        <v>, 512)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512)-&gt;nullable();</v>
      </c>
    </row>
    <row r="393" spans="1:11" hidden="1">
      <c r="A393" s="4" t="s">
        <v>684</v>
      </c>
      <c r="B393" s="5" t="s">
        <v>697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"&amp;VLOOKUP([Field],Columns[],4,0)&amp;")",")")</f>
        <v>, 2048)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2048)-&gt;nullable();</v>
      </c>
    </row>
    <row r="394" spans="1:11" hidden="1">
      <c r="A394" s="4" t="s">
        <v>684</v>
      </c>
      <c r="B394" s="5" t="s">
        <v>700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"&amp;VLOOKUP([Field],Columns[],4,0)&amp;")",")")</f>
        <v>, 32)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32)-&gt;nullable();</v>
      </c>
    </row>
    <row r="395" spans="1:11" hidden="1">
      <c r="A395" s="4" t="s">
        <v>684</v>
      </c>
      <c r="B395" s="4" t="s">
        <v>704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"&amp;VLOOKUP([Field],Columns[],4,0)&amp;")",")")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 hidden="1">
      <c r="A396" s="4" t="s">
        <v>1433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 hidden="1">
      <c r="A397" s="4" t="s">
        <v>1433</v>
      </c>
      <c r="B397" s="4" t="s">
        <v>116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 hidden="1">
      <c r="A398" s="4" t="s">
        <v>1433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 hidden="1">
      <c r="A399" s="4" t="s">
        <v>1433</v>
      </c>
      <c r="B399" s="4" t="s">
        <v>119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"&amp;VLOOKUP([Field],Columns[],4,0)&amp;")",")")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 hidden="1">
      <c r="A400" s="4" t="s">
        <v>1433</v>
      </c>
      <c r="B400" s="4" t="s">
        <v>124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"&amp;VLOOKUP([Field],Columns[],4,0)&amp;")",")")</f>
        <v>, 64)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64)-&gt;nullable();</v>
      </c>
    </row>
    <row r="401" spans="1:11" hidden="1">
      <c r="A401" s="4" t="s">
        <v>1433</v>
      </c>
      <c r="B401" s="4" t="s">
        <v>451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 hidden="1">
      <c r="A402" s="4" t="s">
        <v>1433</v>
      </c>
      <c r="B402" s="4" t="s">
        <v>453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 hidden="1">
      <c r="A403" s="4" t="s">
        <v>1433</v>
      </c>
      <c r="B403" s="4" t="s">
        <v>454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 hidden="1">
      <c r="A404" s="4" t="s">
        <v>1433</v>
      </c>
      <c r="B404" s="4" t="s">
        <v>455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 hidden="1">
      <c r="A405" s="4" t="s">
        <v>1433</v>
      </c>
      <c r="B405" s="4" t="s">
        <v>456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 hidden="1">
      <c r="A406" s="4" t="s">
        <v>1433</v>
      </c>
      <c r="B406" s="4" t="s">
        <v>457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 hidden="1">
      <c r="A407" s="4" t="s">
        <v>1433</v>
      </c>
      <c r="B407" s="4" t="s">
        <v>704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 hidden="1">
      <c r="A408" s="4" t="s">
        <v>1433</v>
      </c>
      <c r="B408" s="4" t="s">
        <v>117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 hidden="1">
      <c r="A409" s="4" t="s">
        <v>1433</v>
      </c>
      <c r="B409" s="4" t="s">
        <v>92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 hidden="1">
      <c r="A410" s="4" t="s">
        <v>1433</v>
      </c>
      <c r="B410" s="4" t="s">
        <v>120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 hidden="1">
      <c r="A411" s="4" t="s">
        <v>1433</v>
      </c>
      <c r="B411" s="4" t="s">
        <v>452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 hidden="1">
      <c r="A412" s="4" t="s">
        <v>1433</v>
      </c>
      <c r="B412" s="4" t="s">
        <v>458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 hidden="1">
      <c r="A413" s="4" t="s">
        <v>1433</v>
      </c>
      <c r="B413" s="4" t="s">
        <v>459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 hidden="1">
      <c r="A414" s="4" t="s">
        <v>1433</v>
      </c>
      <c r="B414" s="4" t="s">
        <v>460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 hidden="1">
      <c r="A415" s="4" t="s">
        <v>1433</v>
      </c>
      <c r="B415" s="4" t="s">
        <v>461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 hidden="1">
      <c r="A416" s="4" t="s">
        <v>1433</v>
      </c>
      <c r="B416" s="4" t="s">
        <v>462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"&amp;VLOOKUP([Field],Columns[],4,0)&amp;")",")")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46" workbookViewId="0">
      <selection activeCell="D55" sqref="D5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711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467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I11" sqref="I1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802</v>
      </c>
      <c r="F1" s="21" t="s">
        <v>803</v>
      </c>
      <c r="G1" s="21" t="s">
        <v>805</v>
      </c>
      <c r="H1" s="20" t="s">
        <v>320</v>
      </c>
      <c r="I1" t="s">
        <v>702</v>
      </c>
      <c r="J1" t="s">
        <v>703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804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804</v>
      </c>
      <c r="G3" s="11">
        <v>2</v>
      </c>
      <c r="H3" s="9" t="str">
        <f t="shared" ref="H3:H40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804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804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806</v>
      </c>
      <c r="F6" s="1" t="s">
        <v>809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804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858</v>
      </c>
      <c r="F8" s="1" t="s">
        <v>859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810</v>
      </c>
      <c r="F9" s="1" t="s">
        <v>811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813</v>
      </c>
      <c r="F10" s="1" t="s">
        <v>814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820</v>
      </c>
      <c r="F11" s="1" t="s">
        <v>821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820</v>
      </c>
      <c r="F12" s="1" t="s">
        <v>827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820</v>
      </c>
      <c r="F13" s="1" t="s">
        <v>831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771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837</v>
      </c>
      <c r="F14" s="1" t="s">
        <v>838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650</v>
      </c>
      <c r="B15" s="4" t="s">
        <v>636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1070</v>
      </c>
      <c r="F15" s="1" t="s">
        <v>1071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839</v>
      </c>
      <c r="F16" s="1" t="s">
        <v>840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548</v>
      </c>
      <c r="B17" s="4" t="s">
        <v>537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1064</v>
      </c>
      <c r="F17" s="1" t="s">
        <v>1065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474</v>
      </c>
      <c r="B18" s="4" t="s">
        <v>468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820</v>
      </c>
      <c r="F18" s="1" t="s">
        <v>836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1434</v>
      </c>
      <c r="B19" s="4" t="s">
        <v>1433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1442</v>
      </c>
      <c r="F19" s="1" t="s">
        <v>1443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861</v>
      </c>
      <c r="F20" s="1" t="s">
        <v>859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515</v>
      </c>
      <c r="B21" s="4" t="s">
        <v>506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874</v>
      </c>
      <c r="F21" s="1" t="s">
        <v>875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711</v>
      </c>
      <c r="B22" s="2" t="s">
        <v>684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804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406</v>
      </c>
      <c r="F23" s="1" t="s">
        <v>943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894</v>
      </c>
      <c r="F24" s="1" t="s">
        <v>895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772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894</v>
      </c>
      <c r="F25" s="1" t="s">
        <v>896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443</v>
      </c>
      <c r="B26" s="4" t="s">
        <v>439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905</v>
      </c>
      <c r="F26" s="1" t="s">
        <v>906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533</v>
      </c>
      <c r="B27" s="4" t="s">
        <v>530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902</v>
      </c>
      <c r="F27" s="1" t="s">
        <v>903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438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429</v>
      </c>
      <c r="F28" s="1" t="s">
        <v>859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529</v>
      </c>
      <c r="B29" s="4" t="s">
        <v>446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914</v>
      </c>
      <c r="F29" s="1" t="s">
        <v>895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433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914</v>
      </c>
      <c r="F30" s="1" t="s">
        <v>896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485</v>
      </c>
      <c r="B31" s="4" t="s">
        <v>477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922</v>
      </c>
      <c r="F31" s="1" t="s">
        <v>920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492</v>
      </c>
      <c r="B32" s="4" t="s">
        <v>478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919</v>
      </c>
      <c r="F32" s="1" t="s">
        <v>921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843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773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844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774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924</v>
      </c>
      <c r="F35" s="1" t="s">
        <v>838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775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854</v>
      </c>
      <c r="F36" s="1" t="s">
        <v>855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776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854</v>
      </c>
      <c r="F37" s="1" t="s">
        <v>856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4" t="s">
        <v>603</v>
      </c>
      <c r="B38" s="4" t="s">
        <v>560</v>
      </c>
      <c r="C38" s="2" t="str">
        <f>VLOOKUP([Table Name],Tables[],4,0)</f>
        <v>Milestone\Appframe\Model</v>
      </c>
      <c r="D38" s="2" t="str">
        <f>VLOOKUP([Table Name],Tables[],5,0)</f>
        <v>ResourceMetric</v>
      </c>
      <c r="E38" s="1" t="s">
        <v>343</v>
      </c>
      <c r="F38" s="1" t="s">
        <v>804</v>
      </c>
      <c r="G38" s="11">
        <v>2</v>
      </c>
      <c r="H38" s="9" t="str">
        <f t="shared" si="0"/>
        <v>truncate</v>
      </c>
      <c r="I38" s="34"/>
      <c r="J38" s="8" t="str">
        <f>IF(ISNUMBER([Last ID]),"ALTER TABLE `" &amp; [Table Name] &amp; "`  AUTO_INCREMENT=" &amp; [Last ID]+1,"")</f>
        <v/>
      </c>
    </row>
    <row r="39" spans="1:10">
      <c r="A39" s="1" t="s">
        <v>611</v>
      </c>
      <c r="B39" s="5" t="s">
        <v>582</v>
      </c>
      <c r="C39" s="4" t="str">
        <f>VLOOKUP([Table Name],Tables[],4,0)</f>
        <v>Milestone\Appframe\Model</v>
      </c>
      <c r="D39" s="4" t="str">
        <f>VLOOKUP([Table Name],Tables[],5,0)</f>
        <v>ResourceDashboard</v>
      </c>
      <c r="E39" s="1" t="s">
        <v>343</v>
      </c>
      <c r="F39" s="1" t="s">
        <v>804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5" t="s">
        <v>601</v>
      </c>
      <c r="B40" s="5" t="s">
        <v>583</v>
      </c>
      <c r="C40" s="4" t="str">
        <f>VLOOKUP([Table Name],Tables[],4,0)</f>
        <v>Milestone\Appframe\Model</v>
      </c>
      <c r="D40" s="4" t="str">
        <f>VLOOKUP([Table Name],Tables[],5,0)</f>
        <v>ResourceDashboardSection</v>
      </c>
      <c r="E40" s="1" t="s">
        <v>343</v>
      </c>
      <c r="F40" s="1" t="s">
        <v>804</v>
      </c>
      <c r="G40" s="11">
        <v>2</v>
      </c>
      <c r="H40" s="7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602</v>
      </c>
      <c r="B41" s="5" t="s">
        <v>589</v>
      </c>
      <c r="C41" s="4" t="str">
        <f>VLOOKUP([Table Name],Tables[],4,0)</f>
        <v>Milestone\Appframe\Model</v>
      </c>
      <c r="D41" s="4" t="str">
        <f>VLOOKUP([Table Name],Tables[],5,0)</f>
        <v>ResourceDashboardSectionItem</v>
      </c>
      <c r="E41" s="1" t="s">
        <v>343</v>
      </c>
      <c r="F41" s="1" t="s">
        <v>804</v>
      </c>
      <c r="G41" s="11">
        <v>2</v>
      </c>
      <c r="H41" s="7" t="str">
        <f t="shared" ref="H41" si="3">"truncate"</f>
        <v>truncate</v>
      </c>
      <c r="I41" s="34"/>
      <c r="J41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1">
      <formula1>TableNames</formula1>
    </dataValidation>
    <dataValidation type="list" allowBlank="1" showInputMessage="1" showErrorMessage="1" sqref="H2:H4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3" workbookViewId="0">
      <selection activeCell="B6" sqref="B6:R88"/>
    </sheetView>
  </sheetViews>
  <sheetFormatPr defaultRowHeight="15"/>
  <cols>
    <col min="1" max="16384" width="9.140625" style="21"/>
  </cols>
  <sheetData>
    <row r="1" spans="1:20" s="29" customFormat="1" ht="15" customHeight="1">
      <c r="A1" s="120" t="s">
        <v>386</v>
      </c>
      <c r="B1" s="120"/>
      <c r="C1" s="120"/>
      <c r="D1" s="120"/>
      <c r="E1" s="121" t="str">
        <f>"\"&amp;VLOOKUP($A$1,SeedMap[],3,0)&amp;"\"&amp;VLOOKUP($A$1,SeedMap[],4,0)&amp;"::"&amp;VLOOKUP($A$1,SeedMap[],8,0)&amp;"()"</f>
        <v>\Milestone\Appframe\Model\ResourceFormFieldData::truncate()</v>
      </c>
      <c r="F1" s="121"/>
      <c r="G1" s="121"/>
      <c r="H1" s="121"/>
      <c r="I1" s="122" t="s">
        <v>173</v>
      </c>
      <c r="J1" s="122"/>
      <c r="K1" s="122"/>
      <c r="L1" s="122"/>
      <c r="M1" s="122"/>
      <c r="N1" s="122"/>
      <c r="O1" s="122"/>
      <c r="P1" s="122"/>
      <c r="Q1" s="122"/>
      <c r="R1" s="122"/>
      <c r="S1" s="24" t="str">
        <f>""</f>
        <v/>
      </c>
      <c r="T1" s="10"/>
    </row>
    <row r="2" spans="1:20" s="29" customFormat="1" ht="15" customHeight="1">
      <c r="A2" s="120"/>
      <c r="B2" s="120"/>
      <c r="C2" s="120"/>
      <c r="D2" s="120"/>
      <c r="E2" s="121" t="str">
        <f>VLOOKUP($A$1,SeedMap[],5,0)</f>
        <v>FormFields</v>
      </c>
      <c r="F2" s="121"/>
      <c r="G2" s="121"/>
      <c r="H2" s="121"/>
      <c r="I2" s="122" t="s">
        <v>172</v>
      </c>
      <c r="J2" s="122"/>
      <c r="K2" s="122"/>
      <c r="L2" s="122"/>
      <c r="M2" s="122"/>
      <c r="N2" s="122"/>
      <c r="O2" s="122"/>
      <c r="P2" s="122"/>
      <c r="Q2" s="122"/>
      <c r="R2" s="122"/>
      <c r="S2" s="24" t="str">
        <f>";"</f>
        <v>;</v>
      </c>
      <c r="T2" s="10"/>
    </row>
    <row r="3" spans="1:20" s="29" customFormat="1" ht="15" customHeight="1">
      <c r="A3" s="120"/>
      <c r="B3" s="120"/>
      <c r="C3" s="120"/>
      <c r="D3" s="120"/>
      <c r="E3" s="121" t="str">
        <f>VLOOKUP($A$1,SeedMap[],6,0)</f>
        <v>[[Primary FD]:[R3]]</v>
      </c>
      <c r="F3" s="121"/>
      <c r="G3" s="121"/>
      <c r="H3" s="121"/>
      <c r="I3" s="122" t="s">
        <v>337</v>
      </c>
      <c r="J3" s="122"/>
      <c r="K3" s="122"/>
      <c r="L3" s="122"/>
      <c r="M3" s="122"/>
      <c r="N3" s="122"/>
      <c r="O3" s="122"/>
      <c r="P3" s="122"/>
      <c r="Q3" s="122"/>
      <c r="R3" s="122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3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form_field</v>
      </c>
      <c r="E5" s="26" t="str">
        <f t="shared" ca="1" si="1"/>
        <v>attribute</v>
      </c>
      <c r="F5" s="26" t="str">
        <f t="shared" ca="1" si="1"/>
        <v>relation</v>
      </c>
      <c r="G5" s="26" t="str">
        <f t="shared" ca="1" si="1"/>
        <v>nest_relation1</v>
      </c>
      <c r="H5" s="26" t="str">
        <f t="shared" ca="1" si="1"/>
        <v>nest_relation2</v>
      </c>
      <c r="I5" s="26" t="str">
        <f t="shared" ca="1" si="1"/>
        <v>nest_relation3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17" t="str">
        <f>$I$1</f>
        <v>$_ = \DB::statement('SELECT @@GLOBAL.foreign_key_checks');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0"/>
      <c r="T6" s="10"/>
    </row>
    <row r="7" spans="1:20">
      <c r="A7" s="25"/>
      <c r="B7" s="118" t="str">
        <f>$I$2</f>
        <v>\DB::statement('set foreign_key_checks = 0');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0">
      <c r="A8" s="25"/>
      <c r="B8" s="119" t="str">
        <f>$E$1</f>
        <v>\Milestone\Appframe\Model\ResourceFormFieldData::truncate()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'1', </v>
      </c>
      <c r="E9" s="82" t="str">
        <f t="shared" ca="1" si="2"/>
        <v xml:space="preserve">'attribute' =&gt; 'name', </v>
      </c>
      <c r="F9" s="82" t="str">
        <f t="shared" ca="1" si="2"/>
        <v/>
      </c>
      <c r="G9" s="82" t="str">
        <f t="shared" ca="1" si="2"/>
        <v/>
      </c>
      <c r="H9" s="82" t="str">
        <f t="shared" ca="1" si="2"/>
        <v/>
      </c>
      <c r="I9" s="82" t="str">
        <f t="shared" ca="1" si="2"/>
        <v/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82" t="str">
        <f t="shared" ca="1" si="2"/>
        <v xml:space="preserve">'form_field' =&gt; '2', </v>
      </c>
      <c r="E10" s="82" t="str">
        <f t="shared" ca="1" si="2"/>
        <v xml:space="preserve">'attribute' =&gt; 'group', </v>
      </c>
      <c r="F10" s="82" t="str">
        <f t="shared" ca="1" si="2"/>
        <v xml:space="preserve">'relation' =&gt; '1', </v>
      </c>
      <c r="G10" s="82" t="str">
        <f t="shared" ca="1" si="2"/>
        <v/>
      </c>
      <c r="H10" s="82" t="str">
        <f t="shared" ca="1" si="2"/>
        <v/>
      </c>
      <c r="I10" s="82" t="str">
        <f t="shared" ca="1" si="2"/>
        <v/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82" t="str">
        <f t="shared" ca="1" si="4"/>
        <v xml:space="preserve">'id' =&gt; '3', </v>
      </c>
      <c r="D11" s="82" t="str">
        <f t="shared" ca="1" si="2"/>
        <v xml:space="preserve">'form_field' =&gt; '3', </v>
      </c>
      <c r="E11" s="82" t="str">
        <f t="shared" ca="1" si="2"/>
        <v xml:space="preserve">'attribute' =&gt; 'email', </v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82" t="str">
        <f t="shared" ca="1" si="4"/>
        <v xml:space="preserve">'id' =&gt; '4', </v>
      </c>
      <c r="D12" s="82" t="str">
        <f t="shared" ca="1" si="2"/>
        <v xml:space="preserve">'form_field' =&gt; '4', </v>
      </c>
      <c r="E12" s="82" t="str">
        <f t="shared" ca="1" si="2"/>
        <v xml:space="preserve">'attribute' =&gt; 'password', </v>
      </c>
      <c r="F12" s="82" t="str">
        <f t="shared" ca="1" si="2"/>
        <v/>
      </c>
      <c r="G12" s="82" t="str">
        <f t="shared" ca="1" si="2"/>
        <v/>
      </c>
      <c r="H12" s="82" t="str">
        <f t="shared" ca="1" si="2"/>
        <v/>
      </c>
      <c r="I12" s="82" t="str">
        <f t="shared" ca="1" si="2"/>
        <v/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82" t="str">
        <f t="shared" ca="1" si="4"/>
        <v xml:space="preserve">'id' =&gt; '5', </v>
      </c>
      <c r="D13" s="82" t="str">
        <f t="shared" ca="1" si="2"/>
        <v xml:space="preserve">'form_field' =&gt; '5', </v>
      </c>
      <c r="E13" s="82" t="str">
        <f t="shared" ca="1" si="2"/>
        <v xml:space="preserve">'attribute' =&gt; 'name', </v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82" t="str">
        <f t="shared" ca="1" si="4"/>
        <v xml:space="preserve">'id' =&gt; '6', </v>
      </c>
      <c r="D14" s="82" t="str">
        <f t="shared" ca="1" si="2"/>
        <v xml:space="preserve">'form_field' =&gt; '6', </v>
      </c>
      <c r="E14" s="82" t="str">
        <f t="shared" ca="1" si="2"/>
        <v xml:space="preserve">'attribute' =&gt; 'email', </v>
      </c>
      <c r="F14" s="82" t="str">
        <f t="shared" ca="1" si="2"/>
        <v/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/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82" t="str">
        <f t="shared" ca="1" si="4"/>
        <v xml:space="preserve">'id' =&gt; '7', </v>
      </c>
      <c r="D15" s="82" t="str">
        <f t="shared" ca="1" si="2"/>
        <v xml:space="preserve">'form_field' =&gt; '7', </v>
      </c>
      <c r="E15" s="82" t="str">
        <f t="shared" ca="1" si="2"/>
        <v xml:space="preserve">'attribute' =&gt; 'group', </v>
      </c>
      <c r="F15" s="82" t="str">
        <f t="shared" ca="1" si="2"/>
        <v xml:space="preserve">'relation' =&gt; '1', </v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/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82" t="str">
        <f t="shared" ca="1" si="4"/>
        <v xml:space="preserve">'id' =&gt; '8', </v>
      </c>
      <c r="D16" s="82" t="str">
        <f t="shared" ca="1" si="2"/>
        <v xml:space="preserve">'form_field' =&gt; '8', </v>
      </c>
      <c r="E16" s="82" t="str">
        <f t="shared" ca="1" si="2"/>
        <v xml:space="preserve">'attribute' =&gt; 'password', </v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82" t="str">
        <f t="shared" ca="1" si="4"/>
        <v xml:space="preserve">'id' =&gt; '9', </v>
      </c>
      <c r="D17" s="82" t="str">
        <f t="shared" ca="1" si="2"/>
        <v xml:space="preserve">'form_field' =&gt; '9', </v>
      </c>
      <c r="E17" s="82" t="str">
        <f t="shared" ca="1" si="2"/>
        <v xml:space="preserve">'attribute' =&gt; 'name', </v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82" t="str">
        <f t="shared" ca="1" si="4"/>
        <v xml:space="preserve">'id' =&gt; '10', </v>
      </c>
      <c r="D18" s="82" t="str">
        <f t="shared" ca="1" si="2"/>
        <v xml:space="preserve">'form_field' =&gt; '10', </v>
      </c>
      <c r="E18" s="82" t="str">
        <f t="shared" ca="1" si="2"/>
        <v xml:space="preserve">'attribute' =&gt; 'title', </v>
      </c>
      <c r="F18" s="82" t="str">
        <f t="shared" ca="1" si="2"/>
        <v/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82" t="str">
        <f t="shared" ca="1" si="4"/>
        <v xml:space="preserve">'id' =&gt; '11', </v>
      </c>
      <c r="D19" s="82" t="str">
        <f t="shared" ca="1" si="2"/>
        <v xml:space="preserve">'form_field' =&gt; '11', </v>
      </c>
      <c r="E19" s="82" t="str">
        <f t="shared" ca="1" si="2"/>
        <v xml:space="preserve">'attribute' =&gt; 'description', </v>
      </c>
      <c r="F19" s="82" t="str">
        <f t="shared" ca="1" si="2"/>
        <v/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82" t="str">
        <f t="shared" ca="1" si="4"/>
        <v xml:space="preserve">'id' =&gt; '12', </v>
      </c>
      <c r="D20" s="82" t="str">
        <f t="shared" ca="1" si="2"/>
        <v xml:space="preserve">'form_field' =&gt; '12', </v>
      </c>
      <c r="E20" s="82" t="str">
        <f t="shared" ca="1" si="2"/>
        <v xml:space="preserve">'attribute' =&gt; 'namespace', </v>
      </c>
      <c r="F20" s="82" t="str">
        <f t="shared" ca="1" si="2"/>
        <v/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82" t="str">
        <f t="shared" ca="1" si="4"/>
        <v xml:space="preserve">'id' =&gt; '13', </v>
      </c>
      <c r="D21" s="82" t="str">
        <f t="shared" ca="1" si="2"/>
        <v xml:space="preserve">'form_field' =&gt; '13', </v>
      </c>
      <c r="E21" s="82" t="str">
        <f t="shared" ca="1" si="2"/>
        <v xml:space="preserve">'attribute' =&gt; 'table', </v>
      </c>
      <c r="F21" s="82" t="str">
        <f t="shared" ca="1" si="2"/>
        <v/>
      </c>
      <c r="G21" s="82" t="str">
        <f t="shared" ca="1" si="2"/>
        <v/>
      </c>
      <c r="H21" s="82" t="str">
        <f t="shared" ca="1" si="2"/>
        <v/>
      </c>
      <c r="I21" s="82" t="str">
        <f t="shared" ca="1" si="2"/>
        <v/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82" t="str">
        <f t="shared" ca="1" si="4"/>
        <v xml:space="preserve">'id' =&gt; '14', </v>
      </c>
      <c r="D22" s="82" t="str">
        <f t="shared" ca="1" si="2"/>
        <v xml:space="preserve">'form_field' =&gt; '14', </v>
      </c>
      <c r="E22" s="82" t="str">
        <f t="shared" ca="1" si="2"/>
        <v xml:space="preserve">'attribute' =&gt; 'controller', </v>
      </c>
      <c r="F22" s="82" t="str">
        <f t="shared" ca="1" si="2"/>
        <v/>
      </c>
      <c r="G22" s="82" t="str">
        <f t="shared" ca="1" si="2"/>
        <v/>
      </c>
      <c r="H22" s="82" t="str">
        <f t="shared" ca="1" si="2"/>
        <v/>
      </c>
      <c r="I22" s="82" t="str">
        <f t="shared" ca="1" si="2"/>
        <v/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82" t="str">
        <f t="shared" ca="1" si="4"/>
        <v xml:space="preserve">'id' =&gt; '15', </v>
      </c>
      <c r="D23" s="82" t="str">
        <f t="shared" ca="1" si="2"/>
        <v xml:space="preserve">'form_field' =&gt; '15', </v>
      </c>
      <c r="E23" s="82" t="str">
        <f t="shared" ca="1" si="2"/>
        <v xml:space="preserve">'attribute' =&gt; 'controller_namespace', </v>
      </c>
      <c r="F23" s="82" t="str">
        <f t="shared" ca="1" si="2"/>
        <v/>
      </c>
      <c r="G23" s="82" t="str">
        <f t="shared" ca="1" si="2"/>
        <v/>
      </c>
      <c r="H23" s="82" t="str">
        <f t="shared" ca="1" si="2"/>
        <v/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82" t="str">
        <f t="shared" ca="1" si="4"/>
        <v xml:space="preserve">'id' =&gt; '16', </v>
      </c>
      <c r="D24" s="82" t="str">
        <f t="shared" ca="1" si="2"/>
        <v xml:space="preserve">'form_field' =&gt; '16', </v>
      </c>
      <c r="E24" s="82" t="str">
        <f t="shared" ca="1" si="2"/>
        <v xml:space="preserve">'attribute' =&gt; 'development', </v>
      </c>
      <c r="F24" s="82" t="str">
        <f t="shared" ca="1" si="2"/>
        <v/>
      </c>
      <c r="G24" s="82" t="str">
        <f t="shared" ca="1" si="2"/>
        <v/>
      </c>
      <c r="H24" s="82" t="str">
        <f t="shared" ca="1" si="2"/>
        <v/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82" t="str">
        <f t="shared" ca="1" si="4"/>
        <v xml:space="preserve">'id' =&gt; '17', </v>
      </c>
      <c r="D25" s="82" t="str">
        <f t="shared" ca="1" si="4"/>
        <v xml:space="preserve">'form_field' =&gt; '17', </v>
      </c>
      <c r="E25" s="82" t="str">
        <f t="shared" ca="1" si="4"/>
        <v xml:space="preserve">'attribute' =&gt; 'resource', </v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82" t="str">
        <f t="shared" ca="1" si="4"/>
        <v xml:space="preserve">'id' =&gt; '18', </v>
      </c>
      <c r="D26" s="82" t="str">
        <f t="shared" ca="1" si="4"/>
        <v xml:space="preserve">'form_field' =&gt; '18', </v>
      </c>
      <c r="E26" s="82" t="str">
        <f t="shared" ca="1" si="4"/>
        <v xml:space="preserve">'attribute' =&gt; 'name', </v>
      </c>
      <c r="F26" s="82" t="str">
        <f t="shared" ca="1" si="4"/>
        <v/>
      </c>
      <c r="G26" s="82" t="str">
        <f t="shared" ca="1" si="4"/>
        <v/>
      </c>
      <c r="H26" s="82" t="str">
        <f t="shared" ca="1" si="4"/>
        <v/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82" t="str">
        <f t="shared" ca="1" si="4"/>
        <v xml:space="preserve">'id' =&gt; '19', </v>
      </c>
      <c r="D27" s="82" t="str">
        <f t="shared" ca="1" si="4"/>
        <v xml:space="preserve">'form_field' =&gt; '19', </v>
      </c>
      <c r="E27" s="82" t="str">
        <f t="shared" ca="1" si="4"/>
        <v xml:space="preserve">'attribute' =&gt; 'menu', </v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82" t="str">
        <f t="shared" ca="1" si="4"/>
        <v xml:space="preserve">'id' =&gt; '20', </v>
      </c>
      <c r="D28" s="82" t="str">
        <f t="shared" ca="1" si="4"/>
        <v xml:space="preserve">'form_field' =&gt; '20', </v>
      </c>
      <c r="E28" s="82" t="str">
        <f t="shared" ca="1" si="4"/>
        <v xml:space="preserve">'attribute' =&gt; 'title', </v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>])</v>
      </c>
    </row>
    <row r="29" spans="1:18">
      <c r="A29" s="22">
        <v>21</v>
      </c>
      <c r="B29" s="23" t="str">
        <f t="shared" ca="1" si="3"/>
        <v>-&gt;create([</v>
      </c>
      <c r="C29" s="82" t="str">
        <f t="shared" ca="1" si="4"/>
        <v xml:space="preserve">'id' =&gt; '21', </v>
      </c>
      <c r="D29" s="82" t="str">
        <f t="shared" ca="1" si="4"/>
        <v xml:space="preserve">'form_field' =&gt; '21', </v>
      </c>
      <c r="E29" s="82" t="str">
        <f t="shared" ca="1" si="4"/>
        <v xml:space="preserve">'attribute' =&gt; 'description', </v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>])</v>
      </c>
    </row>
    <row r="30" spans="1:18">
      <c r="A30" s="22">
        <v>22</v>
      </c>
      <c r="B30" s="23" t="str">
        <f t="shared" ca="1" si="3"/>
        <v>-&gt;create([</v>
      </c>
      <c r="C30" s="82" t="str">
        <f t="shared" ca="1" si="4"/>
        <v xml:space="preserve">'id' =&gt; '22', </v>
      </c>
      <c r="D30" s="82" t="str">
        <f t="shared" ca="1" si="4"/>
        <v xml:space="preserve">'form_field' =&gt; '22', </v>
      </c>
      <c r="E30" s="82" t="str">
        <f t="shared" ca="1" si="4"/>
        <v xml:space="preserve">'attribute' =&gt; 'type', </v>
      </c>
      <c r="F30" s="82" t="str">
        <f t="shared" ca="1" si="4"/>
        <v xml:space="preserve">'relation' =&gt; '8', </v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>])</v>
      </c>
    </row>
    <row r="31" spans="1:18">
      <c r="A31" s="22">
        <v>23</v>
      </c>
      <c r="B31" s="23" t="str">
        <f t="shared" ca="1" si="3"/>
        <v>-&gt;create([</v>
      </c>
      <c r="C31" s="82" t="str">
        <f t="shared" ca="1" si="4"/>
        <v xml:space="preserve">'id' =&gt; '23', </v>
      </c>
      <c r="D31" s="82" t="str">
        <f t="shared" ca="1" si="4"/>
        <v xml:space="preserve">'form_field' =&gt; '23', </v>
      </c>
      <c r="E31" s="82" t="str">
        <f t="shared" ca="1" si="4"/>
        <v xml:space="preserve">'attribute' =&gt; 'idn1', </v>
      </c>
      <c r="F31" s="82" t="str">
        <f t="shared" ca="1" si="4"/>
        <v xml:space="preserve">'relation' =&gt; '8', </v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>])</v>
      </c>
    </row>
    <row r="32" spans="1:18">
      <c r="A32" s="22">
        <v>24</v>
      </c>
      <c r="B32" s="23" t="str">
        <f t="shared" ca="1" si="3"/>
        <v>-&gt;create([</v>
      </c>
      <c r="C32" s="82" t="str">
        <f t="shared" ca="1" si="4"/>
        <v xml:space="preserve">'id' =&gt; '24', </v>
      </c>
      <c r="D32" s="82" t="str">
        <f t="shared" ca="1" si="4"/>
        <v xml:space="preserve">'form_field' =&gt; '24', </v>
      </c>
      <c r="E32" s="82" t="str">
        <f t="shared" ca="1" si="4"/>
        <v xml:space="preserve">'attribute' =&gt; 'idn2', </v>
      </c>
      <c r="F32" s="82" t="str">
        <f t="shared" ca="1" si="4"/>
        <v xml:space="preserve">'relation' =&gt; '8', </v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>])</v>
      </c>
    </row>
    <row r="33" spans="1:18">
      <c r="A33" s="22">
        <v>25</v>
      </c>
      <c r="B33" s="23" t="str">
        <f t="shared" ca="1" si="3"/>
        <v>-&gt;create([</v>
      </c>
      <c r="C33" s="82" t="str">
        <f t="shared" ca="1" si="4"/>
        <v xml:space="preserve">'id' =&gt; '25', </v>
      </c>
      <c r="D33" s="82" t="str">
        <f t="shared" ca="1" si="4"/>
        <v xml:space="preserve">'form_field' =&gt; '25', </v>
      </c>
      <c r="E33" s="82" t="str">
        <f t="shared" ca="1" si="4"/>
        <v xml:space="preserve">'attribute' =&gt; 'resource', </v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>])</v>
      </c>
    </row>
    <row r="34" spans="1:18">
      <c r="A34" s="22">
        <v>26</v>
      </c>
      <c r="B34" s="23" t="str">
        <f t="shared" ca="1" si="3"/>
        <v>-&gt;create([</v>
      </c>
      <c r="C34" s="82" t="str">
        <f t="shared" ca="1" si="4"/>
        <v xml:space="preserve">'id' =&gt; '26', </v>
      </c>
      <c r="D34" s="82" t="str">
        <f t="shared" ca="1" si="4"/>
        <v xml:space="preserve">'form_field' =&gt; '26', </v>
      </c>
      <c r="E34" s="82" t="str">
        <f t="shared" ca="1" si="4"/>
        <v xml:space="preserve">'attribute' =&gt; 'name', </v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>])</v>
      </c>
    </row>
    <row r="35" spans="1:18">
      <c r="A35" s="22">
        <v>27</v>
      </c>
      <c r="B35" s="23" t="str">
        <f t="shared" ca="1" si="3"/>
        <v>-&gt;create([</v>
      </c>
      <c r="C35" s="82" t="str">
        <f t="shared" ca="1" si="4"/>
        <v xml:space="preserve">'id' =&gt; '27', </v>
      </c>
      <c r="D35" s="82" t="str">
        <f t="shared" ca="1" si="4"/>
        <v xml:space="preserve">'form_field' =&gt; '27', </v>
      </c>
      <c r="E35" s="82" t="str">
        <f t="shared" ca="1" si="4"/>
        <v xml:space="preserve">'attribute' =&gt; 'menu', </v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>])</v>
      </c>
    </row>
    <row r="36" spans="1:18">
      <c r="A36" s="22">
        <v>28</v>
      </c>
      <c r="B36" s="23" t="str">
        <f t="shared" ca="1" si="3"/>
        <v>-&gt;create([</v>
      </c>
      <c r="C36" s="82" t="str">
        <f t="shared" ca="1" si="4"/>
        <v xml:space="preserve">'id' =&gt; '28', </v>
      </c>
      <c r="D36" s="82" t="str">
        <f t="shared" ca="1" si="4"/>
        <v xml:space="preserve">'form_field' =&gt; '28', </v>
      </c>
      <c r="E36" s="82" t="str">
        <f t="shared" ca="1" si="4"/>
        <v xml:space="preserve">'attribute' =&gt; 'title', </v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>])</v>
      </c>
    </row>
    <row r="37" spans="1:18">
      <c r="A37" s="22">
        <v>29</v>
      </c>
      <c r="B37" s="23" t="str">
        <f t="shared" ca="1" si="3"/>
        <v>-&gt;create([</v>
      </c>
      <c r="C37" s="82" t="str">
        <f t="shared" ca="1" si="4"/>
        <v xml:space="preserve">'id' =&gt; '29', </v>
      </c>
      <c r="D37" s="82" t="str">
        <f t="shared" ca="1" si="4"/>
        <v xml:space="preserve">'form_field' =&gt; '29', </v>
      </c>
      <c r="E37" s="82" t="str">
        <f t="shared" ca="1" si="4"/>
        <v xml:space="preserve">'attribute' =&gt; 'description', </v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>])</v>
      </c>
    </row>
    <row r="38" spans="1:18">
      <c r="A38" s="22">
        <v>30</v>
      </c>
      <c r="B38" s="23" t="str">
        <f t="shared" ca="1" si="3"/>
        <v>-&gt;create([</v>
      </c>
      <c r="C38" s="82" t="str">
        <f t="shared" ca="1" si="4"/>
        <v xml:space="preserve">'id' =&gt; '30', </v>
      </c>
      <c r="D38" s="82" t="str">
        <f t="shared" ca="1" si="4"/>
        <v xml:space="preserve">'form_field' =&gt; '30', </v>
      </c>
      <c r="E38" s="82" t="str">
        <f t="shared" ca="1" si="4"/>
        <v xml:space="preserve">'attribute' =&gt; 'type', </v>
      </c>
      <c r="F38" s="82" t="str">
        <f t="shared" ca="1" si="4"/>
        <v xml:space="preserve">'relation' =&gt; '8', </v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>])</v>
      </c>
    </row>
    <row r="39" spans="1:18">
      <c r="A39" s="22">
        <v>31</v>
      </c>
      <c r="B39" s="23" t="str">
        <f t="shared" ca="1" si="3"/>
        <v>-&gt;create([</v>
      </c>
      <c r="C39" s="82" t="str">
        <f t="shared" ca="1" si="4"/>
        <v xml:space="preserve">'id' =&gt; '31', </v>
      </c>
      <c r="D39" s="82" t="str">
        <f t="shared" ca="1" si="4"/>
        <v xml:space="preserve">'form_field' =&gt; '31', </v>
      </c>
      <c r="E39" s="82" t="str">
        <f t="shared" ca="1" si="4"/>
        <v xml:space="preserve">'attribute' =&gt; 'idn1', </v>
      </c>
      <c r="F39" s="82" t="str">
        <f t="shared" ca="1" si="4"/>
        <v xml:space="preserve">'relation' =&gt; '8', </v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>])</v>
      </c>
    </row>
    <row r="40" spans="1:18">
      <c r="A40" s="22">
        <v>32</v>
      </c>
      <c r="B40" s="23" t="str">
        <f t="shared" ca="1" si="3"/>
        <v>-&gt;create([</v>
      </c>
      <c r="C40" s="82" t="str">
        <f t="shared" ca="1" si="4"/>
        <v xml:space="preserve">'id' =&gt; '32', </v>
      </c>
      <c r="D40" s="82" t="str">
        <f t="shared" ca="1" si="4"/>
        <v xml:space="preserve">'form_field' =&gt; '32', </v>
      </c>
      <c r="E40" s="82" t="str">
        <f t="shared" ca="1" si="4"/>
        <v xml:space="preserve">'attribute' =&gt; 'idn2', </v>
      </c>
      <c r="F40" s="82" t="str">
        <f t="shared" ca="1" si="4"/>
        <v xml:space="preserve">'relation' =&gt; '8', </v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>])</v>
      </c>
    </row>
    <row r="41" spans="1:18">
      <c r="A41" s="22">
        <v>33</v>
      </c>
      <c r="B41" s="23" t="str">
        <f t="shared" ca="1" si="3"/>
        <v>-&gt;create([</v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'33', </v>
      </c>
      <c r="D41" s="82" t="str">
        <f t="shared" ca="1" si="6"/>
        <v xml:space="preserve">'form_field' =&gt; '33', </v>
      </c>
      <c r="E41" s="82" t="str">
        <f t="shared" ca="1" si="6"/>
        <v xml:space="preserve">'attribute' =&gt; 'resource', </v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>])</v>
      </c>
    </row>
    <row r="42" spans="1:18">
      <c r="A42" s="22">
        <v>34</v>
      </c>
      <c r="B42" s="23" t="str">
        <f t="shared" ca="1" si="3"/>
        <v>-&gt;create([</v>
      </c>
      <c r="C42" s="82" t="str">
        <f t="shared" ca="1" si="6"/>
        <v xml:space="preserve">'id' =&gt; '34', </v>
      </c>
      <c r="D42" s="82" t="str">
        <f t="shared" ca="1" si="6"/>
        <v xml:space="preserve">'form_field' =&gt; '34', </v>
      </c>
      <c r="E42" s="82" t="str">
        <f t="shared" ca="1" si="6"/>
        <v xml:space="preserve">'attribute' =&gt; 'name', </v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>])</v>
      </c>
    </row>
    <row r="43" spans="1:18">
      <c r="A43" s="22">
        <v>35</v>
      </c>
      <c r="B43" s="23" t="str">
        <f t="shared" ca="1" si="3"/>
        <v>-&gt;create([</v>
      </c>
      <c r="C43" s="82" t="str">
        <f t="shared" ca="1" si="6"/>
        <v xml:space="preserve">'id' =&gt; '35', </v>
      </c>
      <c r="D43" s="82" t="str">
        <f t="shared" ca="1" si="6"/>
        <v xml:space="preserve">'form_field' =&gt; '35', </v>
      </c>
      <c r="E43" s="82" t="str">
        <f t="shared" ca="1" si="6"/>
        <v xml:space="preserve">'attribute' =&gt; 'title', </v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>])</v>
      </c>
    </row>
    <row r="44" spans="1:18">
      <c r="A44" s="22">
        <v>36</v>
      </c>
      <c r="B44" s="23" t="str">
        <f t="shared" ca="1" si="3"/>
        <v>-&gt;create([</v>
      </c>
      <c r="C44" s="82" t="str">
        <f t="shared" ca="1" si="6"/>
        <v xml:space="preserve">'id' =&gt; '36', </v>
      </c>
      <c r="D44" s="82" t="str">
        <f t="shared" ca="1" si="6"/>
        <v xml:space="preserve">'form_field' =&gt; '36', </v>
      </c>
      <c r="E44" s="82" t="str">
        <f t="shared" ca="1" si="6"/>
        <v xml:space="preserve">'attribute' =&gt; 'action_text', </v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>])</v>
      </c>
    </row>
    <row r="45" spans="1:18">
      <c r="A45" s="22">
        <v>37</v>
      </c>
      <c r="B45" s="23" t="str">
        <f t="shared" ca="1" si="3"/>
        <v>-&gt;create([</v>
      </c>
      <c r="C45" s="82" t="str">
        <f t="shared" ca="1" si="6"/>
        <v xml:space="preserve">'id' =&gt; '37', </v>
      </c>
      <c r="D45" s="82" t="str">
        <f t="shared" ca="1" si="6"/>
        <v xml:space="preserve">'form_field' =&gt; '37', </v>
      </c>
      <c r="E45" s="82" t="str">
        <f t="shared" ca="1" si="6"/>
        <v xml:space="preserve">'attribute' =&gt; 'description', </v>
      </c>
      <c r="F45" s="82" t="str">
        <f t="shared" ca="1" si="6"/>
        <v/>
      </c>
      <c r="G45" s="82" t="str">
        <f t="shared" ca="1" si="6"/>
        <v/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>])</v>
      </c>
    </row>
    <row r="46" spans="1:18">
      <c r="A46" s="22">
        <v>38</v>
      </c>
      <c r="B46" s="23" t="str">
        <f t="shared" ca="1" si="3"/>
        <v>-&gt;create([</v>
      </c>
      <c r="C46" s="82" t="str">
        <f t="shared" ca="1" si="6"/>
        <v xml:space="preserve">'id' =&gt; '38', </v>
      </c>
      <c r="D46" s="82" t="str">
        <f t="shared" ca="1" si="6"/>
        <v xml:space="preserve">'form_field' =&gt; '38', </v>
      </c>
      <c r="E46" s="82" t="str">
        <f t="shared" ca="1" si="6"/>
        <v xml:space="preserve">'attribute' =&gt; 'resource', </v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>])</v>
      </c>
    </row>
    <row r="47" spans="1:18">
      <c r="A47" s="22">
        <v>39</v>
      </c>
      <c r="B47" s="23" t="str">
        <f t="shared" ca="1" si="3"/>
        <v>-&gt;create([</v>
      </c>
      <c r="C47" s="82" t="str">
        <f t="shared" ca="1" si="6"/>
        <v xml:space="preserve">'id' =&gt; '39', </v>
      </c>
      <c r="D47" s="82" t="str">
        <f t="shared" ca="1" si="6"/>
        <v xml:space="preserve">'form_field' =&gt; '39', </v>
      </c>
      <c r="E47" s="82" t="str">
        <f t="shared" ca="1" si="6"/>
        <v xml:space="preserve">'attribute' =&gt; 'name', </v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>])</v>
      </c>
    </row>
    <row r="48" spans="1:18">
      <c r="A48" s="22">
        <v>40</v>
      </c>
      <c r="B48" s="23" t="str">
        <f t="shared" ca="1" si="3"/>
        <v>-&gt;create([</v>
      </c>
      <c r="C48" s="82" t="str">
        <f t="shared" ca="1" si="6"/>
        <v xml:space="preserve">'id' =&gt; '40', </v>
      </c>
      <c r="D48" s="82" t="str">
        <f t="shared" ca="1" si="6"/>
        <v xml:space="preserve">'form_field' =&gt; '40', </v>
      </c>
      <c r="E48" s="82" t="str">
        <f t="shared" ca="1" si="6"/>
        <v xml:space="preserve">'attribute' =&gt; 'title', </v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>])</v>
      </c>
    </row>
    <row r="49" spans="1:18">
      <c r="A49" s="22">
        <v>41</v>
      </c>
      <c r="B49" s="23" t="str">
        <f t="shared" ca="1" si="3"/>
        <v>-&gt;create([</v>
      </c>
      <c r="C49" s="82" t="str">
        <f t="shared" ca="1" si="6"/>
        <v xml:space="preserve">'id' =&gt; '41', </v>
      </c>
      <c r="D49" s="82" t="str">
        <f t="shared" ca="1" si="6"/>
        <v xml:space="preserve">'form_field' =&gt; '41', </v>
      </c>
      <c r="E49" s="82" t="str">
        <f t="shared" ca="1" si="6"/>
        <v xml:space="preserve">'attribute' =&gt; 'action_text', </v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>])</v>
      </c>
    </row>
    <row r="50" spans="1:18">
      <c r="A50" s="22">
        <v>42</v>
      </c>
      <c r="B50" s="23" t="str">
        <f t="shared" ca="1" si="3"/>
        <v>-&gt;create([</v>
      </c>
      <c r="C50" s="82" t="str">
        <f t="shared" ca="1" si="6"/>
        <v xml:space="preserve">'id' =&gt; '42', </v>
      </c>
      <c r="D50" s="82" t="str">
        <f t="shared" ca="1" si="6"/>
        <v xml:space="preserve">'form_field' =&gt; '42', </v>
      </c>
      <c r="E50" s="82" t="str">
        <f t="shared" ca="1" si="6"/>
        <v xml:space="preserve">'attribute' =&gt; 'description', </v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>])</v>
      </c>
    </row>
    <row r="51" spans="1:18">
      <c r="A51" s="22">
        <v>43</v>
      </c>
      <c r="B51" s="23" t="str">
        <f t="shared" ca="1" si="3"/>
        <v>-&gt;create([</v>
      </c>
      <c r="C51" s="82" t="str">
        <f t="shared" ca="1" si="6"/>
        <v xml:space="preserve">'id' =&gt; '43', </v>
      </c>
      <c r="D51" s="82" t="str">
        <f t="shared" ca="1" si="6"/>
        <v xml:space="preserve">'form_field' =&gt; '43', </v>
      </c>
      <c r="E51" s="82" t="str">
        <f t="shared" ca="1" si="6"/>
        <v xml:space="preserve">'attribute' =&gt; 'resource_form', </v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>])</v>
      </c>
    </row>
    <row r="52" spans="1:18">
      <c r="A52" s="22">
        <v>44</v>
      </c>
      <c r="B52" s="23" t="str">
        <f t="shared" ca="1" si="3"/>
        <v>-&gt;create([</v>
      </c>
      <c r="C52" s="82" t="str">
        <f t="shared" ca="1" si="6"/>
        <v xml:space="preserve">'id' =&gt; '44', </v>
      </c>
      <c r="D52" s="82" t="str">
        <f t="shared" ca="1" si="6"/>
        <v xml:space="preserve">'form_field' =&gt; '44', </v>
      </c>
      <c r="E52" s="82" t="str">
        <f t="shared" ca="1" si="6"/>
        <v xml:space="preserve">'attribute' =&gt; 'name', </v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>])</v>
      </c>
    </row>
    <row r="53" spans="1:18">
      <c r="A53" s="22">
        <v>45</v>
      </c>
      <c r="B53" s="23" t="str">
        <f t="shared" ca="1" si="3"/>
        <v>-&gt;create([</v>
      </c>
      <c r="C53" s="82" t="str">
        <f t="shared" ca="1" si="6"/>
        <v xml:space="preserve">'id' =&gt; '45', </v>
      </c>
      <c r="D53" s="82" t="str">
        <f t="shared" ca="1" si="6"/>
        <v xml:space="preserve">'form_field' =&gt; '45', </v>
      </c>
      <c r="E53" s="82" t="str">
        <f t="shared" ca="1" si="6"/>
        <v xml:space="preserve">'attribute' =&gt; 'type', </v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>])</v>
      </c>
    </row>
    <row r="54" spans="1:18">
      <c r="A54" s="22">
        <v>46</v>
      </c>
      <c r="B54" s="23" t="str">
        <f t="shared" ca="1" si="3"/>
        <v>-&gt;create([</v>
      </c>
      <c r="C54" s="82" t="str">
        <f t="shared" ca="1" si="6"/>
        <v xml:space="preserve">'id' =&gt; '46', </v>
      </c>
      <c r="D54" s="82" t="str">
        <f t="shared" ca="1" si="6"/>
        <v xml:space="preserve">'form_field' =&gt; '46', </v>
      </c>
      <c r="E54" s="82" t="str">
        <f t="shared" ca="1" si="6"/>
        <v xml:space="preserve">'attribute' =&gt; 'label', </v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>])</v>
      </c>
    </row>
    <row r="55" spans="1:18">
      <c r="A55" s="22">
        <v>47</v>
      </c>
      <c r="B55" s="23" t="str">
        <f t="shared" ca="1" si="3"/>
        <v>-&gt;create([</v>
      </c>
      <c r="C55" s="82" t="str">
        <f t="shared" ca="1" si="6"/>
        <v xml:space="preserve">'id' =&gt; '47', </v>
      </c>
      <c r="D55" s="82" t="str">
        <f t="shared" ca="1" si="6"/>
        <v xml:space="preserve">'form_field' =&gt; '47', </v>
      </c>
      <c r="E55" s="82" t="str">
        <f t="shared" ca="1" si="6"/>
        <v xml:space="preserve">'attribute' =&gt; 'relation', </v>
      </c>
      <c r="F55" s="82" t="str">
        <f t="shared" ca="1" si="6"/>
        <v xml:space="preserve">'relation' =&gt; '21', </v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>])</v>
      </c>
    </row>
    <row r="56" spans="1:18">
      <c r="A56" s="22">
        <v>48</v>
      </c>
      <c r="B56" s="23" t="str">
        <f t="shared" ca="1" si="3"/>
        <v>-&gt;create([</v>
      </c>
      <c r="C56" s="82" t="str">
        <f t="shared" ca="1" si="6"/>
        <v xml:space="preserve">'id' =&gt; '48', </v>
      </c>
      <c r="D56" s="82" t="str">
        <f t="shared" ca="1" si="6"/>
        <v xml:space="preserve">'form_field' =&gt; '48', </v>
      </c>
      <c r="E56" s="82" t="str">
        <f t="shared" ca="1" si="6"/>
        <v xml:space="preserve">'attribute' =&gt; 'attribute', </v>
      </c>
      <c r="F56" s="82" t="str">
        <f t="shared" ca="1" si="6"/>
        <v xml:space="preserve">'relation' =&gt; '21', </v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>])</v>
      </c>
    </row>
    <row r="57" spans="1:18">
      <c r="A57" s="22">
        <v>49</v>
      </c>
      <c r="B57" s="23" t="str">
        <f t="shared" ca="1" si="3"/>
        <v>-&gt;create([</v>
      </c>
      <c r="C57" s="82" t="str">
        <f t="shared" ca="1" si="6"/>
        <v xml:space="preserve">'id' =&gt; '49', </v>
      </c>
      <c r="D57" s="82" t="str">
        <f t="shared" ca="1" si="6"/>
        <v xml:space="preserve">'form_field' =&gt; '49', </v>
      </c>
      <c r="E57" s="82" t="str">
        <f t="shared" ca="1" si="6"/>
        <v xml:space="preserve">'attribute' =&gt; 'resource', </v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>])</v>
      </c>
    </row>
    <row r="58" spans="1:18">
      <c r="A58" s="22">
        <v>50</v>
      </c>
      <c r="B58" s="23" t="str">
        <f t="shared" ca="1" si="3"/>
        <v>-&gt;create([</v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'50', </v>
      </c>
      <c r="D58" s="82" t="str">
        <f t="shared" ca="1" si="7"/>
        <v xml:space="preserve">'form_field' =&gt; '50', </v>
      </c>
      <c r="E58" s="82" t="str">
        <f t="shared" ca="1" si="7"/>
        <v xml:space="preserve">'attribute' =&gt; 'name', </v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>])</v>
      </c>
    </row>
    <row r="59" spans="1:18">
      <c r="A59" s="22">
        <v>51</v>
      </c>
      <c r="B59" s="23" t="str">
        <f t="shared" ca="1" si="3"/>
        <v>-&gt;create([</v>
      </c>
      <c r="C59" s="82" t="str">
        <f t="shared" ca="1" si="7"/>
        <v xml:space="preserve">'id' =&gt; '51', </v>
      </c>
      <c r="D59" s="82" t="str">
        <f t="shared" ca="1" si="7"/>
        <v xml:space="preserve">'form_field' =&gt; '51', </v>
      </c>
      <c r="E59" s="82" t="str">
        <f t="shared" ca="1" si="7"/>
        <v xml:space="preserve">'attribute' =&gt; 'title', </v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>])</v>
      </c>
    </row>
    <row r="60" spans="1:18">
      <c r="A60" s="22">
        <v>52</v>
      </c>
      <c r="B60" s="23" t="str">
        <f t="shared" ca="1" si="3"/>
        <v>-&gt;create([</v>
      </c>
      <c r="C60" s="82" t="str">
        <f t="shared" ca="1" si="7"/>
        <v xml:space="preserve">'id' =&gt; '52', </v>
      </c>
      <c r="D60" s="82" t="str">
        <f t="shared" ca="1" si="7"/>
        <v xml:space="preserve">'form_field' =&gt; '52', </v>
      </c>
      <c r="E60" s="82" t="str">
        <f t="shared" ca="1" si="7"/>
        <v xml:space="preserve">'attribute' =&gt; 'identity', </v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>])</v>
      </c>
    </row>
    <row r="61" spans="1:18">
      <c r="A61" s="22">
        <v>53</v>
      </c>
      <c r="B61" s="23" t="str">
        <f t="shared" ca="1" si="3"/>
        <v>-&gt;create([</v>
      </c>
      <c r="C61" s="82" t="str">
        <f t="shared" ca="1" si="7"/>
        <v xml:space="preserve">'id' =&gt; '53', </v>
      </c>
      <c r="D61" s="82" t="str">
        <f t="shared" ca="1" si="7"/>
        <v xml:space="preserve">'form_field' =&gt; '53', </v>
      </c>
      <c r="E61" s="82" t="str">
        <f t="shared" ca="1" si="7"/>
        <v xml:space="preserve">'attribute' =&gt; 'items_per_page', </v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>])</v>
      </c>
    </row>
    <row r="62" spans="1:18">
      <c r="A62" s="22">
        <v>54</v>
      </c>
      <c r="B62" s="23" t="str">
        <f t="shared" ca="1" si="3"/>
        <v>-&gt;create([</v>
      </c>
      <c r="C62" s="82" t="str">
        <f t="shared" ca="1" si="7"/>
        <v xml:space="preserve">'id' =&gt; '54', </v>
      </c>
      <c r="D62" s="82" t="str">
        <f t="shared" ca="1" si="7"/>
        <v xml:space="preserve">'form_field' =&gt; '54', </v>
      </c>
      <c r="E62" s="82" t="str">
        <f t="shared" ca="1" si="7"/>
        <v xml:space="preserve">'attribute' =&gt; 'description', </v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>])</v>
      </c>
    </row>
    <row r="63" spans="1:18">
      <c r="A63" s="22">
        <v>55</v>
      </c>
      <c r="B63" s="23" t="str">
        <f t="shared" ca="1" si="3"/>
        <v>-&gt;create([</v>
      </c>
      <c r="C63" s="82" t="str">
        <f t="shared" ca="1" si="7"/>
        <v xml:space="preserve">'id' =&gt; '55', </v>
      </c>
      <c r="D63" s="82" t="str">
        <f t="shared" ca="1" si="7"/>
        <v xml:space="preserve">'form_field' =&gt; '55', </v>
      </c>
      <c r="E63" s="82" t="str">
        <f t="shared" ca="1" si="7"/>
        <v xml:space="preserve">'attribute' =&gt; 'resource', </v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>])</v>
      </c>
    </row>
    <row r="64" spans="1:18">
      <c r="A64" s="22">
        <v>56</v>
      </c>
      <c r="B64" s="23" t="str">
        <f t="shared" ca="1" si="3"/>
        <v>-&gt;create([</v>
      </c>
      <c r="C64" s="82" t="str">
        <f t="shared" ca="1" si="7"/>
        <v xml:space="preserve">'id' =&gt; '56', </v>
      </c>
      <c r="D64" s="82" t="str">
        <f t="shared" ca="1" si="7"/>
        <v xml:space="preserve">'form_field' =&gt; '56', </v>
      </c>
      <c r="E64" s="82" t="str">
        <f t="shared" ca="1" si="7"/>
        <v xml:space="preserve">'attribute' =&gt; 'name', </v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>])</v>
      </c>
    </row>
    <row r="65" spans="1:18">
      <c r="A65" s="22">
        <v>57</v>
      </c>
      <c r="B65" s="23" t="str">
        <f t="shared" ca="1" si="3"/>
        <v>-&gt;create([</v>
      </c>
      <c r="C65" s="82" t="str">
        <f t="shared" ca="1" si="7"/>
        <v xml:space="preserve">'id' =&gt; '57', </v>
      </c>
      <c r="D65" s="82" t="str">
        <f t="shared" ca="1" si="7"/>
        <v xml:space="preserve">'form_field' =&gt; '57', </v>
      </c>
      <c r="E65" s="82" t="str">
        <f t="shared" ca="1" si="7"/>
        <v xml:space="preserve">'attribute' =&gt; 'title', </v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>])</v>
      </c>
    </row>
    <row r="66" spans="1:18">
      <c r="A66" s="22">
        <v>58</v>
      </c>
      <c r="B66" s="23" t="str">
        <f t="shared" ca="1" si="3"/>
        <v>-&gt;create([</v>
      </c>
      <c r="C66" s="82" t="str">
        <f t="shared" ca="1" si="7"/>
        <v xml:space="preserve">'id' =&gt; '58', </v>
      </c>
      <c r="D66" s="82" t="str">
        <f t="shared" ca="1" si="7"/>
        <v xml:space="preserve">'form_field' =&gt; '58', </v>
      </c>
      <c r="E66" s="82" t="str">
        <f t="shared" ca="1" si="7"/>
        <v xml:space="preserve">'attribute' =&gt; 'identity', </v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>])</v>
      </c>
    </row>
    <row r="67" spans="1:18">
      <c r="A67" s="22">
        <v>59</v>
      </c>
      <c r="B67" s="23" t="str">
        <f t="shared" ca="1" si="3"/>
        <v>-&gt;create([</v>
      </c>
      <c r="C67" s="82" t="str">
        <f t="shared" ca="1" si="7"/>
        <v xml:space="preserve">'id' =&gt; '59', </v>
      </c>
      <c r="D67" s="82" t="str">
        <f t="shared" ca="1" si="7"/>
        <v xml:space="preserve">'form_field' =&gt; '59', </v>
      </c>
      <c r="E67" s="82" t="str">
        <f t="shared" ca="1" si="7"/>
        <v xml:space="preserve">'attribute' =&gt; 'items_per_page', </v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>])</v>
      </c>
    </row>
    <row r="68" spans="1:18">
      <c r="A68" s="22">
        <v>60</v>
      </c>
      <c r="B68" s="23" t="str">
        <f t="shared" ca="1" si="3"/>
        <v>-&gt;create([</v>
      </c>
      <c r="C68" s="82" t="str">
        <f t="shared" ca="1" si="7"/>
        <v xml:space="preserve">'id' =&gt; '60', </v>
      </c>
      <c r="D68" s="82" t="str">
        <f t="shared" ca="1" si="7"/>
        <v xml:space="preserve">'form_field' =&gt; '60', </v>
      </c>
      <c r="E68" s="82" t="str">
        <f t="shared" ca="1" si="7"/>
        <v xml:space="preserve">'attribute' =&gt; 'description', </v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>])</v>
      </c>
    </row>
    <row r="69" spans="1:18">
      <c r="A69" s="22">
        <v>61</v>
      </c>
      <c r="B69" s="23" t="str">
        <f t="shared" ca="1" si="3"/>
        <v>-&gt;create([</v>
      </c>
      <c r="C69" s="82" t="str">
        <f t="shared" ca="1" si="7"/>
        <v xml:space="preserve">'id' =&gt; '61', </v>
      </c>
      <c r="D69" s="82" t="str">
        <f t="shared" ca="1" si="7"/>
        <v xml:space="preserve">'form_field' =&gt; '61', </v>
      </c>
      <c r="E69" s="82" t="str">
        <f t="shared" ca="1" si="7"/>
        <v xml:space="preserve">'attribute' =&gt; 'resource', </v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>])</v>
      </c>
    </row>
    <row r="70" spans="1:18">
      <c r="A70" s="22">
        <v>62</v>
      </c>
      <c r="B70" s="23" t="str">
        <f t="shared" ca="1" si="3"/>
        <v>-&gt;create([</v>
      </c>
      <c r="C70" s="82" t="str">
        <f t="shared" ca="1" si="7"/>
        <v xml:space="preserve">'id' =&gt; '62', </v>
      </c>
      <c r="D70" s="82" t="str">
        <f t="shared" ca="1" si="7"/>
        <v xml:space="preserve">'form_field' =&gt; '62', </v>
      </c>
      <c r="E70" s="82" t="str">
        <f t="shared" ca="1" si="7"/>
        <v xml:space="preserve">'attribute' =&gt; 'name', </v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>])</v>
      </c>
    </row>
    <row r="71" spans="1:18">
      <c r="A71" s="22">
        <v>63</v>
      </c>
      <c r="B71" s="23" t="str">
        <f t="shared" ca="1" si="3"/>
        <v>-&gt;create([</v>
      </c>
      <c r="C71" s="82" t="str">
        <f t="shared" ca="1" si="7"/>
        <v xml:space="preserve">'id' =&gt; '63', </v>
      </c>
      <c r="D71" s="82" t="str">
        <f t="shared" ca="1" si="7"/>
        <v xml:space="preserve">'form_field' =&gt; '63', </v>
      </c>
      <c r="E71" s="82" t="str">
        <f t="shared" ca="1" si="7"/>
        <v xml:space="preserve">'attribute' =&gt; 'title_field', </v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>])</v>
      </c>
    </row>
    <row r="72" spans="1:18">
      <c r="A72" s="22">
        <v>64</v>
      </c>
      <c r="B72" s="23" t="str">
        <f t="shared" ca="1" si="3"/>
        <v>-&gt;create([</v>
      </c>
      <c r="C72" s="82" t="str">
        <f t="shared" ca="1" si="7"/>
        <v xml:space="preserve">'id' =&gt; '64', </v>
      </c>
      <c r="D72" s="82" t="str">
        <f t="shared" ca="1" si="7"/>
        <v xml:space="preserve">'form_field' =&gt; '64', </v>
      </c>
      <c r="E72" s="82" t="str">
        <f t="shared" ca="1" si="7"/>
        <v xml:space="preserve">'attribute' =&gt; 'description', </v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>])</v>
      </c>
    </row>
    <row r="73" spans="1:18">
      <c r="A73" s="22">
        <v>65</v>
      </c>
      <c r="B73" s="23" t="str">
        <f t="shared" ca="1" si="3"/>
        <v>-&gt;create([</v>
      </c>
      <c r="C73" s="82" t="str">
        <f t="shared" ca="1" si="7"/>
        <v xml:space="preserve">'id' =&gt; '65', </v>
      </c>
      <c r="D73" s="82" t="str">
        <f t="shared" ca="1" si="7"/>
        <v xml:space="preserve">'form_field' =&gt; '65', </v>
      </c>
      <c r="E73" s="82" t="str">
        <f t="shared" ca="1" si="7"/>
        <v xml:space="preserve">'attribute' =&gt; 'resource', </v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>])</v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>-&gt;create([</v>
      </c>
      <c r="C74" s="82" t="str">
        <f t="shared" ca="1" si="7"/>
        <v xml:space="preserve">'id' =&gt; '66', </v>
      </c>
      <c r="D74" s="82" t="str">
        <f t="shared" ca="1" si="7"/>
        <v xml:space="preserve">'form_field' =&gt; '66', </v>
      </c>
      <c r="E74" s="82" t="str">
        <f t="shared" ca="1" si="7"/>
        <v xml:space="preserve">'attribute' =&gt; 'name', </v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>])</v>
      </c>
    </row>
    <row r="75" spans="1:18">
      <c r="A75" s="22">
        <v>67</v>
      </c>
      <c r="B75" s="23" t="str">
        <f t="shared" ca="1" si="8"/>
        <v>-&gt;create([</v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'67', </v>
      </c>
      <c r="D75" s="82" t="str">
        <f t="shared" ca="1" si="10"/>
        <v xml:space="preserve">'form_field' =&gt; '67', </v>
      </c>
      <c r="E75" s="82" t="str">
        <f t="shared" ca="1" si="10"/>
        <v xml:space="preserve">'attribute' =&gt; 'title_field', </v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>])</v>
      </c>
    </row>
    <row r="76" spans="1:18">
      <c r="A76" s="22">
        <v>68</v>
      </c>
      <c r="B76" s="23" t="str">
        <f t="shared" ca="1" si="8"/>
        <v>-&gt;create([</v>
      </c>
      <c r="C76" s="82" t="str">
        <f t="shared" ca="1" si="10"/>
        <v xml:space="preserve">'id' =&gt; '68', </v>
      </c>
      <c r="D76" s="82" t="str">
        <f t="shared" ca="1" si="10"/>
        <v xml:space="preserve">'form_field' =&gt; '68', </v>
      </c>
      <c r="E76" s="82" t="str">
        <f t="shared" ca="1" si="10"/>
        <v xml:space="preserve">'attribute' =&gt; 'description', </v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>])</v>
      </c>
    </row>
    <row r="77" spans="1:18">
      <c r="A77" s="22">
        <v>69</v>
      </c>
      <c r="B77" s="23" t="str">
        <f t="shared" ca="1" si="8"/>
        <v>-&gt;create([</v>
      </c>
      <c r="C77" s="82" t="str">
        <f t="shared" ca="1" si="10"/>
        <v xml:space="preserve">'id' =&gt; '69', </v>
      </c>
      <c r="D77" s="82" t="str">
        <f t="shared" ca="1" si="10"/>
        <v xml:space="preserve">'form_field' =&gt; '69', </v>
      </c>
      <c r="E77" s="82" t="str">
        <f t="shared" ca="1" si="10"/>
        <v xml:space="preserve">'attribute' =&gt; 'name', </v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>])</v>
      </c>
    </row>
    <row r="78" spans="1:18">
      <c r="A78" s="22">
        <v>70</v>
      </c>
      <c r="B78" s="23" t="str">
        <f t="shared" ca="1" si="8"/>
        <v>-&gt;create([</v>
      </c>
      <c r="C78" s="82" t="str">
        <f t="shared" ca="1" si="10"/>
        <v xml:space="preserve">'id' =&gt; '70', </v>
      </c>
      <c r="D78" s="82" t="str">
        <f t="shared" ca="1" si="10"/>
        <v xml:space="preserve">'form_field' =&gt; '70', </v>
      </c>
      <c r="E78" s="82" t="str">
        <f t="shared" ca="1" si="10"/>
        <v xml:space="preserve">'attribute' =&gt; 'title', </v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>])</v>
      </c>
    </row>
    <row r="79" spans="1:18">
      <c r="A79" s="22">
        <v>71</v>
      </c>
      <c r="B79" s="23" t="str">
        <f t="shared" ca="1" si="8"/>
        <v>-&gt;create([</v>
      </c>
      <c r="C79" s="82" t="str">
        <f t="shared" ca="1" si="10"/>
        <v xml:space="preserve">'id' =&gt; '71', </v>
      </c>
      <c r="D79" s="82" t="str">
        <f t="shared" ca="1" si="10"/>
        <v xml:space="preserve">'form_field' =&gt; '71', </v>
      </c>
      <c r="E79" s="82" t="str">
        <f t="shared" ca="1" si="10"/>
        <v xml:space="preserve">'attribute' =&gt; 'description', </v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>])</v>
      </c>
    </row>
    <row r="80" spans="1:18">
      <c r="A80" s="22">
        <v>72</v>
      </c>
      <c r="B80" s="23" t="str">
        <f t="shared" ca="1" si="8"/>
        <v>-&gt;create([</v>
      </c>
      <c r="C80" s="82" t="str">
        <f t="shared" ca="1" si="10"/>
        <v xml:space="preserve">'id' =&gt; '72', </v>
      </c>
      <c r="D80" s="82" t="str">
        <f t="shared" ca="1" si="10"/>
        <v xml:space="preserve">'form_field' =&gt; '72', </v>
      </c>
      <c r="E80" s="82" t="str">
        <f t="shared" ca="1" si="10"/>
        <v xml:space="preserve">'attribute' =&gt; 'name', </v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>])</v>
      </c>
    </row>
    <row r="81" spans="1:18">
      <c r="A81" s="22">
        <v>73</v>
      </c>
      <c r="B81" s="23" t="str">
        <f t="shared" ca="1" si="8"/>
        <v>-&gt;create([</v>
      </c>
      <c r="C81" s="82" t="str">
        <f t="shared" ca="1" si="10"/>
        <v xml:space="preserve">'id' =&gt; '73', </v>
      </c>
      <c r="D81" s="82" t="str">
        <f t="shared" ca="1" si="10"/>
        <v xml:space="preserve">'form_field' =&gt; '73', </v>
      </c>
      <c r="E81" s="82" t="str">
        <f t="shared" ca="1" si="10"/>
        <v xml:space="preserve">'attribute' =&gt; 'title', </v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>])</v>
      </c>
    </row>
    <row r="82" spans="1:18">
      <c r="A82" s="22">
        <v>74</v>
      </c>
      <c r="B82" s="23" t="str">
        <f t="shared" ca="1" si="8"/>
        <v>-&gt;create([</v>
      </c>
      <c r="C82" s="82" t="str">
        <f t="shared" ca="1" si="10"/>
        <v xml:space="preserve">'id' =&gt; '74', </v>
      </c>
      <c r="D82" s="82" t="str">
        <f t="shared" ca="1" si="10"/>
        <v xml:space="preserve">'form_field' =&gt; '74', </v>
      </c>
      <c r="E82" s="82" t="str">
        <f t="shared" ca="1" si="10"/>
        <v xml:space="preserve">'attribute' =&gt; 'description', </v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>])</v>
      </c>
    </row>
    <row r="83" spans="1:18">
      <c r="A83" s="22">
        <v>75</v>
      </c>
      <c r="B83" s="23" t="str">
        <f t="shared" ca="1" si="8"/>
        <v>-&gt;create([</v>
      </c>
      <c r="C83" s="82" t="str">
        <f t="shared" ca="1" si="10"/>
        <v xml:space="preserve">'id' =&gt; '75', </v>
      </c>
      <c r="D83" s="82" t="str">
        <f t="shared" ca="1" si="10"/>
        <v xml:space="preserve">'form_field' =&gt; '75', </v>
      </c>
      <c r="E83" s="82" t="str">
        <f t="shared" ca="1" si="10"/>
        <v xml:space="preserve">'attribute' =&gt; 'role', </v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>])</v>
      </c>
    </row>
    <row r="84" spans="1:18">
      <c r="A84" s="22">
        <v>76</v>
      </c>
      <c r="B84" s="23" t="str">
        <f t="shared" ca="1" si="8"/>
        <v>-&gt;create([</v>
      </c>
      <c r="C84" s="82" t="str">
        <f t="shared" ca="1" si="10"/>
        <v xml:space="preserve">'id' =&gt; '76', </v>
      </c>
      <c r="D84" s="82" t="str">
        <f t="shared" ca="1" si="10"/>
        <v xml:space="preserve">'form_field' =&gt; '76', </v>
      </c>
      <c r="E84" s="82" t="str">
        <f t="shared" ca="1" si="10"/>
        <v xml:space="preserve">'attribute' =&gt; 'resource', </v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>])</v>
      </c>
    </row>
    <row r="85" spans="1:18">
      <c r="A85" s="22">
        <v>77</v>
      </c>
      <c r="B85" s="23" t="str">
        <f t="shared" ca="1" si="8"/>
        <v>-&gt;create([</v>
      </c>
      <c r="C85" s="82" t="str">
        <f t="shared" ca="1" si="10"/>
        <v xml:space="preserve">'id' =&gt; '77', </v>
      </c>
      <c r="D85" s="82" t="str">
        <f t="shared" ca="1" si="10"/>
        <v xml:space="preserve">'form_field' =&gt; '77', </v>
      </c>
      <c r="E85" s="82" t="str">
        <f t="shared" ca="1" si="10"/>
        <v xml:space="preserve">'attribute' =&gt; 'actions_availability', </v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>])</v>
      </c>
    </row>
    <row r="86" spans="1:18">
      <c r="A86" s="22">
        <v>78</v>
      </c>
      <c r="B86" s="23" t="str">
        <f t="shared" ca="1" si="8"/>
        <v>-&gt;create([</v>
      </c>
      <c r="C86" s="82" t="str">
        <f t="shared" ca="1" si="10"/>
        <v xml:space="preserve">'id' =&gt; '78', </v>
      </c>
      <c r="D86" s="82" t="str">
        <f t="shared" ca="1" si="10"/>
        <v xml:space="preserve">'form_field' =&gt; '78', </v>
      </c>
      <c r="E86" s="82" t="str">
        <f t="shared" ca="1" si="10"/>
        <v xml:space="preserve">'attribute' =&gt; 'actions', </v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>])</v>
      </c>
    </row>
    <row r="87" spans="1:18">
      <c r="A87" s="22">
        <v>79</v>
      </c>
      <c r="B87" s="23" t="str">
        <f t="shared" ca="1" si="8"/>
        <v>;</v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>\DB::statement('set foreign_key_checks = ' . $_);</v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3"/>
  <sheetViews>
    <sheetView topLeftCell="E3" workbookViewId="0">
      <selection activeCell="E3" sqref="E3:E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</cols>
  <sheetData>
    <row r="1" spans="1:13">
      <c r="A1" s="21" t="s">
        <v>807</v>
      </c>
      <c r="B1" s="21" t="s">
        <v>808</v>
      </c>
      <c r="C1" s="21" t="s">
        <v>732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727</v>
      </c>
      <c r="M1" s="21" t="s">
        <v>1363</v>
      </c>
    </row>
    <row r="2" spans="1:13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705</v>
      </c>
      <c r="M2" s="35" t="str">
        <f>[No]</f>
        <v>id</v>
      </c>
    </row>
    <row r="3" spans="1:13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672</v>
      </c>
      <c r="M3" s="35">
        <f>[No]</f>
        <v>1</v>
      </c>
    </row>
    <row r="4" spans="1:13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672</v>
      </c>
      <c r="M4" s="35">
        <f>[No]</f>
        <v>2</v>
      </c>
    </row>
    <row r="5" spans="1:13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672</v>
      </c>
      <c r="M5" s="35">
        <f>[No]</f>
        <v>3</v>
      </c>
    </row>
    <row r="6" spans="1:13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672</v>
      </c>
      <c r="M6" s="35">
        <f>[No]</f>
        <v>4</v>
      </c>
    </row>
    <row r="7" spans="1:13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672</v>
      </c>
      <c r="M7" s="35">
        <f>[No]</f>
        <v>5</v>
      </c>
    </row>
    <row r="8" spans="1:13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447</v>
      </c>
      <c r="F8" s="5" t="s">
        <v>448</v>
      </c>
      <c r="G8" s="5" t="s">
        <v>347</v>
      </c>
      <c r="H8" s="7" t="str">
        <f t="shared" si="0"/>
        <v>Milestone\Appframe\Model</v>
      </c>
      <c r="I8" s="5" t="s">
        <v>449</v>
      </c>
      <c r="J8" s="4"/>
      <c r="K8" s="4"/>
      <c r="L8" s="5" t="s">
        <v>672</v>
      </c>
      <c r="M8" s="35">
        <f>[No]</f>
        <v>6</v>
      </c>
    </row>
    <row r="9" spans="1:13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414</v>
      </c>
      <c r="F9" s="5" t="s">
        <v>709</v>
      </c>
      <c r="G9" s="5" t="s">
        <v>345</v>
      </c>
      <c r="H9" s="7" t="str">
        <f t="shared" si="0"/>
        <v>Milestone\Appframe\Model</v>
      </c>
      <c r="I9" s="5" t="s">
        <v>415</v>
      </c>
      <c r="J9" s="4"/>
      <c r="K9" s="4"/>
      <c r="L9" s="5" t="s">
        <v>672</v>
      </c>
      <c r="M9" s="35">
        <f>[No]</f>
        <v>7</v>
      </c>
    </row>
    <row r="10" spans="1:13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672</v>
      </c>
      <c r="M10" s="35">
        <f>[No]</f>
        <v>8</v>
      </c>
    </row>
    <row r="11" spans="1:13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672</v>
      </c>
      <c r="M11" s="35">
        <f>[No]</f>
        <v>9</v>
      </c>
    </row>
    <row r="12" spans="1:13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672</v>
      </c>
      <c r="M12" s="35">
        <f>[No]</f>
        <v>10</v>
      </c>
    </row>
    <row r="13" spans="1:13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672</v>
      </c>
      <c r="M13" s="35">
        <f>[No]</f>
        <v>11</v>
      </c>
    </row>
    <row r="14" spans="1:13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672</v>
      </c>
      <c r="M14" s="35">
        <f>[No]</f>
        <v>12</v>
      </c>
    </row>
    <row r="15" spans="1:13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672</v>
      </c>
      <c r="M15" s="35">
        <f>[No]</f>
        <v>13</v>
      </c>
    </row>
    <row r="16" spans="1:13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549</v>
      </c>
      <c r="F16" s="4" t="s">
        <v>550</v>
      </c>
      <c r="G16" s="4" t="s">
        <v>551</v>
      </c>
      <c r="H16" s="7" t="str">
        <f t="shared" si="0"/>
        <v>Milestone\Appframe\Model</v>
      </c>
      <c r="I16" s="4" t="s">
        <v>552</v>
      </c>
      <c r="J16" s="4" t="s">
        <v>680</v>
      </c>
      <c r="K16" s="4" t="s">
        <v>673</v>
      </c>
      <c r="L16" s="5" t="s">
        <v>672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651</v>
      </c>
      <c r="F17" s="4" t="s">
        <v>652</v>
      </c>
      <c r="G17" s="4" t="s">
        <v>653</v>
      </c>
      <c r="H17" s="7" t="str">
        <f t="shared" si="0"/>
        <v>Milestone\Appframe\Model</v>
      </c>
      <c r="I17" s="4" t="s">
        <v>654</v>
      </c>
      <c r="J17" s="4"/>
      <c r="K17" s="4"/>
      <c r="L17" s="5" t="s">
        <v>672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472</v>
      </c>
      <c r="F18" s="5" t="s">
        <v>473</v>
      </c>
      <c r="G18" s="5" t="s">
        <v>474</v>
      </c>
      <c r="H18" s="7" t="str">
        <f t="shared" si="0"/>
        <v>Milestone\Appframe\Model</v>
      </c>
      <c r="I18" s="5" t="s">
        <v>475</v>
      </c>
      <c r="J18" s="4"/>
      <c r="K18" s="4"/>
      <c r="L18" s="5" t="s">
        <v>672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509</v>
      </c>
      <c r="F19" s="4" t="s">
        <v>510</v>
      </c>
      <c r="G19" s="4" t="s">
        <v>511</v>
      </c>
      <c r="H19" s="7" t="str">
        <f t="shared" si="0"/>
        <v>Milestone\Appframe\Model</v>
      </c>
      <c r="I19" s="4" t="s">
        <v>512</v>
      </c>
      <c r="J19" s="4"/>
      <c r="K19" s="4"/>
      <c r="L19" s="5" t="s">
        <v>672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710</v>
      </c>
      <c r="F20" s="4" t="s">
        <v>712</v>
      </c>
      <c r="G20" s="4" t="s">
        <v>711</v>
      </c>
      <c r="H20" s="7" t="str">
        <f>"Milestone\Appframe\Model"</f>
        <v>Milestone\Appframe\Model</v>
      </c>
      <c r="I20" s="4" t="s">
        <v>713</v>
      </c>
      <c r="J20" s="4"/>
      <c r="K20" s="4"/>
      <c r="L20" s="5" t="s">
        <v>672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672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406</v>
      </c>
      <c r="F22" s="4" t="s">
        <v>407</v>
      </c>
      <c r="G22" s="4" t="s">
        <v>299</v>
      </c>
      <c r="H22" s="7" t="str">
        <f t="shared" si="0"/>
        <v>Milestone\Appframe\Model</v>
      </c>
      <c r="I22" s="4" t="s">
        <v>408</v>
      </c>
      <c r="J22" s="4"/>
      <c r="K22" s="4"/>
      <c r="L22" s="5" t="s">
        <v>672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410</v>
      </c>
      <c r="F23" s="5" t="s">
        <v>411</v>
      </c>
      <c r="G23" s="5" t="s">
        <v>412</v>
      </c>
      <c r="H23" s="7" t="str">
        <f t="shared" si="0"/>
        <v>Milestone\Appframe\Model</v>
      </c>
      <c r="I23" s="5" t="s">
        <v>413</v>
      </c>
      <c r="J23" s="4"/>
      <c r="K23" s="4"/>
      <c r="L23" s="5" t="s">
        <v>672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416</v>
      </c>
      <c r="F24" s="5" t="s">
        <v>417</v>
      </c>
      <c r="G24" s="5" t="s">
        <v>418</v>
      </c>
      <c r="H24" s="7" t="str">
        <f t="shared" si="0"/>
        <v>Milestone\Appframe\Model</v>
      </c>
      <c r="I24" s="5" t="s">
        <v>419</v>
      </c>
      <c r="J24" s="4"/>
      <c r="K24" s="4"/>
      <c r="L24" s="5" t="s">
        <v>672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441</v>
      </c>
      <c r="F25" s="5" t="s">
        <v>442</v>
      </c>
      <c r="G25" s="5" t="s">
        <v>443</v>
      </c>
      <c r="H25" s="7" t="str">
        <f t="shared" si="0"/>
        <v>Milestone\Appframe\Model</v>
      </c>
      <c r="I25" s="5" t="s">
        <v>444</v>
      </c>
      <c r="J25" s="4"/>
      <c r="K25" s="4"/>
      <c r="L25" s="5" t="s">
        <v>672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531</v>
      </c>
      <c r="F26" s="4" t="s">
        <v>532</v>
      </c>
      <c r="G26" s="4" t="s">
        <v>533</v>
      </c>
      <c r="H26" s="7" t="str">
        <f t="shared" si="0"/>
        <v>Milestone\Appframe\Model</v>
      </c>
      <c r="I26" s="4" t="s">
        <v>534</v>
      </c>
      <c r="J26" s="4"/>
      <c r="K26" s="4"/>
      <c r="L26" s="5" t="s">
        <v>672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429</v>
      </c>
      <c r="F27" s="5" t="s">
        <v>450</v>
      </c>
      <c r="G27" s="5" t="s">
        <v>301</v>
      </c>
      <c r="H27" s="7" t="str">
        <f t="shared" si="0"/>
        <v>Milestone\Appframe\Model</v>
      </c>
      <c r="I27" s="5" t="s">
        <v>430</v>
      </c>
      <c r="J27" s="4"/>
      <c r="K27" s="4"/>
      <c r="L27" s="5" t="s">
        <v>672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431</v>
      </c>
      <c r="F28" s="5" t="s">
        <v>432</v>
      </c>
      <c r="G28" s="5" t="s">
        <v>433</v>
      </c>
      <c r="H28" s="7" t="str">
        <f t="shared" si="0"/>
        <v>Milestone\Appframe\Model</v>
      </c>
      <c r="I28" s="5" t="s">
        <v>434</v>
      </c>
      <c r="J28" s="4"/>
      <c r="K28" s="4"/>
      <c r="L28" s="5" t="s">
        <v>672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707</v>
      </c>
      <c r="F29" s="5" t="s">
        <v>708</v>
      </c>
      <c r="G29" s="5" t="s">
        <v>529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672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483</v>
      </c>
      <c r="F30" s="4" t="s">
        <v>484</v>
      </c>
      <c r="G30" s="4" t="s">
        <v>485</v>
      </c>
      <c r="H30" s="7" t="str">
        <f t="shared" si="0"/>
        <v>Milestone\Appframe\Model</v>
      </c>
      <c r="I30" s="4" t="s">
        <v>486</v>
      </c>
      <c r="J30" s="4"/>
      <c r="K30" s="4"/>
      <c r="L30" s="5" t="s">
        <v>672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490</v>
      </c>
      <c r="F31" s="4" t="s">
        <v>491</v>
      </c>
      <c r="G31" s="4" t="s">
        <v>492</v>
      </c>
      <c r="H31" s="7" t="str">
        <f t="shared" si="0"/>
        <v>Milestone\Appframe\Model</v>
      </c>
      <c r="I31" s="4" t="s">
        <v>493</v>
      </c>
      <c r="J31" s="4"/>
      <c r="K31" s="4"/>
      <c r="L31" s="5" t="s">
        <v>672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683</v>
      </c>
      <c r="K32" s="4" t="s">
        <v>673</v>
      </c>
      <c r="L32" s="5" t="s">
        <v>672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672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714</v>
      </c>
      <c r="F34" s="4" t="s">
        <v>716</v>
      </c>
      <c r="G34" s="4" t="s">
        <v>717</v>
      </c>
      <c r="H34" s="7" t="str">
        <f>"Milestone\Appframe\Model"</f>
        <v>Milestone\Appframe\Model</v>
      </c>
      <c r="I34" s="4" t="s">
        <v>715</v>
      </c>
      <c r="J34" s="4"/>
      <c r="K34" s="4"/>
      <c r="L34" s="5" t="s">
        <v>672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672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672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718</v>
      </c>
      <c r="F37" s="4" t="s">
        <v>719</v>
      </c>
      <c r="G37" s="4" t="s">
        <v>720</v>
      </c>
      <c r="H37" s="7" t="str">
        <f>"Milestone\Appframe\Model"</f>
        <v>Milestone\Appframe\Model</v>
      </c>
      <c r="I37" s="4" t="s">
        <v>721</v>
      </c>
      <c r="J37" s="4"/>
      <c r="K37" s="4"/>
      <c r="L37" s="5" t="s">
        <v>672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607</v>
      </c>
      <c r="F38" s="4" t="s">
        <v>617</v>
      </c>
      <c r="G38" s="4" t="s">
        <v>603</v>
      </c>
      <c r="H38" s="7" t="str">
        <f t="shared" si="0"/>
        <v>Milestone\Appframe\Model</v>
      </c>
      <c r="I38" s="4" t="s">
        <v>615</v>
      </c>
      <c r="J38" s="4"/>
      <c r="K38" s="4"/>
      <c r="L38" s="5" t="s">
        <v>672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604</v>
      </c>
      <c r="F39" s="4" t="s">
        <v>608</v>
      </c>
      <c r="G39" s="4" t="s">
        <v>611</v>
      </c>
      <c r="H39" s="7" t="str">
        <f t="shared" si="0"/>
        <v>Milestone\Appframe\Model</v>
      </c>
      <c r="I39" s="4" t="s">
        <v>612</v>
      </c>
      <c r="J39" s="4"/>
      <c r="K39" s="4"/>
      <c r="L39" s="5" t="s">
        <v>672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605</v>
      </c>
      <c r="F40" s="2" t="s">
        <v>609</v>
      </c>
      <c r="G40" s="2" t="s">
        <v>616</v>
      </c>
      <c r="H40" s="7" t="str">
        <f t="shared" si="0"/>
        <v>Milestone\Appframe\Model</v>
      </c>
      <c r="I40" s="2" t="s">
        <v>613</v>
      </c>
      <c r="J40" s="4"/>
      <c r="K40" s="4"/>
      <c r="L40" s="5" t="s">
        <v>672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606</v>
      </c>
      <c r="F41" s="4" t="s">
        <v>610</v>
      </c>
      <c r="G41" s="4" t="s">
        <v>602</v>
      </c>
      <c r="H41" s="7" t="str">
        <f t="shared" si="0"/>
        <v>Milestone\Appframe\Model</v>
      </c>
      <c r="I41" s="4" t="s">
        <v>614</v>
      </c>
      <c r="J41" s="4"/>
      <c r="K41" s="4"/>
      <c r="L41" s="5" t="s">
        <v>672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672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672</v>
      </c>
      <c r="M43" s="35">
        <f>[No]</f>
        <v>41</v>
      </c>
    </row>
  </sheetData>
  <dataValidations count="1">
    <dataValidation type="list" allowBlank="1" showInputMessage="1" showErrorMessage="1" sqref="I26 I3:I7 I12:I17 I10 I19:I22 I30:I43">
      <formula1>ActualTableNames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78"/>
  <sheetViews>
    <sheetView topLeftCell="E1" workbookViewId="0">
      <selection activeCell="I5" sqref="I5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11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5.28515625" style="20" bestFit="1" customWidth="1"/>
    <col min="22" max="22" width="26.5703125" style="20" bestFit="1" customWidth="1"/>
    <col min="23" max="23" width="11.140625" style="20" bestFit="1" customWidth="1"/>
    <col min="24" max="16384" width="9.140625" style="20"/>
  </cols>
  <sheetData>
    <row r="1" spans="1:23">
      <c r="A1" s="21" t="s">
        <v>807</v>
      </c>
      <c r="B1" s="20" t="s">
        <v>239</v>
      </c>
      <c r="C1" s="21" t="s">
        <v>793</v>
      </c>
      <c r="D1" s="21" t="s">
        <v>743</v>
      </c>
      <c r="E1" s="20" t="s">
        <v>204</v>
      </c>
      <c r="F1" s="20" t="s">
        <v>318</v>
      </c>
      <c r="G1" s="21" t="s">
        <v>742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732</v>
      </c>
      <c r="P1" s="21" t="s">
        <v>807</v>
      </c>
      <c r="Q1" s="21" t="s">
        <v>877</v>
      </c>
      <c r="R1" s="21" t="s">
        <v>878</v>
      </c>
      <c r="S1" s="21" t="s">
        <v>239</v>
      </c>
      <c r="T1" s="21" t="s">
        <v>857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User/AdministratorsScope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728</v>
      </c>
      <c r="V3" s="2" t="s">
        <v>730</v>
      </c>
      <c r="W3" s="2" t="s">
        <v>161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User/DevelopersScope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729</v>
      </c>
      <c r="V4" s="2" t="s">
        <v>731</v>
      </c>
      <c r="W4" s="2" t="s">
        <v>160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1086</v>
      </c>
      <c r="J13" s="17" t="s">
        <v>1087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447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447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519</v>
      </c>
      <c r="J25" s="17" t="s">
        <v>520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204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402</v>
      </c>
      <c r="J26" s="17" t="s">
        <v>403</v>
      </c>
      <c r="K26" s="17" t="s">
        <v>245</v>
      </c>
      <c r="L26" s="17" t="s">
        <v>309</v>
      </c>
      <c r="M26" s="44">
        <f>VLOOKUP([Relate Resource],CHOOSE({1,2},ResourceTable[Name],ResourceTable[No]),2,0)</f>
        <v>4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406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409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406</v>
      </c>
      <c r="F28" s="7" t="s">
        <v>410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412</v>
      </c>
      <c r="J28" s="17" t="s">
        <v>411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414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420</v>
      </c>
      <c r="K29" s="17" t="s">
        <v>421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406</v>
      </c>
      <c r="F30" s="7" t="s">
        <v>414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418</v>
      </c>
      <c r="J30" s="17" t="s">
        <v>422</v>
      </c>
      <c r="K30" s="17" t="s">
        <v>421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429</v>
      </c>
      <c r="F31" s="7" t="s">
        <v>431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435</v>
      </c>
      <c r="J31" s="17" t="s">
        <v>436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429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437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406</v>
      </c>
      <c r="F33" s="9" t="s">
        <v>441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443</v>
      </c>
      <c r="J33" s="16" t="s">
        <v>442</v>
      </c>
      <c r="K33" s="16" t="s">
        <v>445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447</v>
      </c>
      <c r="F34" s="7" t="s">
        <v>447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463</v>
      </c>
      <c r="J34" s="17" t="s">
        <v>463</v>
      </c>
      <c r="K34" s="17" t="s">
        <v>464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447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465</v>
      </c>
      <c r="J35" s="17" t="s">
        <v>466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429</v>
      </c>
      <c r="F36" s="7" t="s">
        <v>483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485</v>
      </c>
      <c r="J36" s="17" t="s">
        <v>488</v>
      </c>
      <c r="K36" s="17" t="s">
        <v>487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483</v>
      </c>
      <c r="F37" s="7" t="s">
        <v>447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435</v>
      </c>
      <c r="J37" s="17" t="s">
        <v>495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490</v>
      </c>
      <c r="F38" s="7" t="s">
        <v>447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496</v>
      </c>
      <c r="J38" s="17" t="s">
        <v>497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447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499</v>
      </c>
      <c r="J39" s="17" t="s">
        <v>500</v>
      </c>
      <c r="K39" s="17" t="s">
        <v>501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509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513</v>
      </c>
      <c r="J40" s="17" t="s">
        <v>514</v>
      </c>
      <c r="K40" s="17" t="s">
        <v>513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509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511</v>
      </c>
      <c r="J41" s="17" t="s">
        <v>511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509</v>
      </c>
      <c r="F42" s="7" t="s">
        <v>447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516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517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518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406</v>
      </c>
      <c r="F45" s="7" t="s">
        <v>531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533</v>
      </c>
      <c r="J45" s="17" t="s">
        <v>536</v>
      </c>
      <c r="K45" s="17" t="s">
        <v>535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549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553</v>
      </c>
      <c r="J46" s="17" t="s">
        <v>554</v>
      </c>
      <c r="K46" s="17" t="s">
        <v>555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604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620</v>
      </c>
      <c r="J47" s="17" t="s">
        <v>619</v>
      </c>
      <c r="K47" s="17" t="s">
        <v>618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604</v>
      </c>
      <c r="F48" s="7" t="s">
        <v>605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601</v>
      </c>
      <c r="J48" s="17" t="s">
        <v>621</v>
      </c>
      <c r="K48" s="17" t="s">
        <v>487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605</v>
      </c>
      <c r="F49" s="7" t="s">
        <v>606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602</v>
      </c>
      <c r="J49" s="17" t="s">
        <v>622</v>
      </c>
      <c r="K49" s="17" t="s">
        <v>494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604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623</v>
      </c>
      <c r="J50" s="17" t="s">
        <v>624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651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656</v>
      </c>
      <c r="J51" s="17" t="s">
        <v>652</v>
      </c>
      <c r="K51" s="17" t="s">
        <v>655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429</v>
      </c>
      <c r="F52" s="8" t="s">
        <v>414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665</v>
      </c>
      <c r="J52" s="32" t="s">
        <v>666</v>
      </c>
      <c r="K52" s="32" t="s">
        <v>421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406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667</v>
      </c>
      <c r="J53" s="32" t="s">
        <v>668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429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669</v>
      </c>
      <c r="J54" s="32" t="s">
        <v>670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549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682</v>
      </c>
      <c r="J55" s="17" t="s">
        <v>681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406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722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429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438</v>
      </c>
      <c r="J57" s="17" t="s">
        <v>723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472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474</v>
      </c>
      <c r="J58" s="17" t="s">
        <v>724</v>
      </c>
      <c r="K58" s="17" t="s">
        <v>445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483</v>
      </c>
      <c r="F59" s="7" t="s">
        <v>490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725</v>
      </c>
      <c r="J59" s="17" t="s">
        <v>726</v>
      </c>
      <c r="K59" s="17" t="s">
        <v>494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472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1137</v>
      </c>
      <c r="J60" s="17" t="s">
        <v>1138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472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1139</v>
      </c>
      <c r="J61" s="17" t="s">
        <v>1140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509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1148</v>
      </c>
      <c r="J62" s="17" t="s">
        <v>1149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410</v>
      </c>
      <c r="F63" s="7" t="s">
        <v>406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1174</v>
      </c>
      <c r="J63" s="17" t="s">
        <v>1173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410</v>
      </c>
      <c r="F64" s="7" t="s">
        <v>447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1175</v>
      </c>
      <c r="J64" s="17" t="s">
        <v>1176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410</v>
      </c>
      <c r="F65" s="7" t="s">
        <v>447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1177</v>
      </c>
      <c r="J65" s="17" t="s">
        <v>1178</v>
      </c>
      <c r="K65" s="17" t="s">
        <v>1179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416</v>
      </c>
      <c r="F66" s="7" t="s">
        <v>406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1185</v>
      </c>
      <c r="J66" s="17" t="s">
        <v>1186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416</v>
      </c>
      <c r="F67" s="7" t="s">
        <v>414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1187</v>
      </c>
      <c r="J67" s="17" t="s">
        <v>1188</v>
      </c>
      <c r="K67" s="17" t="s">
        <v>1189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441</v>
      </c>
      <c r="F68" s="7" t="s">
        <v>406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1193</v>
      </c>
      <c r="J68" s="17" t="s">
        <v>1194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441</v>
      </c>
      <c r="F69" s="7" t="s">
        <v>447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1201</v>
      </c>
      <c r="J69" s="17" t="s">
        <v>1202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531</v>
      </c>
      <c r="F70" s="7" t="s">
        <v>406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1197</v>
      </c>
      <c r="J70" s="17" t="s">
        <v>1198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531</v>
      </c>
      <c r="F71" s="7" t="s">
        <v>447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1204</v>
      </c>
      <c r="J71" s="17" t="s">
        <v>1205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431</v>
      </c>
      <c r="F72" s="7" t="s">
        <v>429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1223</v>
      </c>
      <c r="J72" s="17" t="s">
        <v>1226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431</v>
      </c>
      <c r="F73" s="7" t="s">
        <v>447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1224</v>
      </c>
      <c r="J73" s="17" t="s">
        <v>1227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431</v>
      </c>
      <c r="F74" s="7" t="s">
        <v>447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1225</v>
      </c>
      <c r="J74" s="17" t="s">
        <v>1228</v>
      </c>
      <c r="K74" s="17" t="s">
        <v>1179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707</v>
      </c>
      <c r="F75" s="7" t="s">
        <v>429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1229</v>
      </c>
      <c r="J75" s="17" t="s">
        <v>1231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707</v>
      </c>
      <c r="F76" s="7" t="s">
        <v>414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1230</v>
      </c>
      <c r="J76" s="17" t="s">
        <v>1232</v>
      </c>
      <c r="K76" s="17" t="s">
        <v>1189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483</v>
      </c>
      <c r="F77" s="7" t="s">
        <v>429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1233</v>
      </c>
      <c r="J77" s="17" t="s">
        <v>1234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714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1283</v>
      </c>
      <c r="J78" s="17" t="s">
        <v>1287</v>
      </c>
      <c r="K78" s="17" t="s">
        <v>1288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</sheetData>
  <dataValidations count="1">
    <dataValidation type="list" allowBlank="1" showInputMessage="1" showErrorMessage="1" sqref="Q2:Q4 E2:F7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2"/>
  <sheetViews>
    <sheetView topLeftCell="G19" workbookViewId="0">
      <selection activeCell="G36" sqref="G36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807</v>
      </c>
      <c r="B1" s="1" t="s">
        <v>793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841</v>
      </c>
      <c r="L1" s="1" t="s">
        <v>842</v>
      </c>
      <c r="M1" s="1" t="s">
        <v>761</v>
      </c>
      <c r="N1" s="1" t="s">
        <v>658</v>
      </c>
      <c r="O1" s="1" t="s">
        <v>762</v>
      </c>
      <c r="P1" s="1" t="s">
        <v>763</v>
      </c>
      <c r="Q1" s="1" t="s">
        <v>995</v>
      </c>
      <c r="R1" s="1" t="s">
        <v>996</v>
      </c>
      <c r="S1" s="1" t="s">
        <v>997</v>
      </c>
      <c r="T1" s="1" t="s">
        <v>998</v>
      </c>
      <c r="U1" s="1" t="s">
        <v>1002</v>
      </c>
      <c r="V1" s="1" t="s">
        <v>1013</v>
      </c>
      <c r="W1" s="1" t="s">
        <v>1014</v>
      </c>
      <c r="X1" s="1" t="s">
        <v>1015</v>
      </c>
      <c r="Y1" s="1" t="s">
        <v>958</v>
      </c>
      <c r="Z1"/>
      <c r="AA1" s="1" t="s">
        <v>847</v>
      </c>
      <c r="AB1" s="1" t="s">
        <v>764</v>
      </c>
      <c r="AC1" s="1" t="s">
        <v>960</v>
      </c>
      <c r="AD1" s="1" t="s">
        <v>438</v>
      </c>
      <c r="AE1" s="1" t="s">
        <v>848</v>
      </c>
      <c r="AF1" s="1" t="s">
        <v>850</v>
      </c>
      <c r="AG1" s="1" t="s">
        <v>851</v>
      </c>
      <c r="AH1" s="1" t="s">
        <v>277</v>
      </c>
      <c r="AI1" s="1" t="s">
        <v>849</v>
      </c>
      <c r="AJ1" s="1" t="s">
        <v>853</v>
      </c>
      <c r="AK1" s="1" t="s">
        <v>852</v>
      </c>
      <c r="AL1" s="1" t="s">
        <v>301</v>
      </c>
      <c r="AN1" s="1" t="s">
        <v>923</v>
      </c>
      <c r="AO1" s="1" t="s">
        <v>807</v>
      </c>
      <c r="AP1" s="1" t="s">
        <v>239</v>
      </c>
      <c r="AQ1" s="1" t="s">
        <v>764</v>
      </c>
      <c r="AR1" s="1" t="s">
        <v>1</v>
      </c>
      <c r="AS1" s="1" t="s">
        <v>663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Map'!$A$33,SeedMap[],9,0),VLOOKUP('Table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User/NewUserFormAction</v>
      </c>
      <c r="C3" s="38" t="s">
        <v>174</v>
      </c>
      <c r="D3" s="45">
        <f>IF(ResourceAction[[#This Row],[Resource Name]]="","id",COUNTA($C$3:ResourceAction[[#This Row],[Resource Name]])+IF(VLOOKUP('Table Seed Map'!$A$33,SeedMap[],9,0),VLOOKUP('Table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765</v>
      </c>
      <c r="G3" s="45" t="s">
        <v>766</v>
      </c>
      <c r="H3" s="45" t="s">
        <v>272</v>
      </c>
      <c r="I3" s="45" t="s">
        <v>760</v>
      </c>
      <c r="J3" s="45" t="s">
        <v>225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1000</v>
      </c>
      <c r="U3" s="105"/>
      <c r="V3" s="105"/>
      <c r="W3" s="105"/>
      <c r="X3" s="105"/>
      <c r="Y3" s="90">
        <f>[No]</f>
        <v>1</v>
      </c>
      <c r="Z3"/>
      <c r="AA3" s="1" t="s">
        <v>845</v>
      </c>
      <c r="AB3" s="15">
        <f>VLOOKUP(ActionListNData[[#This Row],[Action Name]],ResourceAction[[Display]:[No]],3,0)</f>
        <v>3</v>
      </c>
      <c r="AC3" s="15" t="s">
        <v>893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Map'!$A$10,SeedMap[],35,0),0))</f>
        <v>1</v>
      </c>
      <c r="AG3" s="15">
        <f>ActionListNData[[#This Row],[Action]]</f>
        <v>3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Map'!$A$10,SeedMap[],36,0),0))</f>
        <v>0</v>
      </c>
      <c r="AK3" s="15">
        <f>ActionListNData[[#This Row],[Action]]</f>
        <v>3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6" t="str">
        <f>'Table Seed Map'!$A$33&amp;"-"&amp;(COUNTA($E$1:ResourceAction[[#This Row],[Resource]])-2)</f>
        <v>Resource Actions-2</v>
      </c>
      <c r="B4" s="46" t="str">
        <f>ResourceAction[[#This Row],[Resource Name]]&amp;"/"&amp;ResourceAction[[#This Row],[Name]]</f>
        <v>User/UsersListAction</v>
      </c>
      <c r="C4" s="48" t="s">
        <v>174</v>
      </c>
      <c r="D4" s="46">
        <f>IF(ResourceAction[[#This Row],[Resource Name]]="","id",COUNTA($C$3:ResourceAction[[#This Row],[Resource Name]])+IF(VLOOKUP('Table Seed Map'!$A$33,SeedMap[],9,0),VLOOKUP('Table Seed Map'!$A$10,SeedMap[],32,0),0))</f>
        <v>2</v>
      </c>
      <c r="E4" s="46">
        <f>VLOOKUP(ResourceAction[[#This Row],[Resource Name]],ResourceTable[[RName]:[RID]],2,0)</f>
        <v>1</v>
      </c>
      <c r="F4" s="46" t="s">
        <v>769</v>
      </c>
      <c r="G4" s="46" t="s">
        <v>770</v>
      </c>
      <c r="H4" s="46" t="s">
        <v>180</v>
      </c>
      <c r="I4" s="45" t="s">
        <v>760</v>
      </c>
      <c r="J4" s="46" t="s">
        <v>276</v>
      </c>
      <c r="K4" s="49" t="str">
        <f>'Table Seed Map'!$A$34&amp;"-"&amp;(COUNTA($E$1:ResourceAction[[#This Row],[Resource]])-2)</f>
        <v>Action Method-2</v>
      </c>
      <c r="L4" s="46">
        <f>IF(ResourceAction[[#This Row],[Resource Name]]="","id",COUNTA($C$3:ResourceAction[[#This Row],[Resource Name]])+IF(VLOOKUP('Table Seed Map'!$A$34,SeedMap[],9,0),VLOOKUP('Table Seed Map'!$A$34,SeedMap[],9,0),0))</f>
        <v>2</v>
      </c>
      <c r="M4" s="46">
        <f>[No]</f>
        <v>2</v>
      </c>
      <c r="N4" s="78" t="s">
        <v>277</v>
      </c>
      <c r="O4" s="77">
        <f ca="1">IF(ResourceAction[[#This Row],[Resource Name]]="","idn1",IF(ResourceAction[[#This Row],[IDN1]]="","",VLOOKUP(ResourceAction[[#This Row],[IDN1]],IDNMaps[[Display]:[ID]],2,0)))</f>
        <v>25</v>
      </c>
      <c r="P4" s="79" t="str">
        <f>IF(ResourceAction[[#This Row],[Resource Name]]="","idn2",IF(ResourceAction[[#This Row],[IDN2]]="","",VLOOKUP(ResourceAction[[#This Row],[IDN2]],IDNMaps[[Display]:[ID]],2,0)))</f>
        <v/>
      </c>
      <c r="Q4" s="79" t="str">
        <f>IF(ResourceAction[[#This Row],[Resource Name]]="","idn3",IF(ResourceAction[[#This Row],[IDN3]]="","",VLOOKUP(ResourceAction[[#This Row],[IDN3]],IDNMaps[[Display]:[ID]],2,0)))</f>
        <v/>
      </c>
      <c r="R4" s="79" t="str">
        <f>IF(ResourceAction[[#This Row],[Resource Name]]="","idn4",IF(ResourceAction[[#This Row],[IDN4]]="","",VLOOKUP(ResourceAction[[#This Row],[IDN4]],IDNMaps[[Display]:[ID]],2,0)))</f>
        <v/>
      </c>
      <c r="S4" s="79" t="str">
        <f>IF(ResourceAction[[#This Row],[Resource Name]]="","idn5",IF(ResourceAction[[#This Row],[IDN5]]="","",VLOOKUP(ResourceAction[[#This Row],[IDN5]],IDNMaps[[Display]:[ID]],2,0)))</f>
        <v/>
      </c>
      <c r="T4" s="105" t="s">
        <v>999</v>
      </c>
      <c r="U4" s="105"/>
      <c r="V4" s="105"/>
      <c r="W4" s="105"/>
      <c r="X4" s="105"/>
      <c r="Y4" s="91">
        <f>[No]</f>
        <v>2</v>
      </c>
      <c r="Z4"/>
      <c r="AA4" s="2" t="s">
        <v>846</v>
      </c>
      <c r="AB4" s="15">
        <f>VLOOKUP(ActionListNData[[#This Row],[Action Name]],ResourceAction[[Display]:[No]],3,0)</f>
        <v>4</v>
      </c>
      <c r="AC4" s="15" t="s">
        <v>893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Map'!$A$10,SeedMap[],35,0),0))</f>
        <v>2</v>
      </c>
      <c r="AG4" s="15">
        <f>ActionListNData[[#This Row],[Action]]</f>
        <v>4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4" s="16">
        <f>ActionListNData[[#This Row],[Action]]</f>
        <v>4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6" t="str">
        <f>'Table Seed Map'!$A$33&amp;"-"&amp;(COUNTA($E$1:ResourceAction[[#This Row],[Resource]])-2)</f>
        <v>Resource Actions-3</v>
      </c>
      <c r="B5" s="46" t="str">
        <f>ResourceAction[[#This Row],[Resource Name]]&amp;"/"&amp;ResourceAction[[#This Row],[Name]]</f>
        <v>User/EditUserAction</v>
      </c>
      <c r="C5" s="48" t="s">
        <v>174</v>
      </c>
      <c r="D5" s="46">
        <f>IF(ResourceAction[[#This Row],[Resource Name]]="","id",COUNTA($C$3:ResourceAction[[#This Row],[Resource Name]])+IF(VLOOKUP('Table Seed Map'!$A$33,SeedMap[],9,0),VLOOKUP('Table Seed Map'!$A$10,SeedMap[],32,0),0))</f>
        <v>3</v>
      </c>
      <c r="E5" s="46">
        <f>VLOOKUP(ResourceAction[[#This Row],[Resource Name]],ResourceTable[[RName]:[RID]],2,0)</f>
        <v>1</v>
      </c>
      <c r="F5" s="46" t="s">
        <v>782</v>
      </c>
      <c r="G5" s="46" t="s">
        <v>783</v>
      </c>
      <c r="H5" s="46" t="s">
        <v>784</v>
      </c>
      <c r="I5" s="45" t="s">
        <v>760</v>
      </c>
      <c r="J5" s="46"/>
      <c r="K5" s="49" t="str">
        <f>'Table Seed Map'!$A$34&amp;"-"&amp;(COUNTA($E$1:ResourceAction[[#This Row],[Resource]])-2)</f>
        <v>Action Method-3</v>
      </c>
      <c r="L5" s="46">
        <f>IF(ResourceAction[[#This Row],[Resource Name]]="","id",COUNTA($C$3:ResourceAction[[#This Row],[Resource Name]])+IF(VLOOKUP('Table Seed Map'!$A$34,SeedMap[],9,0),VLOOKUP('Table Seed Map'!$A$34,SeedMap[],9,0),0))</f>
        <v>3</v>
      </c>
      <c r="M5" s="46">
        <f>[No]</f>
        <v>3</v>
      </c>
      <c r="N5" s="78" t="s">
        <v>498</v>
      </c>
      <c r="O5" s="77">
        <f ca="1">IF(ResourceAction[[#This Row],[Resource Name]]="","idn1",IF(ResourceAction[[#This Row],[IDN1]]="","",VLOOKUP(ResourceAction[[#This Row],[IDN1]],IDNMaps[[Display]:[ID]],2,0)))</f>
        <v>2</v>
      </c>
      <c r="P5" s="79">
        <f ca="1">IF(ResourceAction[[#This Row],[Resource Name]]="","idn2",IF(ResourceAction[[#This Row],[IDN2]]="","",VLOOKUP(ResourceAction[[#This Row],[IDN2]],IDNMaps[[Display]:[ID]],2,0)))</f>
        <v>1</v>
      </c>
      <c r="Q5" s="79" t="str">
        <f>IF(ResourceAction[[#This Row],[Resource Name]]="","idn3",IF(ResourceAction[[#This Row],[IDN3]]="","",VLOOKUP(ResourceAction[[#This Row],[IDN3]],IDNMaps[[Display]:[ID]],2,0)))</f>
        <v/>
      </c>
      <c r="R5" s="79" t="str">
        <f>IF(ResourceAction[[#This Row],[Resource Name]]="","idn4",IF(ResourceAction[[#This Row],[IDN4]]="","",VLOOKUP(ResourceAction[[#This Row],[IDN4]],IDNMaps[[Display]:[ID]],2,0)))</f>
        <v/>
      </c>
      <c r="S5" s="79" t="str">
        <f>IF(ResourceAction[[#This Row],[Resource Name]]="","idn5",IF(ResourceAction[[#This Row],[IDN5]]="","",VLOOKUP(ResourceAction[[#This Row],[IDN5]],IDNMaps[[Display]:[ID]],2,0)))</f>
        <v/>
      </c>
      <c r="T5" s="106" t="s">
        <v>1001</v>
      </c>
      <c r="U5" s="106" t="s">
        <v>1003</v>
      </c>
      <c r="V5" s="106"/>
      <c r="W5" s="106"/>
      <c r="X5" s="106"/>
      <c r="Y5" s="91">
        <f>[No]</f>
        <v>3</v>
      </c>
      <c r="Z5"/>
      <c r="AA5" s="2" t="s">
        <v>1055</v>
      </c>
      <c r="AB5" s="16">
        <f>VLOOKUP(ActionListNData[[#This Row],[Action Name]],ResourceAction[[Display]:[No]],3,0)</f>
        <v>8</v>
      </c>
      <c r="AC5" s="16" t="s">
        <v>939</v>
      </c>
      <c r="AD5" s="16"/>
      <c r="AE5" s="16" t="str">
        <f>'Table Seed Map'!$A$36&amp;"-"&amp;COUNT($AH$2:ActionListNData[[#This Row],[List]])</f>
        <v>Action List-3</v>
      </c>
      <c r="AF5" s="16">
        <f>IF(ActionListNData[[#This Row],[Action Name]]="","id",COUNTA($AC$3:ActionListNData[[#This Row],[Resource List]])+IF(VLOOKUP('Table Seed Map'!$A$36,SeedMap[],9,0),VLOOKUP('Table Seed Map'!$A$10,SeedMap[],35,0),0))</f>
        <v>3</v>
      </c>
      <c r="AG5" s="16">
        <f>ActionListNData[[#This Row],[Action]]</f>
        <v>8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5" s="16">
        <f>ActionListNData[[#This Row],[Action]]</f>
        <v>8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6" t="str">
        <f>'Table Seed Map'!$A$33&amp;"-"&amp;(COUNTA($E$1:ResourceAction[[#This Row],[Resource]])-2)</f>
        <v>Resource Actions-4</v>
      </c>
      <c r="B6" s="46" t="str">
        <f>ResourceAction[[#This Row],[Resource Name]]&amp;"/"&amp;ResourceAction[[#This Row],[Name]]</f>
        <v>User/ChangeUserPasswordAction</v>
      </c>
      <c r="C6" s="48" t="s">
        <v>174</v>
      </c>
      <c r="D6" s="46">
        <f>IF(ResourceAction[[#This Row],[Resource Name]]="","id",COUNTA($C$3:ResourceAction[[#This Row],[Resource Name]])+IF(VLOOKUP('Table Seed Map'!$A$33,SeedMap[],9,0),VLOOKUP('Table Seed Map'!$A$10,SeedMap[],32,0),0))</f>
        <v>4</v>
      </c>
      <c r="E6" s="50">
        <f>VLOOKUP(ResourceAction[[#This Row],[Resource Name]],ResourceTable[[RName]:[RID]],2,0)</f>
        <v>1</v>
      </c>
      <c r="F6" s="50" t="s">
        <v>800</v>
      </c>
      <c r="G6" s="50" t="s">
        <v>801</v>
      </c>
      <c r="H6" s="50" t="s">
        <v>789</v>
      </c>
      <c r="I6" s="45" t="s">
        <v>760</v>
      </c>
      <c r="J6" s="50"/>
      <c r="K6" s="51" t="str">
        <f>'Table Seed Map'!$A$34&amp;"-"&amp;(COUNTA($E$1:ResourceAction[[#This Row],[Resource]])-2)</f>
        <v>Action Method-4</v>
      </c>
      <c r="L6" s="50">
        <f>IF(ResourceAction[[#This Row],[Resource Name]]="","id",COUNTA($C$3:ResourceAction[[#This Row],[Resource Name]])+IF(VLOOKUP('Table Seed Map'!$A$34,SeedMap[],9,0),VLOOKUP('Table Seed Map'!$A$34,SeedMap[],9,0),0))</f>
        <v>4</v>
      </c>
      <c r="M6" s="50">
        <f>[No]</f>
        <v>4</v>
      </c>
      <c r="N6" s="80" t="s">
        <v>498</v>
      </c>
      <c r="O6" s="77">
        <f ca="1">IF(ResourceAction[[#This Row],[Resource Name]]="","idn1",IF(ResourceAction[[#This Row],[IDN1]]="","",VLOOKUP(ResourceAction[[#This Row],[IDN1]],IDNMaps[[Display]:[ID]],2,0)))</f>
        <v>3</v>
      </c>
      <c r="P6" s="79">
        <f ca="1">IF(ResourceAction[[#This Row],[Resource Name]]="","idn2",IF(ResourceAction[[#This Row],[IDN2]]="","",VLOOKUP(ResourceAction[[#This Row],[IDN2]],IDNMaps[[Display]:[ID]],2,0)))</f>
        <v>1</v>
      </c>
      <c r="Q6" s="79" t="str">
        <f>IF(ResourceAction[[#This Row],[Resource Name]]="","idn3",IF(ResourceAction[[#This Row],[IDN3]]="","",VLOOKUP(ResourceAction[[#This Row],[IDN3]],IDNMaps[[Display]:[ID]],2,0)))</f>
        <v/>
      </c>
      <c r="R6" s="79" t="str">
        <f>IF(ResourceAction[[#This Row],[Resource Name]]="","idn4",IF(ResourceAction[[#This Row],[IDN4]]="","",VLOOKUP(ResourceAction[[#This Row],[IDN4]],IDNMaps[[Display]:[ID]],2,0)))</f>
        <v/>
      </c>
      <c r="S6" s="79" t="str">
        <f>IF(ResourceAction[[#This Row],[Resource Name]]="","idn5",IF(ResourceAction[[#This Row],[IDN5]]="","",VLOOKUP(ResourceAction[[#This Row],[IDN5]],IDNMaps[[Display]:[ID]],2,0)))</f>
        <v/>
      </c>
      <c r="T6" s="106" t="s">
        <v>1004</v>
      </c>
      <c r="U6" s="106" t="s">
        <v>1003</v>
      </c>
      <c r="V6" s="106"/>
      <c r="W6" s="106"/>
      <c r="X6" s="106"/>
      <c r="Y6" s="91">
        <f>[No]</f>
        <v>4</v>
      </c>
      <c r="Z6"/>
      <c r="AA6" s="2" t="s">
        <v>959</v>
      </c>
      <c r="AB6" s="16">
        <f>VLOOKUP(ActionListNData[[#This Row],[Action Name]],ResourceAction[[Display]:[No]],3,0)</f>
        <v>12</v>
      </c>
      <c r="AC6" s="16" t="s">
        <v>939</v>
      </c>
      <c r="AD6" s="16"/>
      <c r="AE6" s="16" t="str">
        <f>'Table Seed Map'!$A$36&amp;"-"&amp;COUNT($AH$2:ActionListNData[[#This Row],[List]])</f>
        <v>Action List-4</v>
      </c>
      <c r="AF6" s="16">
        <f>IF(ActionListNData[[#This Row],[Action Name]]="","id",COUNTA($AC$3:ActionListNData[[#This Row],[Resource List]])+IF(VLOOKUP('Table Seed Map'!$A$36,SeedMap[],9,0),VLOOKUP('Table Seed Map'!$A$10,SeedMap[],35,0),0))</f>
        <v>4</v>
      </c>
      <c r="AG6" s="16">
        <f>ActionListNData[[#This Row],[Action]]</f>
        <v>12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6" s="16">
        <f>ActionListNData[[#This Row],[Action]]</f>
        <v>12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Resource/NewResourceFormAction</v>
      </c>
      <c r="C7" s="48" t="s">
        <v>204</v>
      </c>
      <c r="D7" s="46">
        <f>IF(ResourceAction[[#This Row],[Resource Name]]="","id",COUNTA($C$3:ResourceAction[[#This Row],[Resource Name]])+IF(VLOOKUP('Table Seed Map'!$A$33,SeedMap[],9,0),VLOOKUP('Table Seed Map'!$A$10,SeedMap[],32,0),0))</f>
        <v>5</v>
      </c>
      <c r="E7" s="46">
        <f>VLOOKUP(ResourceAction[[#This Row],[Resource Name]],ResourceTable[[RName]:[RID]],2,0)</f>
        <v>4</v>
      </c>
      <c r="F7" s="46" t="s">
        <v>934</v>
      </c>
      <c r="G7" s="46" t="s">
        <v>935</v>
      </c>
      <c r="H7" s="46" t="s">
        <v>927</v>
      </c>
      <c r="I7" s="46"/>
      <c r="J7" s="46" t="s">
        <v>928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275</v>
      </c>
      <c r="O7" s="77">
        <f ca="1">IF(ResourceAction[[#This Row],[Resource Name]]="","idn1",IF(ResourceAction[[#This Row],[IDN1]]="","",VLOOKUP(ResourceAction[[#This Row],[IDN1]],IDNMaps[[Display]:[ID]],2,0)))</f>
        <v>4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6" t="s">
        <v>1005</v>
      </c>
      <c r="U7" s="106"/>
      <c r="V7" s="106"/>
      <c r="W7" s="106"/>
      <c r="X7" s="106"/>
      <c r="Y7" s="91">
        <f>[No]</f>
        <v>5</v>
      </c>
      <c r="Z7"/>
      <c r="AA7" s="2" t="s">
        <v>987</v>
      </c>
      <c r="AB7" s="17">
        <f>VLOOKUP(ActionListNData[[#This Row],[Action Name]],ResourceAction[[Display]:[No]],3,0)</f>
        <v>15</v>
      </c>
      <c r="AC7" s="17" t="s">
        <v>939</v>
      </c>
      <c r="AD7" s="17"/>
      <c r="AE7" s="17" t="str">
        <f>'Table Seed Map'!$A$36&amp;"-"&amp;COUNT($AH$2:ActionListNData[[#This Row],[List]])</f>
        <v>Action List-5</v>
      </c>
      <c r="AF7" s="17">
        <f>IF(ActionListNData[[#This Row],[Action Name]]="","id",COUNTA($AC$3:ActionListNData[[#This Row],[Resource List]])+IF(VLOOKUP('Table Seed Map'!$A$36,SeedMap[],9,0),VLOOKUP('Table Seed Map'!$A$10,SeedMap[],35,0),0))</f>
        <v>5</v>
      </c>
      <c r="AG7" s="17">
        <f>ActionListNData[[#This Row],[Action]]</f>
        <v>15</v>
      </c>
      <c r="AH7" s="17">
        <f>IF(ActionListNData[[#This Row],[Action Name]]="","resource_list",IFERROR(VLOOKUP(ActionListNData[[#This Row],[Resource List]],ResourceList[[ListDisplayName]:[No]],2,0),""))</f>
        <v>2</v>
      </c>
      <c r="AI7" s="17" t="str">
        <f>'Table Seed Map'!$A$37&amp;"-"&amp;COUNT($AL$2:ActionListNData[[#This Row],[Data]])</f>
        <v>Action Data-0</v>
      </c>
      <c r="AJ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7" s="17">
        <f>ActionListNData[[#This Row],[Action]]</f>
        <v>15</v>
      </c>
      <c r="AL7" s="1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Resource/ResourcesListAction</v>
      </c>
      <c r="C8" s="48" t="s">
        <v>204</v>
      </c>
      <c r="D8" s="46">
        <f>IF(ResourceAction[[#This Row],[Resource Name]]="","id",COUNTA($C$3:ResourceAction[[#This Row],[Resource Name]])+IF(VLOOKUP('Table Seed Map'!$A$33,SeedMap[],9,0),VLOOKUP('Table Seed Map'!$A$10,SeedMap[],32,0),0))</f>
        <v>6</v>
      </c>
      <c r="E8" s="46">
        <f>VLOOKUP(ResourceAction[[#This Row],[Resource Name]],ResourceTable[[RName]:[RID]],2,0)</f>
        <v>4</v>
      </c>
      <c r="F8" s="46" t="s">
        <v>940</v>
      </c>
      <c r="G8" s="46" t="s">
        <v>941</v>
      </c>
      <c r="H8" s="46" t="s">
        <v>216</v>
      </c>
      <c r="I8" s="46"/>
      <c r="J8" s="46" t="s">
        <v>216</v>
      </c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277</v>
      </c>
      <c r="O8" s="77">
        <f ca="1">IF(ResourceAction[[#This Row],[Resource Name]]="","idn1",IF(ResourceAction[[#This Row],[IDN1]]="","",VLOOKUP(ResourceAction[[#This Row],[IDN1]],IDNMaps[[Display]:[ID]],2,0)))</f>
        <v>100</v>
      </c>
      <c r="P8" s="79" t="str">
        <f>IF(ResourceAction[[#This Row],[Resource Name]]="","idn2",IF(ResourceAction[[#This Row],[IDN2]]="","",VLOOKUP(ResourceAction[[#This Row],[IDN2]],IDNMaps[[Display]:[ID]],2,0)))</f>
        <v/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1006</v>
      </c>
      <c r="U8" s="106"/>
      <c r="V8" s="106"/>
      <c r="W8" s="106"/>
      <c r="X8" s="106"/>
      <c r="Y8" s="91">
        <f>[No]</f>
        <v>6</v>
      </c>
      <c r="Z8"/>
      <c r="AA8" s="2" t="s">
        <v>1032</v>
      </c>
      <c r="AB8" s="16">
        <f>VLOOKUP(ActionListNData[[#This Row],[Action Name]],ResourceAction[[Display]:[No]],3,0)</f>
        <v>18</v>
      </c>
      <c r="AC8" s="17" t="s">
        <v>939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Map'!$A$10,SeedMap[],35,0),0))</f>
        <v>6</v>
      </c>
      <c r="AG8" s="16">
        <f>ActionListNData[[#This Row],[Action]]</f>
        <v>18</v>
      </c>
      <c r="AH8" s="16">
        <f>IF(ActionListNData[[#This Row],[Action Name]]="","resource_list",IFERROR(VLOOKUP(ActionListNData[[#This Row],[Resource List]],ResourceList[[ListDisplayName]:[No]],2,0),""))</f>
        <v>2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8" s="16">
        <f>ActionListNData[[#This Row],[Action]]</f>
        <v>18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ResourceAction/NewActionAction</v>
      </c>
      <c r="C9" s="48" t="s">
        <v>255</v>
      </c>
      <c r="D9" s="46">
        <f>IF(ResourceAction[[#This Row],[Resource Name]]="","id",COUNTA($C$3:ResourceAction[[#This Row],[Resource Name]])+IF(VLOOKUP('Table Seed Map'!$A$33,SeedMap[],9,0),VLOOKUP('Table Seed Map'!$A$10,SeedMap[],32,0),0))</f>
        <v>7</v>
      </c>
      <c r="E9" s="46">
        <f>VLOOKUP(ResourceAction[[#This Row],[Resource Name]],ResourceTable[[RName]:[RID]],2,0)</f>
        <v>30</v>
      </c>
      <c r="F9" s="46" t="s">
        <v>1049</v>
      </c>
      <c r="G9" s="46" t="s">
        <v>1050</v>
      </c>
      <c r="H9" s="46" t="s">
        <v>1035</v>
      </c>
      <c r="I9" s="46"/>
      <c r="J9" s="46" t="s">
        <v>1034</v>
      </c>
      <c r="K9" s="49" t="str">
        <f>'Table Seed Map'!$A$34&amp;"-"&amp;(COUNTA($E$1:ResourceAction[[#This Row],[Resource]])-2)</f>
        <v>Action Method-7</v>
      </c>
      <c r="L9" s="46">
        <f>IF(ResourceAction[[#This Row],[Resource Name]]="","id",COUNTA($C$3:ResourceAction[[#This Row],[Resource Name]])+IF(VLOOKUP('Table Seed Map'!$A$34,SeedMap[],9,0),VLOOKUP('Table Seed Map'!$A$34,SeedMap[],9,0),0))</f>
        <v>7</v>
      </c>
      <c r="M9" s="46">
        <f>[No]</f>
        <v>7</v>
      </c>
      <c r="N9" s="78" t="s">
        <v>275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 t="str">
        <f>IF(ResourceAction[[#This Row],[Resource Name]]="","idn2",IF(ResourceAction[[#This Row],[IDN2]]="","",VLOOKUP(ResourceAction[[#This Row],[IDN2]],IDNMaps[[Display]:[ID]],2,0)))</f>
        <v/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1052</v>
      </c>
      <c r="U9" s="106"/>
      <c r="V9" s="106"/>
      <c r="W9" s="106"/>
      <c r="X9" s="106"/>
      <c r="Y9" s="91">
        <f>[No]</f>
        <v>7</v>
      </c>
      <c r="Z9"/>
      <c r="AA9" s="2" t="s">
        <v>1120</v>
      </c>
      <c r="AB9" s="17">
        <f>VLOOKUP(ActionListNData[[#This Row],[Action Name]],ResourceAction[[Display]:[No]],3,0)</f>
        <v>19</v>
      </c>
      <c r="AC9" s="17" t="s">
        <v>939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Map'!$A$10,SeedMap[],35,0),0))</f>
        <v>7</v>
      </c>
      <c r="AG9" s="17">
        <f>ActionListNData[[#This Row],[Action]]</f>
        <v>19</v>
      </c>
      <c r="AH9" s="17">
        <f>IF(ActionListNData[[#This Row],[Action Name]]="","resource_list",IFERROR(VLOOKUP(ActionListNData[[#This Row],[Resource List]],ResourceList[[ListDisplayName]:[No]],2,0),""))</f>
        <v>2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9" s="17">
        <f>ActionListNData[[#This Row],[Action]]</f>
        <v>19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ResourceAction/AddActionAction</v>
      </c>
      <c r="C10" s="48" t="s">
        <v>255</v>
      </c>
      <c r="D10" s="46">
        <f>IF(ResourceAction[[#This Row],[Resource Name]]="","id",COUNTA($C$3:ResourceAction[[#This Row],[Resource Name]])+IF(VLOOKUP('Table Seed Map'!$A$33,SeedMap[],9,0),VLOOKUP('Table Seed Map'!$A$10,SeedMap[],32,0),0))</f>
        <v>8</v>
      </c>
      <c r="E10" s="46">
        <f>VLOOKUP(ResourceAction[[#This Row],[Resource Name]],ResourceTable[[RName]:[RID]],2,0)</f>
        <v>30</v>
      </c>
      <c r="F10" s="46" t="s">
        <v>1048</v>
      </c>
      <c r="G10" s="46" t="s">
        <v>1051</v>
      </c>
      <c r="H10" s="46" t="s">
        <v>1039</v>
      </c>
      <c r="I10" s="46" t="s">
        <v>760</v>
      </c>
      <c r="J10" s="46"/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957</v>
      </c>
      <c r="O10" s="77">
        <f ca="1">IF(ResourceAction[[#This Row],[Resource Name]]="","idn1",IF(ResourceAction[[#This Row],[IDN1]]="","",VLOOKUP(ResourceAction[[#This Row],[IDN1]],IDNMaps[[Display]:[ID]],2,0)))</f>
        <v>7</v>
      </c>
      <c r="P10" s="79">
        <f ca="1">IF(ResourceAction[[#This Row],[Resource Name]]="","idn2",IF(ResourceAction[[#This Row],[IDN2]]="","",VLOOKUP(ResourceAction[[#This Row],[IDN2]],IDNMaps[[Display]:[ID]],2,0)))</f>
        <v>6</v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1053</v>
      </c>
      <c r="U10" s="106" t="s">
        <v>1054</v>
      </c>
      <c r="V10" s="106"/>
      <c r="W10" s="106"/>
      <c r="X10" s="106"/>
      <c r="Y10" s="91">
        <f>[No]</f>
        <v>8</v>
      </c>
      <c r="Z10"/>
      <c r="AA10" s="2" t="s">
        <v>1121</v>
      </c>
      <c r="AB10" s="17">
        <f>VLOOKUP(ActionListNData[[#This Row],[Action Name]],ResourceAction[[Display]:[No]],3,0)</f>
        <v>20</v>
      </c>
      <c r="AC10" s="17" t="s">
        <v>939</v>
      </c>
      <c r="AD10" s="17"/>
      <c r="AE10" s="17" t="str">
        <f>'Table Seed Map'!$A$36&amp;"-"&amp;COUNT($AH$2:ActionListNData[[#This Row],[List]])</f>
        <v>Action List-8</v>
      </c>
      <c r="AF10" s="17">
        <f>IF(ActionListNData[[#This Row],[Action Name]]="","id",COUNTA($AC$3:ActionListNData[[#This Row],[Resource List]])+IF(VLOOKUP('Table Seed Map'!$A$36,SeedMap[],9,0),VLOOKUP('Table Seed Map'!$A$10,SeedMap[],35,0),0))</f>
        <v>8</v>
      </c>
      <c r="AG10" s="17">
        <f>ActionListNData[[#This Row],[Action]]</f>
        <v>20</v>
      </c>
      <c r="AH10" s="17">
        <f>IF(ActionListNData[[#This Row],[Action Name]]="","resource_list",IFERROR(VLOOKUP(ActionListNData[[#This Row],[Resource List]],ResourceList[[ListDisplayName]:[No]],2,0),""))</f>
        <v>2</v>
      </c>
      <c r="AI10" s="17" t="str">
        <f>'Table Seed Map'!$A$37&amp;"-"&amp;COUNT($AL$2:ActionListNData[[#This Row],[Data]])</f>
        <v>Action Data-0</v>
      </c>
      <c r="AJ1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0" s="17">
        <f>ActionListNData[[#This Row],[Action]]</f>
        <v>20</v>
      </c>
      <c r="AL10" s="1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50" t="str">
        <f>'Table Seed Map'!$A$33&amp;"-"&amp;(COUNTA($E$1:ResourceAction[[#This Row],[Resource]])-2)</f>
        <v>Resource Actions-9</v>
      </c>
      <c r="B11" s="50" t="str">
        <f>ResourceAction[[#This Row],[Resource Name]]&amp;"/"&amp;ResourceAction[[#This Row],[Name]]</f>
        <v>ResourceAction/ActionsListAction</v>
      </c>
      <c r="C11" s="48" t="s">
        <v>255</v>
      </c>
      <c r="D11" s="50">
        <f>IF(ResourceAction[[#This Row],[Resource Name]]="","id",COUNTA($C$3:ResourceAction[[#This Row],[Resource Name]])+IF(VLOOKUP('Table Seed Map'!$A$33,SeedMap[],9,0),VLOOKUP('Table Seed Map'!$A$10,SeedMap[],32,0),0))</f>
        <v>9</v>
      </c>
      <c r="E11" s="50">
        <f>VLOOKUP(ResourceAction[[#This Row],[Resource Name]],ResourceTable[[RName]:[RID]],2,0)</f>
        <v>30</v>
      </c>
      <c r="F11" s="50" t="s">
        <v>1094</v>
      </c>
      <c r="G11" s="50" t="s">
        <v>1095</v>
      </c>
      <c r="H11" s="50"/>
      <c r="I11" s="50"/>
      <c r="J11" s="50" t="s">
        <v>1096</v>
      </c>
      <c r="K11" s="51" t="str">
        <f>'Table Seed Map'!$A$34&amp;"-"&amp;(COUNTA($E$1:ResourceAction[[#This Row],[Resource]])-2)</f>
        <v>Action Method-9</v>
      </c>
      <c r="L11" s="50">
        <f>IF(ResourceAction[[#This Row],[Resource Name]]="","id",COUNTA($C$3:ResourceAction[[#This Row],[Resource Name]])+IF(VLOOKUP('Table Seed Map'!$A$34,SeedMap[],9,0),VLOOKUP('Table Seed Map'!$A$34,SeedMap[],9,0),0))</f>
        <v>9</v>
      </c>
      <c r="M11" s="50">
        <f>[No]</f>
        <v>9</v>
      </c>
      <c r="N11" s="80" t="s">
        <v>277</v>
      </c>
      <c r="O11" s="111">
        <f ca="1">IF(ResourceAction[[#This Row],[Resource Name]]="","idn1",IF(ResourceAction[[#This Row],[IDN1]]="","",VLOOKUP(ResourceAction[[#This Row],[IDN1]],IDNMaps[[Display]:[ID]],2,0)))</f>
        <v>100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107" t="s">
        <v>1097</v>
      </c>
      <c r="U11" s="107"/>
      <c r="V11" s="107"/>
      <c r="W11" s="107"/>
      <c r="X11" s="107"/>
      <c r="Y11" s="93">
        <f>[No]</f>
        <v>9</v>
      </c>
      <c r="Z11"/>
      <c r="AA11" s="2" t="s">
        <v>1122</v>
      </c>
      <c r="AB11" s="17">
        <f>VLOOKUP(ActionListNData[[#This Row],[Action Name]],ResourceAction[[Display]:[No]],3,0)</f>
        <v>21</v>
      </c>
      <c r="AC11" s="17" t="s">
        <v>939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Map'!$A$10,SeedMap[],35,0),0))</f>
        <v>9</v>
      </c>
      <c r="AG11" s="17">
        <f>ActionListNData[[#This Row],[Action]]</f>
        <v>21</v>
      </c>
      <c r="AH11" s="17">
        <f>IF(ActionListNData[[#This Row],[Action Name]]="","resource_list",IFERROR(VLOOKUP(ActionListNData[[#This Row],[Resource List]],ResourceList[[ListDisplayName]:[No]],2,0),""))</f>
        <v>2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1" s="17">
        <f>ActionListNData[[#This Row],[Action]]</f>
        <v>21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ResourceForm/NewFormAction</v>
      </c>
      <c r="C12" s="48" t="s">
        <v>310</v>
      </c>
      <c r="D12" s="46">
        <f>IF(ResourceAction[[#This Row],[Resource Name]]="","id",COUNTA($C$3:ResourceAction[[#This Row],[Resource Name]])+IF(VLOOKUP('Table Seed Map'!$A$33,SeedMap[],9,0),VLOOKUP('Table Seed Map'!$A$10,SeedMap[],32,0),0))</f>
        <v>10</v>
      </c>
      <c r="E12" s="46">
        <f>VLOOKUP(ResourceAction[[#This Row],[Resource Name]],ResourceTable[[RName]:[RID]],2,0)</f>
        <v>8</v>
      </c>
      <c r="F12" s="46" t="s">
        <v>951</v>
      </c>
      <c r="G12" s="46" t="s">
        <v>952</v>
      </c>
      <c r="H12" s="46" t="s">
        <v>953</v>
      </c>
      <c r="I12" s="46"/>
      <c r="J12" s="46" t="s">
        <v>953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1007</v>
      </c>
      <c r="U12" s="106"/>
      <c r="V12" s="106"/>
      <c r="W12" s="106"/>
      <c r="X12" s="106"/>
      <c r="Y12" s="91">
        <f>[No]</f>
        <v>10</v>
      </c>
      <c r="Z12"/>
      <c r="AA12" s="2" t="s">
        <v>1123</v>
      </c>
      <c r="AB12" s="17">
        <f>VLOOKUP(ActionListNData[[#This Row],[Action Name]],ResourceAction[[Display]:[No]],3,0)</f>
        <v>22</v>
      </c>
      <c r="AC12" s="17" t="s">
        <v>939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Map'!$A$10,SeedMap[],35,0),0))</f>
        <v>10</v>
      </c>
      <c r="AG12" s="17">
        <f>ActionListNData[[#This Row],[Action]]</f>
        <v>22</v>
      </c>
      <c r="AH12" s="17">
        <f>IF(ActionListNData[[#This Row],[Action Name]]="","resource_list",IFERROR(VLOOKUP(ActionListNData[[#This Row],[Resource List]],ResourceList[[ListDisplayName]:[No]],2,0),""))</f>
        <v>2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2" s="17">
        <f>ActionListNData[[#This Row],[Action]]</f>
        <v>22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50" t="str">
        <f>'Table Seed Map'!$A$33&amp;"-"&amp;(COUNTA($E$1:ResourceAction[[#This Row],[Resource]])-2)</f>
        <v>Resource Actions-11</v>
      </c>
      <c r="B13" s="50" t="str">
        <f>ResourceAction[[#This Row],[Resource Name]]&amp;"/"&amp;ResourceAction[[#This Row],[Name]]</f>
        <v>ResourceForm/FormsListAction</v>
      </c>
      <c r="C13" s="48" t="s">
        <v>310</v>
      </c>
      <c r="D13" s="50">
        <f>IF(ResourceAction[[#This Row],[Resource Name]]="","id",COUNTA($C$3:ResourceAction[[#This Row],[Resource Name]])+IF(VLOOKUP('Table Seed Map'!$A$33,SeedMap[],9,0),VLOOKUP('Table Seed Map'!$A$10,SeedMap[],32,0),0))</f>
        <v>11</v>
      </c>
      <c r="E13" s="50">
        <f>VLOOKUP(ResourceAction[[#This Row],[Resource Name]],ResourceTable[[RName]:[RID]],2,0)</f>
        <v>8</v>
      </c>
      <c r="F13" s="50" t="s">
        <v>1098</v>
      </c>
      <c r="G13" s="50" t="s">
        <v>1099</v>
      </c>
      <c r="H13" s="50"/>
      <c r="I13" s="50"/>
      <c r="J13" s="50" t="s">
        <v>1096</v>
      </c>
      <c r="K13" s="51" t="str">
        <f>'Table Seed Map'!$A$34&amp;"-"&amp;(COUNTA($E$1:ResourceAction[[#This Row],[Resource]])-2)</f>
        <v>Action Method-11</v>
      </c>
      <c r="L13" s="50">
        <f>IF(ResourceAction[[#This Row],[Resource Name]]="","id",COUNTA($C$3:ResourceAction[[#This Row],[Resource Name]])+IF(VLOOKUP('Table Seed Map'!$A$34,SeedMap[],9,0),VLOOKUP('Table Seed Map'!$A$34,SeedMap[],9,0),0))</f>
        <v>11</v>
      </c>
      <c r="M13" s="50">
        <f>[No]</f>
        <v>11</v>
      </c>
      <c r="N13" s="80" t="s">
        <v>277</v>
      </c>
      <c r="O13" s="111">
        <f ca="1">IF(ResourceAction[[#This Row],[Resource Name]]="","idn1",IF(ResourceAction[[#This Row],[IDN1]]="","",VLOOKUP(ResourceAction[[#This Row],[IDN1]],IDNMaps[[Display]:[ID]],2,0)))</f>
        <v>100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107" t="s">
        <v>1100</v>
      </c>
      <c r="U13" s="107"/>
      <c r="V13" s="107"/>
      <c r="W13" s="107"/>
      <c r="X13" s="107"/>
      <c r="Y13" s="93">
        <f>[No]</f>
        <v>11</v>
      </c>
      <c r="AA13" s="2" t="s">
        <v>1133</v>
      </c>
      <c r="AB13" s="17">
        <f>VLOOKUP(ActionListNData[[#This Row],[Action Name]],ResourceAction[[Display]:[No]],3,0)</f>
        <v>23</v>
      </c>
      <c r="AC13" s="17" t="s">
        <v>1085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Map'!$A$10,SeedMap[],35,0),0))</f>
        <v>11</v>
      </c>
      <c r="AG13" s="17">
        <f>ActionListNData[[#This Row],[Action]]</f>
        <v>23</v>
      </c>
      <c r="AH13" s="17">
        <f>IF(ActionListNData[[#This Row],[Action Name]]="","resource_list",IFERROR(VLOOKUP(ActionListNData[[#This Row],[Resource List]],ResourceList[[ListDisplayName]:[No]],2,0),""))</f>
        <v>4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3" s="17">
        <f>ActionListNData[[#This Row],[Action]]</f>
        <v>23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46" t="str">
        <f>'Table Seed Map'!$A$33&amp;"-"&amp;(COUNTA($E$1:ResourceAction[[#This Row],[Resource]])-2)</f>
        <v>Resource Actions-12</v>
      </c>
      <c r="B14" s="46" t="str">
        <f>ResourceAction[[#This Row],[Resource Name]]&amp;"/"&amp;ResourceAction[[#This Row],[Name]]</f>
        <v>Resource/AddNewFormAction</v>
      </c>
      <c r="C14" s="48" t="s">
        <v>204</v>
      </c>
      <c r="D14" s="46">
        <f>IF(ResourceAction[[#This Row],[Resource Name]]="","id",COUNTA($C$3:ResourceAction[[#This Row],[Resource Name]])+IF(VLOOKUP('Table Seed Map'!$A$33,SeedMap[],9,0),VLOOKUP('Table Seed Map'!$A$10,SeedMap[],32,0),0))</f>
        <v>12</v>
      </c>
      <c r="E14" s="46">
        <f>VLOOKUP(ResourceAction[[#This Row],[Resource Name]],ResourceTable[[RName]:[RID]],2,0)</f>
        <v>4</v>
      </c>
      <c r="F14" s="46" t="s">
        <v>954</v>
      </c>
      <c r="G14" s="46" t="s">
        <v>955</v>
      </c>
      <c r="H14" s="46" t="s">
        <v>956</v>
      </c>
      <c r="I14" s="46" t="s">
        <v>760</v>
      </c>
      <c r="J14" s="46"/>
      <c r="K14" s="49" t="str">
        <f>'Table Seed Map'!$A$34&amp;"-"&amp;(COUNTA($E$1:ResourceAction[[#This Row],[Resource]])-2)</f>
        <v>Action Method-12</v>
      </c>
      <c r="L14" s="46">
        <f>IF(ResourceAction[[#This Row],[Resource Name]]="","id",COUNTA($C$3:ResourceAction[[#This Row],[Resource Name]])+IF(VLOOKUP('Table Seed Map'!$A$34,SeedMap[],9,0),VLOOKUP('Table Seed Map'!$A$34,SeedMap[],9,0),0))</f>
        <v>12</v>
      </c>
      <c r="M14" s="46">
        <f>[No]</f>
        <v>12</v>
      </c>
      <c r="N14" s="78" t="s">
        <v>957</v>
      </c>
      <c r="O14" s="77">
        <f ca="1">IF(ResourceAction[[#This Row],[Resource Name]]="","idn1",IF(ResourceAction[[#This Row],[IDN1]]="","",VLOOKUP(ResourceAction[[#This Row],[IDN1]],IDNMaps[[Display]:[ID]],2,0)))</f>
        <v>14</v>
      </c>
      <c r="P14" s="79">
        <f ca="1">IF(ResourceAction[[#This Row],[Resource Name]]="","idn2",IF(ResourceAction[[#This Row],[IDN2]]="","",VLOOKUP(ResourceAction[[#This Row],[IDN2]],IDNMaps[[Display]:[ID]],2,0)))</f>
        <v>8</v>
      </c>
      <c r="Q14" s="79" t="str">
        <f>IF(ResourceAction[[#This Row],[Resource Name]]="","idn3",IF(ResourceAction[[#This Row],[IDN3]]="","",VLOOKUP(ResourceAction[[#This Row],[IDN3]],IDNMaps[[Display]:[ID]],2,0)))</f>
        <v/>
      </c>
      <c r="R14" s="79" t="str">
        <f>IF(ResourceAction[[#This Row],[Resource Name]]="","idn4",IF(ResourceAction[[#This Row],[IDN4]]="","",VLOOKUP(ResourceAction[[#This Row],[IDN4]],IDNMaps[[Display]:[ID]],2,0)))</f>
        <v/>
      </c>
      <c r="S14" s="79" t="str">
        <f>IF(ResourceAction[[#This Row],[Resource Name]]="","idn5",IF(ResourceAction[[#This Row],[IDN5]]="","",VLOOKUP(ResourceAction[[#This Row],[IDN5]],IDNMaps[[Display]:[ID]],2,0)))</f>
        <v/>
      </c>
      <c r="T14" s="106" t="s">
        <v>1008</v>
      </c>
      <c r="U14" s="106" t="s">
        <v>1012</v>
      </c>
      <c r="V14" s="106"/>
      <c r="W14" s="106"/>
      <c r="X14" s="106"/>
      <c r="Y14" s="91">
        <f>[No]</f>
        <v>12</v>
      </c>
      <c r="AA14" s="2" t="s">
        <v>1147</v>
      </c>
      <c r="AB14" s="17">
        <f>VLOOKUP(ActionListNData[[#This Row],[Action Name]],ResourceAction[[Display]:[No]],3,0)</f>
        <v>24</v>
      </c>
      <c r="AC14" s="17" t="s">
        <v>1085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Map'!$A$10,SeedMap[],35,0),0))</f>
        <v>12</v>
      </c>
      <c r="AG14" s="17">
        <f>ActionListNData[[#This Row],[Action]]</f>
        <v>24</v>
      </c>
      <c r="AH14" s="17">
        <f>IF(ActionListNData[[#This Row],[Action Name]]="","resource_list",IFERROR(VLOOKUP(ActionListNData[[#This Row],[Resource List]],ResourceList[[ListDisplayName]:[No]],2,0),""))</f>
        <v>4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4" s="17">
        <f>ActionListNData[[#This Row],[Action]]</f>
        <v>24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50" t="str">
        <f>'Table Seed Map'!$A$33&amp;"-"&amp;(COUNTA($E$1:ResourceAction[[#This Row],[Resource]])-2)</f>
        <v>Resource Actions-13</v>
      </c>
      <c r="B15" s="50" t="str">
        <f>ResourceAction[[#This Row],[Resource Name]]&amp;"/"&amp;ResourceAction[[#This Row],[Name]]</f>
        <v>ResourceList/CreateListFormAction</v>
      </c>
      <c r="C15" s="48" t="s">
        <v>406</v>
      </c>
      <c r="D15" s="50">
        <f>IF(ResourceAction[[#This Row],[Resource Name]]="","id",COUNTA($C$3:ResourceAction[[#This Row],[Resource Name]])+IF(VLOOKUP('Table Seed Map'!$A$33,SeedMap[],9,0),VLOOKUP('Table Seed Map'!$A$10,SeedMap[],32,0),0))</f>
        <v>13</v>
      </c>
      <c r="E15" s="50">
        <f>VLOOKUP(ResourceAction[[#This Row],[Resource Name]],ResourceTable[[RName]:[RID]],2,0)</f>
        <v>20</v>
      </c>
      <c r="F15" s="50" t="s">
        <v>983</v>
      </c>
      <c r="G15" s="50" t="s">
        <v>984</v>
      </c>
      <c r="H15" s="50" t="s">
        <v>975</v>
      </c>
      <c r="I15" s="50"/>
      <c r="J15" s="50" t="s">
        <v>974</v>
      </c>
      <c r="K15" s="51" t="str">
        <f>'Table Seed Map'!$A$34&amp;"-"&amp;(COUNTA($E$1:ResourceAction[[#This Row],[Resource]])-2)</f>
        <v>Action Method-13</v>
      </c>
      <c r="L15" s="50">
        <f>IF(ResourceAction[[#This Row],[Resource Name]]="","id",COUNTA($C$3:ResourceAction[[#This Row],[Resource Name]])+IF(VLOOKUP('Table Seed Map'!$A$34,SeedMap[],9,0),VLOOKUP('Table Seed Map'!$A$34,SeedMap[],9,0),0))</f>
        <v>13</v>
      </c>
      <c r="M15" s="50">
        <f>[No]</f>
        <v>13</v>
      </c>
      <c r="N15" s="80" t="s">
        <v>275</v>
      </c>
      <c r="O15" s="77">
        <f ca="1">IF(ResourceAction[[#This Row],[Resource Name]]="","idn1",IF(ResourceAction[[#This Row],[IDN1]]="","",VLOOKUP(ResourceAction[[#This Row],[IDN1]],IDNMaps[[Display]:[ID]],2,0)))</f>
        <v>10</v>
      </c>
      <c r="P15" s="81" t="str">
        <f>IF(ResourceAction[[#This Row],[Resource Name]]="","idn2",IF(ResourceAction[[#This Row],[IDN2]]="","",VLOOKUP(ResourceAction[[#This Row],[IDN2]],IDNMaps[[Display]:[ID]],2,0)))</f>
        <v/>
      </c>
      <c r="Q15" s="81" t="str">
        <f>IF(ResourceAction[[#This Row],[Resource Name]]="","idn3",IF(ResourceAction[[#This Row],[IDN3]]="","",VLOOKUP(ResourceAction[[#This Row],[IDN3]],IDNMaps[[Display]:[ID]],2,0)))</f>
        <v/>
      </c>
      <c r="R15" s="81" t="str">
        <f>IF(ResourceAction[[#This Row],[Resource Name]]="","idn4",IF(ResourceAction[[#This Row],[IDN4]]="","",VLOOKUP(ResourceAction[[#This Row],[IDN4]],IDNMaps[[Display]:[ID]],2,0)))</f>
        <v/>
      </c>
      <c r="S15" s="81" t="str">
        <f>IF(ResourceAction[[#This Row],[Resource Name]]="","idn5",IF(ResourceAction[[#This Row],[IDN5]]="","",VLOOKUP(ResourceAction[[#This Row],[IDN5]],IDNMaps[[Display]:[ID]],2,0)))</f>
        <v/>
      </c>
      <c r="T15" s="107" t="s">
        <v>1009</v>
      </c>
      <c r="U15" s="107"/>
      <c r="V15" s="107"/>
      <c r="W15" s="107"/>
      <c r="X15" s="107"/>
      <c r="Y15" s="93">
        <f>[No]</f>
        <v>13</v>
      </c>
      <c r="AA15" s="2" t="s">
        <v>1164</v>
      </c>
      <c r="AB15" s="17">
        <f>VLOOKUP(ActionListNData[[#This Row],[Action Name]],ResourceAction[[Display]:[No]],3,0)</f>
        <v>25</v>
      </c>
      <c r="AC15" s="17" t="s">
        <v>1085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Map'!$A$10,SeedMap[],35,0),0))</f>
        <v>13</v>
      </c>
      <c r="AG15" s="17">
        <f>ActionListNData[[#This Row],[Action]]</f>
        <v>25</v>
      </c>
      <c r="AH15" s="17">
        <f>IF(ActionListNData[[#This Row],[Action Name]]="","resource_list",IFERROR(VLOOKUP(ActionListNData[[#This Row],[Resource List]],ResourceList[[ListDisplayName]:[No]],2,0),""))</f>
        <v>4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5" s="17">
        <f>ActionListNData[[#This Row],[Action]]</f>
        <v>25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ResourceList/ListsListAction</v>
      </c>
      <c r="C16" s="48" t="s">
        <v>406</v>
      </c>
      <c r="D16" s="50">
        <f>IF(ResourceAction[[#This Row],[Resource Name]]="","id",COUNTA($C$3:ResourceAction[[#This Row],[Resource Name]])+IF(VLOOKUP('Table Seed Map'!$A$33,SeedMap[],9,0),VLOOKUP('Table Seed Map'!$A$10,SeedMap[],32,0),0))</f>
        <v>14</v>
      </c>
      <c r="E16" s="50">
        <f>VLOOKUP(ResourceAction[[#This Row],[Resource Name]],ResourceTable[[RName]:[RID]],2,0)</f>
        <v>20</v>
      </c>
      <c r="F16" s="50" t="s">
        <v>1101</v>
      </c>
      <c r="G16" s="50" t="s">
        <v>1102</v>
      </c>
      <c r="H16" s="50"/>
      <c r="I16" s="50"/>
      <c r="J16" s="50" t="s">
        <v>1096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100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1103</v>
      </c>
      <c r="U16" s="107"/>
      <c r="V16" s="107"/>
      <c r="W16" s="107"/>
      <c r="X16" s="107"/>
      <c r="Y16" s="93">
        <f>[No]</f>
        <v>14</v>
      </c>
      <c r="AA16" s="2" t="s">
        <v>1271</v>
      </c>
      <c r="AB16" s="17">
        <f>VLOOKUP(ActionListNData[[#This Row],[Action Name]],ResourceAction[[Display]:[No]],3,0)</f>
        <v>26</v>
      </c>
      <c r="AC16" s="17" t="s">
        <v>1084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Map'!$A$10,SeedMap[],35,0),0))</f>
        <v>14</v>
      </c>
      <c r="AG16" s="17">
        <f>ActionListNData[[#This Row],[Action]]</f>
        <v>26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6" s="17">
        <f>ActionListNData[[#This Row],[Action]]</f>
        <v>26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50" t="str">
        <f>'Table Seed Map'!$A$33&amp;"-"&amp;(COUNTA($E$1:ResourceAction[[#This Row],[Resource]])-2)</f>
        <v>Resource Actions-15</v>
      </c>
      <c r="B17" s="50" t="str">
        <f>ResourceAction[[#This Row],[Resource Name]]&amp;"/"&amp;ResourceAction[[#This Row],[Name]]</f>
        <v>ResourceList/AddListFormAction</v>
      </c>
      <c r="C17" s="48" t="s">
        <v>406</v>
      </c>
      <c r="D17" s="50">
        <f>IF(ResourceAction[[#This Row],[Resource Name]]="","id",COUNTA($C$3:ResourceAction[[#This Row],[Resource Name]])+IF(VLOOKUP('Table Seed Map'!$A$33,SeedMap[],9,0),VLOOKUP('Table Seed Map'!$A$10,SeedMap[],32,0),0))</f>
        <v>15</v>
      </c>
      <c r="E17" s="50">
        <f>VLOOKUP(ResourceAction[[#This Row],[Resource Name]],ResourceTable[[RName]:[RID]],2,0)</f>
        <v>20</v>
      </c>
      <c r="F17" s="50" t="s">
        <v>985</v>
      </c>
      <c r="G17" s="50" t="s">
        <v>986</v>
      </c>
      <c r="H17" s="50" t="s">
        <v>981</v>
      </c>
      <c r="I17" s="50" t="s">
        <v>760</v>
      </c>
      <c r="J17" s="50"/>
      <c r="K17" s="51" t="str">
        <f>'Table Seed Map'!$A$34&amp;"-"&amp;(COUNTA($E$1:ResourceAction[[#This Row],[Resource]])-2)</f>
        <v>Action Method-15</v>
      </c>
      <c r="L17" s="50">
        <f>IF(ResourceAction[[#This Row],[Resource Name]]="","id",COUNTA($C$3:ResourceAction[[#This Row],[Resource Name]])+IF(VLOOKUP('Table Seed Map'!$A$34,SeedMap[],9,0),VLOOKUP('Table Seed Map'!$A$34,SeedMap[],9,0),0))</f>
        <v>15</v>
      </c>
      <c r="M17" s="50">
        <f>[No]</f>
        <v>15</v>
      </c>
      <c r="N17" s="80" t="s">
        <v>957</v>
      </c>
      <c r="O17" s="77">
        <f ca="1">IF(ResourceAction[[#This Row],[Resource Name]]="","idn1",IF(ResourceAction[[#This Row],[IDN1]]="","",VLOOKUP(ResourceAction[[#This Row],[IDN1]],IDNMaps[[Display]:[ID]],2,0)))</f>
        <v>54</v>
      </c>
      <c r="P17" s="81">
        <f ca="1">IF(ResourceAction[[#This Row],[Resource Name]]="","idn2",IF(ResourceAction[[#This Row],[IDN2]]="","",VLOOKUP(ResourceAction[[#This Row],[IDN2]],IDNMaps[[Display]:[ID]],2,0)))</f>
        <v>11</v>
      </c>
      <c r="Q17" s="81" t="str">
        <f>IF(ResourceAction[[#This Row],[Resource Name]]="","idn3",IF(ResourceAction[[#This Row],[IDN3]]="","",VLOOKUP(ResourceAction[[#This Row],[IDN3]],IDNMaps[[Display]:[ID]],2,0)))</f>
        <v/>
      </c>
      <c r="R17" s="81" t="str">
        <f>IF(ResourceAction[[#This Row],[Resource Name]]="","idn4",IF(ResourceAction[[#This Row],[IDN4]]="","",VLOOKUP(ResourceAction[[#This Row],[IDN4]],IDNMaps[[Display]:[ID]],2,0)))</f>
        <v/>
      </c>
      <c r="S17" s="81" t="str">
        <f>IF(ResourceAction[[#This Row],[Resource Name]]="","idn5",IF(ResourceAction[[#This Row],[IDN5]]="","",VLOOKUP(ResourceAction[[#This Row],[IDN5]],IDNMaps[[Display]:[ID]],2,0)))</f>
        <v/>
      </c>
      <c r="T17" s="107" t="s">
        <v>1010</v>
      </c>
      <c r="U17" s="107" t="s">
        <v>1011</v>
      </c>
      <c r="V17" s="107"/>
      <c r="W17" s="107"/>
      <c r="X17" s="107"/>
      <c r="Y17" s="93">
        <f>[No]</f>
        <v>15</v>
      </c>
      <c r="AA17" s="2" t="s">
        <v>1270</v>
      </c>
      <c r="AB17" s="17">
        <f>VLOOKUP(ActionListNData[[#This Row],[Action Name]],ResourceAction[[Display]:[No]],3,0)</f>
        <v>27</v>
      </c>
      <c r="AC17" s="17" t="s">
        <v>1084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Map'!$A$10,SeedMap[],35,0),0))</f>
        <v>15</v>
      </c>
      <c r="AG17" s="17">
        <f>ActionListNData[[#This Row],[Action]]</f>
        <v>27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7" s="17">
        <f>ActionListNData[[#This Row],[Action]]</f>
        <v>27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46" t="str">
        <f>'Table Seed Map'!$A$33&amp;"-"&amp;(COUNTA($E$1:ResourceAction[[#This Row],[Resource]])-2)</f>
        <v>Resource Actions-16</v>
      </c>
      <c r="B18" s="46" t="str">
        <f>ResourceAction[[#This Row],[Resource Name]]&amp;"/"&amp;ResourceAction[[#This Row],[Name]]</f>
        <v>ResourceData/CreateDataFormAction</v>
      </c>
      <c r="C18" s="48" t="s">
        <v>429</v>
      </c>
      <c r="D18" s="46">
        <f>IF(ResourceAction[[#This Row],[Resource Name]]="","id",COUNTA($C$3:ResourceAction[[#This Row],[Resource Name]])+IF(VLOOKUP('Table Seed Map'!$A$33,SeedMap[],9,0),VLOOKUP('Table Seed Map'!$A$10,SeedMap[],32,0),0))</f>
        <v>16</v>
      </c>
      <c r="E18" s="46">
        <f>VLOOKUP(ResourceAction[[#This Row],[Resource Name]],ResourceTable[[RName]:[RID]],2,0)</f>
        <v>25</v>
      </c>
      <c r="F18" s="46" t="s">
        <v>1024</v>
      </c>
      <c r="G18" s="46" t="s">
        <v>1026</v>
      </c>
      <c r="H18" s="46" t="s">
        <v>1018</v>
      </c>
      <c r="I18" s="46"/>
      <c r="J18" s="46" t="s">
        <v>1028</v>
      </c>
      <c r="K18" s="49" t="str">
        <f>'Table Seed Map'!$A$34&amp;"-"&amp;(COUNTA($E$1:ResourceAction[[#This Row],[Resource]])-2)</f>
        <v>Action Method-16</v>
      </c>
      <c r="L18" s="46">
        <f>IF(ResourceAction[[#This Row],[Resource Name]]="","id",COUNTA($C$3:ResourceAction[[#This Row],[Resource Name]])+IF(VLOOKUP('Table Seed Map'!$A$34,SeedMap[],9,0),VLOOKUP('Table Seed Map'!$A$34,SeedMap[],9,0),0))</f>
        <v>16</v>
      </c>
      <c r="M18" s="46">
        <f>[No]</f>
        <v>16</v>
      </c>
      <c r="N18" s="78" t="s">
        <v>275</v>
      </c>
      <c r="O18" s="79">
        <f ca="1">IF(ResourceAction[[#This Row],[Resource Name]]="","idn1",IF(ResourceAction[[#This Row],[IDN1]]="","",VLOOKUP(ResourceAction[[#This Row],[IDN1]],IDNMaps[[Display]:[ID]],2,0)))</f>
        <v>12</v>
      </c>
      <c r="P18" s="79" t="str">
        <f>IF(ResourceAction[[#This Row],[Resource Name]]="","idn2",IF(ResourceAction[[#This Row],[IDN2]]="","",VLOOKUP(ResourceAction[[#This Row],[IDN2]],IDNMaps[[Display]:[ID]],2,0)))</f>
        <v/>
      </c>
      <c r="Q18" s="79" t="str">
        <f>IF(ResourceAction[[#This Row],[Resource Name]]="","idn3",IF(ResourceAction[[#This Row],[IDN3]]="","",VLOOKUP(ResourceAction[[#This Row],[IDN3]],IDNMaps[[Display]:[ID]],2,0)))</f>
        <v/>
      </c>
      <c r="R18" s="79" t="str">
        <f>IF(ResourceAction[[#This Row],[Resource Name]]="","idn4",IF(ResourceAction[[#This Row],[IDN4]]="","",VLOOKUP(ResourceAction[[#This Row],[IDN4]],IDNMaps[[Display]:[ID]],2,0)))</f>
        <v/>
      </c>
      <c r="S18" s="79" t="str">
        <f>IF(ResourceAction[[#This Row],[Resource Name]]="","idn5",IF(ResourceAction[[#This Row],[IDN5]]="","",VLOOKUP(ResourceAction[[#This Row],[IDN5]],IDNMaps[[Display]:[ID]],2,0)))</f>
        <v/>
      </c>
      <c r="T18" s="106" t="s">
        <v>1029</v>
      </c>
      <c r="U18" s="106"/>
      <c r="V18" s="106"/>
      <c r="W18" s="106"/>
      <c r="X18" s="106"/>
      <c r="Y18" s="91">
        <f>[No]</f>
        <v>16</v>
      </c>
      <c r="AA18" s="2" t="s">
        <v>1272</v>
      </c>
      <c r="AB18" s="17">
        <f>VLOOKUP(ActionListNData[[#This Row],[Action Name]],ResourceAction[[Display]:[No]],3,0)</f>
        <v>28</v>
      </c>
      <c r="AC18" s="17" t="s">
        <v>1084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Map'!$A$10,SeedMap[],35,0),0))</f>
        <v>16</v>
      </c>
      <c r="AG18" s="17">
        <f>ActionListNData[[#This Row],[Action]]</f>
        <v>28</v>
      </c>
      <c r="AH18" s="17">
        <f>IF(ActionListNData[[#This Row],[Action Name]]="","resource_list",IFERROR(VLOOKUP(ActionListNData[[#This Row],[Resource List]],ResourceList[[ListDisplayName]:[No]],2,0),""))</f>
        <v>5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8" s="17">
        <f>ActionListNData[[#This Row],[Action]]</f>
        <v>28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ResourceData/DataListAction</v>
      </c>
      <c r="C19" s="48" t="s">
        <v>429</v>
      </c>
      <c r="D19" s="50">
        <f>IF(ResourceAction[[#This Row],[Resource Name]]="","id",COUNTA($C$3:ResourceAction[[#This Row],[Resource Name]])+IF(VLOOKUP('Table Seed Map'!$A$33,SeedMap[],9,0),VLOOKUP('Table Seed Map'!$A$10,SeedMap[],32,0),0))</f>
        <v>17</v>
      </c>
      <c r="E19" s="50">
        <f>VLOOKUP(ResourceAction[[#This Row],[Resource Name]],ResourceTable[[RName]:[RID]],2,0)</f>
        <v>25</v>
      </c>
      <c r="F19" s="50" t="s">
        <v>1104</v>
      </c>
      <c r="G19" s="50" t="s">
        <v>1105</v>
      </c>
      <c r="H19" s="50"/>
      <c r="I19" s="50"/>
      <c r="J19" s="50" t="s">
        <v>1096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81">
        <f ca="1">IF(ResourceAction[[#This Row],[Resource Name]]="","idn1",IF(ResourceAction[[#This Row],[IDN1]]="","",VLOOKUP(ResourceAction[[#This Row],[IDN1]],IDNMaps[[Display]:[ID]],2,0)))</f>
        <v>100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1106</v>
      </c>
      <c r="U19" s="107"/>
      <c r="V19" s="107"/>
      <c r="W19" s="107"/>
      <c r="X19" s="107"/>
      <c r="Y19" s="93">
        <f>[No]</f>
        <v>17</v>
      </c>
      <c r="AA19" s="2" t="s">
        <v>1273</v>
      </c>
      <c r="AB19" s="17">
        <f>VLOOKUP(ActionListNData[[#This Row],[Action Name]],ResourceAction[[Display]:[No]],3,0)</f>
        <v>29</v>
      </c>
      <c r="AC19" s="17" t="s">
        <v>1084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Map'!$A$10,SeedMap[],35,0),0))</f>
        <v>17</v>
      </c>
      <c r="AG19" s="17">
        <f>ActionListNData[[#This Row],[Action]]</f>
        <v>29</v>
      </c>
      <c r="AH19" s="17">
        <f>IF(ActionListNData[[#This Row],[Action Name]]="","resource_list",IFERROR(VLOOKUP(ActionListNData[[#This Row],[Resource List]],ResourceList[[ListDisplayName]:[No]],2,0),""))</f>
        <v>5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9" s="17">
        <f>ActionListNData[[#This Row],[Action]]</f>
        <v>29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46" t="str">
        <f>'Table Seed Map'!$A$33&amp;"-"&amp;(COUNTA($E$1:ResourceAction[[#This Row],[Resource]])-2)</f>
        <v>Resource Actions-18</v>
      </c>
      <c r="B20" s="46" t="str">
        <f>ResourceAction[[#This Row],[Resource Name]]&amp;"/"&amp;ResourceAction[[#This Row],[Name]]</f>
        <v>ResourceData/AddDataFormAction</v>
      </c>
      <c r="C20" s="48" t="s">
        <v>429</v>
      </c>
      <c r="D20" s="46">
        <f>IF(ResourceAction[[#This Row],[Resource Name]]="","id",COUNTA($C$3:ResourceAction[[#This Row],[Resource Name]])+IF(VLOOKUP('Table Seed Map'!$A$33,SeedMap[],9,0),VLOOKUP('Table Seed Map'!$A$10,SeedMap[],32,0),0))</f>
        <v>18</v>
      </c>
      <c r="E20" s="46">
        <f>VLOOKUP(ResourceAction[[#This Row],[Resource Name]],ResourceTable[[RName]:[RID]],2,0)</f>
        <v>25</v>
      </c>
      <c r="F20" s="46" t="s">
        <v>1025</v>
      </c>
      <c r="G20" s="46" t="s">
        <v>1027</v>
      </c>
      <c r="H20" s="46" t="s">
        <v>1021</v>
      </c>
      <c r="I20" s="46" t="s">
        <v>760</v>
      </c>
      <c r="J20" s="46"/>
      <c r="K20" s="49" t="str">
        <f>'Table Seed Map'!$A$34&amp;"-"&amp;(COUNTA($E$1:ResourceAction[[#This Row],[Resource]])-2)</f>
        <v>Action Method-18</v>
      </c>
      <c r="L20" s="46">
        <f>IF(ResourceAction[[#This Row],[Resource Name]]="","id",COUNTA($C$3:ResourceAction[[#This Row],[Resource Name]])+IF(VLOOKUP('Table Seed Map'!$A$34,SeedMap[],9,0),VLOOKUP('Table Seed Map'!$A$34,SeedMap[],9,0),0))</f>
        <v>18</v>
      </c>
      <c r="M20" s="46">
        <f>[No]</f>
        <v>18</v>
      </c>
      <c r="N20" s="78" t="s">
        <v>957</v>
      </c>
      <c r="O20" s="79">
        <f ca="1">IF(ResourceAction[[#This Row],[Resource Name]]="","idn1",IF(ResourceAction[[#This Row],[IDN1]]="","",VLOOKUP(ResourceAction[[#This Row],[IDN1]],IDNMaps[[Display]:[ID]],2,0)))</f>
        <v>55</v>
      </c>
      <c r="P20" s="79">
        <f ca="1">IF(ResourceAction[[#This Row],[Resource Name]]="","idn2",IF(ResourceAction[[#This Row],[IDN2]]="","",VLOOKUP(ResourceAction[[#This Row],[IDN2]],IDNMaps[[Display]:[ID]],2,0)))</f>
        <v>13</v>
      </c>
      <c r="Q20" s="79" t="str">
        <f>IF(ResourceAction[[#This Row],[Resource Name]]="","idn3",IF(ResourceAction[[#This Row],[IDN3]]="","",VLOOKUP(ResourceAction[[#This Row],[IDN3]],IDNMaps[[Display]:[ID]],2,0)))</f>
        <v/>
      </c>
      <c r="R20" s="79" t="str">
        <f>IF(ResourceAction[[#This Row],[Resource Name]]="","idn4",IF(ResourceAction[[#This Row],[IDN4]]="","",VLOOKUP(ResourceAction[[#This Row],[IDN4]],IDNMaps[[Display]:[ID]],2,0)))</f>
        <v/>
      </c>
      <c r="S20" s="79" t="str">
        <f>IF(ResourceAction[[#This Row],[Resource Name]]="","idn5",IF(ResourceAction[[#This Row],[IDN5]]="","",VLOOKUP(ResourceAction[[#This Row],[IDN5]],IDNMaps[[Display]:[ID]],2,0)))</f>
        <v/>
      </c>
      <c r="T20" s="106" t="s">
        <v>1030</v>
      </c>
      <c r="U20" s="106" t="s">
        <v>1031</v>
      </c>
      <c r="V20" s="106"/>
      <c r="W20" s="106"/>
      <c r="X20" s="106"/>
      <c r="Y20" s="91">
        <f>[No]</f>
        <v>18</v>
      </c>
      <c r="AA20" s="2" t="s">
        <v>1274</v>
      </c>
      <c r="AB20" s="17">
        <f>VLOOKUP(ActionListNData[[#This Row],[Action Name]],ResourceAction[[Display]:[No]],3,0)</f>
        <v>30</v>
      </c>
      <c r="AC20" s="17" t="s">
        <v>1092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Map'!$A$10,SeedMap[],35,0),0))</f>
        <v>18</v>
      </c>
      <c r="AG20" s="17">
        <f>ActionListNData[[#This Row],[Action]]</f>
        <v>30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0" s="17">
        <f>ActionListNData[[#This Row],[Action]]</f>
        <v>30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50" t="str">
        <f>'Table Seed Map'!$A$33&amp;"-"&amp;(COUNTA($E$1:ResourceAction[[#This Row],[Resource]])-2)</f>
        <v>Resource Actions-19</v>
      </c>
      <c r="B21" s="50" t="str">
        <f>ResourceAction[[#This Row],[Resource Name]]&amp;"/"&amp;ResourceAction[[#This Row],[Name]]</f>
        <v>Resource/ListResourceFormsAction</v>
      </c>
      <c r="C21" s="39" t="s">
        <v>204</v>
      </c>
      <c r="D21" s="50">
        <f>IF(ResourceAction[[#This Row],[Resource Name]]="","id",COUNTA($C$3:ResourceAction[[#This Row],[Resource Name]])+IF(VLOOKUP('Table Seed Map'!$A$33,SeedMap[],9,0),VLOOKUP('Table Seed Map'!$A$10,SeedMap[],32,0),0))</f>
        <v>19</v>
      </c>
      <c r="E21" s="50">
        <f>VLOOKUP(ResourceAction[[#This Row],[Resource Name]],ResourceTable[[RName]:[RID]],2,0)</f>
        <v>4</v>
      </c>
      <c r="F21" s="50" t="s">
        <v>1107</v>
      </c>
      <c r="G21" s="50" t="s">
        <v>1114</v>
      </c>
      <c r="H21" s="50" t="s">
        <v>1108</v>
      </c>
      <c r="I21" s="46" t="s">
        <v>760</v>
      </c>
      <c r="J21" s="50"/>
      <c r="K21" s="51" t="str">
        <f>'Table Seed Map'!$A$34&amp;"-"&amp;(COUNTA($E$1:ResourceAction[[#This Row],[Resource]])-2)</f>
        <v>Action Method-19</v>
      </c>
      <c r="L21" s="50">
        <f>IF(ResourceAction[[#This Row],[Resource Name]]="","id",COUNTA($C$3:ResourceAction[[#This Row],[Resource Name]])+IF(VLOOKUP('Table Seed Map'!$A$34,SeedMap[],9,0),VLOOKUP('Table Seed Map'!$A$34,SeedMap[],9,0),0))</f>
        <v>19</v>
      </c>
      <c r="M21" s="50">
        <f>[No]</f>
        <v>19</v>
      </c>
      <c r="N21" s="80" t="s">
        <v>1109</v>
      </c>
      <c r="O21" s="81">
        <f ca="1">IF(ResourceAction[[#This Row],[Resource Name]]="","idn1",IF(ResourceAction[[#This Row],[IDN1]]="","",VLOOKUP(ResourceAction[[#This Row],[IDN1]],IDNMaps[[Display]:[ID]],2,0)))</f>
        <v>14</v>
      </c>
      <c r="P21" s="81">
        <f ca="1">IF(ResourceAction[[#This Row],[Resource Name]]="","idn2",IF(ResourceAction[[#This Row],[IDN2]]="","",VLOOKUP(ResourceAction[[#This Row],[IDN2]],IDNMaps[[Display]:[ID]],2,0)))</f>
        <v>100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107" t="s">
        <v>1008</v>
      </c>
      <c r="U21" s="107" t="s">
        <v>1100</v>
      </c>
      <c r="V21" s="107"/>
      <c r="W21" s="107"/>
      <c r="X21" s="107"/>
      <c r="Y21" s="93">
        <f>[No]</f>
        <v>19</v>
      </c>
      <c r="AA21" s="2" t="s">
        <v>1275</v>
      </c>
      <c r="AB21" s="17">
        <f>VLOOKUP(ActionListNData[[#This Row],[Action Name]],ResourceAction[[Display]:[No]],3,0)</f>
        <v>31</v>
      </c>
      <c r="AC21" s="17" t="s">
        <v>1092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Map'!$A$10,SeedMap[],35,0),0))</f>
        <v>19</v>
      </c>
      <c r="AG21" s="17">
        <f>ActionListNData[[#This Row],[Action]]</f>
        <v>31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1" s="17">
        <f>ActionListNData[[#This Row],[Action]]</f>
        <v>31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Resource/ListResourceListsAction</v>
      </c>
      <c r="C22" s="39" t="s">
        <v>204</v>
      </c>
      <c r="D22" s="50">
        <f>IF(ResourceAction[[#This Row],[Resource Name]]="","id",COUNTA($C$3:ResourceAction[[#This Row],[Resource Name]])+IF(VLOOKUP('Table Seed Map'!$A$33,SeedMap[],9,0),VLOOKUP('Table Seed Map'!$A$10,SeedMap[],32,0),0))</f>
        <v>20</v>
      </c>
      <c r="E22" s="50">
        <f>VLOOKUP(ResourceAction[[#This Row],[Resource Name]],ResourceTable[[RName]:[RID]],2,0)</f>
        <v>4</v>
      </c>
      <c r="F22" s="50" t="s">
        <v>1110</v>
      </c>
      <c r="G22" s="50" t="s">
        <v>1113</v>
      </c>
      <c r="H22" s="50" t="s">
        <v>1117</v>
      </c>
      <c r="I22" s="46" t="s">
        <v>760</v>
      </c>
      <c r="J22" s="50"/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1109</v>
      </c>
      <c r="O22" s="81">
        <f ca="1">IF(ResourceAction[[#This Row],[Resource Name]]="","idn1",IF(ResourceAction[[#This Row],[IDN1]]="","",VLOOKUP(ResourceAction[[#This Row],[IDN1]],IDNMaps[[Display]:[ID]],2,0)))</f>
        <v>54</v>
      </c>
      <c r="P22" s="81">
        <f ca="1">IF(ResourceAction[[#This Row],[Resource Name]]="","idn2",IF(ResourceAction[[#This Row],[IDN2]]="","",VLOOKUP(ResourceAction[[#This Row],[IDN2]],IDNMaps[[Display]:[ID]],2,0)))</f>
        <v>100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1010</v>
      </c>
      <c r="U22" s="107" t="s">
        <v>1103</v>
      </c>
      <c r="V22" s="107"/>
      <c r="W22" s="107"/>
      <c r="X22" s="107"/>
      <c r="Y22" s="93">
        <f>[No]</f>
        <v>20</v>
      </c>
      <c r="AA22" s="2" t="s">
        <v>1276</v>
      </c>
      <c r="AB22" s="17">
        <f>VLOOKUP(ActionListNData[[#This Row],[Action Name]],ResourceAction[[Display]:[No]],3,0)</f>
        <v>32</v>
      </c>
      <c r="AC22" s="17" t="s">
        <v>1092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Map'!$A$10,SeedMap[],35,0),0))</f>
        <v>20</v>
      </c>
      <c r="AG22" s="17">
        <f>ActionListNData[[#This Row],[Action]]</f>
        <v>32</v>
      </c>
      <c r="AH22" s="17">
        <f>IF(ActionListNData[[#This Row],[Action Name]]="","resource_list",IFERROR(VLOOKUP(ActionListNData[[#This Row],[Resource List]],ResourceList[[ListDisplayName]:[No]],2,0),""))</f>
        <v>6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2" s="17">
        <f>ActionListNData[[#This Row],[Action]]</f>
        <v>32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50" t="str">
        <f>'Table Seed Map'!$A$33&amp;"-"&amp;(COUNTA($E$1:ResourceAction[[#This Row],[Resource]])-2)</f>
        <v>Resource Actions-21</v>
      </c>
      <c r="B23" s="50" t="str">
        <f>ResourceAction[[#This Row],[Resource Name]]&amp;"/"&amp;ResourceAction[[#This Row],[Name]]</f>
        <v>Resource/ListResourceDataAction</v>
      </c>
      <c r="C23" s="39" t="s">
        <v>204</v>
      </c>
      <c r="D23" s="50">
        <f>IF(ResourceAction[[#This Row],[Resource Name]]="","id",COUNTA($C$3:ResourceAction[[#This Row],[Resource Name]])+IF(VLOOKUP('Table Seed Map'!$A$33,SeedMap[],9,0),VLOOKUP('Table Seed Map'!$A$10,SeedMap[],32,0),0))</f>
        <v>21</v>
      </c>
      <c r="E23" s="50">
        <f>VLOOKUP(ResourceAction[[#This Row],[Resource Name]],ResourceTable[[RName]:[RID]],2,0)</f>
        <v>4</v>
      </c>
      <c r="F23" s="50" t="s">
        <v>1111</v>
      </c>
      <c r="G23" s="50" t="s">
        <v>1115</v>
      </c>
      <c r="H23" s="50" t="s">
        <v>1118</v>
      </c>
      <c r="I23" s="46" t="s">
        <v>760</v>
      </c>
      <c r="J23" s="50"/>
      <c r="K23" s="51" t="str">
        <f>'Table Seed Map'!$A$34&amp;"-"&amp;(COUNTA($E$1:ResourceAction[[#This Row],[Resource]])-2)</f>
        <v>Action Method-21</v>
      </c>
      <c r="L23" s="50">
        <f>IF(ResourceAction[[#This Row],[Resource Name]]="","id",COUNTA($C$3:ResourceAction[[#This Row],[Resource Name]])+IF(VLOOKUP('Table Seed Map'!$A$34,SeedMap[],9,0),VLOOKUP('Table Seed Map'!$A$34,SeedMap[],9,0),0))</f>
        <v>21</v>
      </c>
      <c r="M23" s="50">
        <f>[No]</f>
        <v>21</v>
      </c>
      <c r="N23" s="80" t="s">
        <v>1109</v>
      </c>
      <c r="O23" s="81">
        <f ca="1">IF(ResourceAction[[#This Row],[Resource Name]]="","idn1",IF(ResourceAction[[#This Row],[IDN1]]="","",VLOOKUP(ResourceAction[[#This Row],[IDN1]],IDNMaps[[Display]:[ID]],2,0)))</f>
        <v>55</v>
      </c>
      <c r="P23" s="81">
        <f ca="1">IF(ResourceAction[[#This Row],[Resource Name]]="","idn2",IF(ResourceAction[[#This Row],[IDN2]]="","",VLOOKUP(ResourceAction[[#This Row],[IDN2]],IDNMaps[[Display]:[ID]],2,0)))</f>
        <v>100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107" t="s">
        <v>1030</v>
      </c>
      <c r="U23" s="107" t="s">
        <v>1106</v>
      </c>
      <c r="V23" s="107"/>
      <c r="W23" s="107"/>
      <c r="X23" s="107"/>
      <c r="Y23" s="93">
        <f>[No]</f>
        <v>21</v>
      </c>
      <c r="AA23" s="2" t="s">
        <v>1281</v>
      </c>
      <c r="AB23" s="17">
        <f>VLOOKUP(ActionListNData[[#This Row],[Action Name]],ResourceAction[[Display]:[No]],3,0)</f>
        <v>33</v>
      </c>
      <c r="AC23" s="17" t="s">
        <v>1092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Map'!$A$10,SeedMap[],35,0),0))</f>
        <v>21</v>
      </c>
      <c r="AG23" s="17">
        <f>ActionListNData[[#This Row],[Action]]</f>
        <v>33</v>
      </c>
      <c r="AH23" s="17">
        <f>IF(ActionListNData[[#This Row],[Action Name]]="","resource_list",IFERROR(VLOOKUP(ActionListNData[[#This Row],[Resource List]],ResourceList[[ListDisplayName]:[No]],2,0),""))</f>
        <v>6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3" s="17">
        <f>ActionListNData[[#This Row],[Action]]</f>
        <v>33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Resource/ListResourceActionsAction</v>
      </c>
      <c r="C24" s="39" t="s">
        <v>204</v>
      </c>
      <c r="D24" s="50">
        <f>IF(ResourceAction[[#This Row],[Resource Name]]="","id",COUNTA($C$3:ResourceAction[[#This Row],[Resource Name]])+IF(VLOOKUP('Table Seed Map'!$A$33,SeedMap[],9,0),VLOOKUP('Table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1112</v>
      </c>
      <c r="G24" s="50" t="s">
        <v>1116</v>
      </c>
      <c r="H24" s="50" t="s">
        <v>1119</v>
      </c>
      <c r="I24" s="46" t="s">
        <v>760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1109</v>
      </c>
      <c r="O24" s="81">
        <f ca="1">IF(ResourceAction[[#This Row],[Resource Name]]="","idn1",IF(ResourceAction[[#This Row],[IDN1]]="","",VLOOKUP(ResourceAction[[#This Row],[IDN1]],IDNMaps[[Display]:[ID]],2,0)))</f>
        <v>7</v>
      </c>
      <c r="P24" s="81">
        <f ca="1">IF(ResourceAction[[#This Row],[Resource Name]]="","idn2",IF(ResourceAction[[#This Row],[IDN2]]="","",VLOOKUP(ResourceAction[[#This Row],[IDN2]],IDNMaps[[Display]:[ID]],2,0)))</f>
        <v>100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1053</v>
      </c>
      <c r="U24" s="107" t="s">
        <v>1097</v>
      </c>
      <c r="V24" s="107"/>
      <c r="W24" s="107"/>
      <c r="X24" s="107"/>
      <c r="Y24" s="93">
        <f>[No]</f>
        <v>22</v>
      </c>
      <c r="AA24" s="2" t="s">
        <v>1291</v>
      </c>
      <c r="AB24" s="17">
        <f>VLOOKUP(ActionListNData[[#This Row],[Action Name]],ResourceAction[[Display]:[No]],3,0)</f>
        <v>34</v>
      </c>
      <c r="AC24" s="17" t="s">
        <v>1083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Map'!$A$10,SeedMap[],35,0),0))</f>
        <v>22</v>
      </c>
      <c r="AG24" s="17">
        <f>ActionListNData[[#This Row],[Action]]</f>
        <v>34</v>
      </c>
      <c r="AH24" s="17">
        <f>IF(ActionListNData[[#This Row],[Action Name]]="","resource_list",IFERROR(VLOOKUP(ActionListNData[[#This Row],[Resource List]],ResourceList[[ListDisplayName]:[No]],2,0),""))</f>
        <v>3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4" s="17">
        <f>ActionListNData[[#This Row],[Action]]</f>
        <v>34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ResourceForm/ListFormFieldsAction</v>
      </c>
      <c r="C25" s="39" t="s">
        <v>310</v>
      </c>
      <c r="D25" s="50">
        <f>IF(ResourceAction[[#This Row],[Resource Name]]="","id",COUNTA($C$3:ResourceAction[[#This Row],[Resource Name]])+IF(VLOOKUP('Table Seed Map'!$A$33,SeedMap[],9,0),VLOOKUP('Table Seed Map'!$A$10,SeedMap[],32,0),0))</f>
        <v>23</v>
      </c>
      <c r="E25" s="50">
        <f>VLOOKUP(ResourceAction[[#This Row],[Resource Name]],ResourceTable[[RName]:[RID]],2,0)</f>
        <v>8</v>
      </c>
      <c r="F25" s="50" t="s">
        <v>1128</v>
      </c>
      <c r="G25" s="50" t="s">
        <v>1129</v>
      </c>
      <c r="H25" s="50" t="s">
        <v>1130</v>
      </c>
      <c r="I25" s="46" t="s">
        <v>760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1109</v>
      </c>
      <c r="O25" s="81">
        <f ca="1">IF(ResourceAction[[#This Row],[Resource Name]]="","idn1",IF(ResourceAction[[#This Row],[IDN1]]="","",VLOOKUP(ResourceAction[[#This Row],[IDN1]],IDNMaps[[Display]:[ID]],2,0)))</f>
        <v>15</v>
      </c>
      <c r="P25" s="81">
        <f ca="1">IF(ResourceAction[[#This Row],[Resource Name]]="","idn2",IF(ResourceAction[[#This Row],[IDN2]]="","",VLOOKUP(ResourceAction[[#This Row],[IDN2]],IDNMaps[[Display]:[ID]],2,0)))</f>
        <v>20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1131</v>
      </c>
      <c r="U25" s="107" t="s">
        <v>1132</v>
      </c>
      <c r="V25" s="107"/>
      <c r="W25" s="107"/>
      <c r="X25" s="107"/>
      <c r="Y25" s="93">
        <f>[No]</f>
        <v>23</v>
      </c>
      <c r="AA25" s="2" t="s">
        <v>1300</v>
      </c>
      <c r="AB25" s="17">
        <f>VLOOKUP(ActionListNData[[#This Row],[Action Name]],ResourceAction[[Display]:[No]],3,0)</f>
        <v>35</v>
      </c>
      <c r="AC25" s="17" t="s">
        <v>1083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Map'!$A$10,SeedMap[],35,0),0))</f>
        <v>23</v>
      </c>
      <c r="AG25" s="17">
        <f>ActionListNData[[#This Row],[Action]]</f>
        <v>35</v>
      </c>
      <c r="AH25" s="17">
        <f>IF(ActionListNData[[#This Row],[Action Name]]="","resource_list",IFERROR(VLOOKUP(ActionListNData[[#This Row],[Resource List]],ResourceList[[ListDisplayName]:[No]],2,0),""))</f>
        <v>3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5" s="17">
        <f>ActionListNData[[#This Row],[Action]]</f>
        <v>35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ResourceForm/ListFormLayoutsAction</v>
      </c>
      <c r="C26" s="39" t="s">
        <v>310</v>
      </c>
      <c r="D26" s="50">
        <f>IF(ResourceAction[[#This Row],[Resource Name]]="","id",COUNTA($C$3:ResourceAction[[#This Row],[Resource Name]])+IF(VLOOKUP('Table Seed Map'!$A$33,SeedMap[],9,0),VLOOKUP('Table Seed Map'!$A$10,SeedMap[],32,0),0))</f>
        <v>24</v>
      </c>
      <c r="E26" s="50">
        <f>VLOOKUP(ResourceAction[[#This Row],[Resource Name]],ResourceTable[[RName]:[RID]],2,0)</f>
        <v>8</v>
      </c>
      <c r="F26" s="50" t="s">
        <v>1142</v>
      </c>
      <c r="G26" s="50" t="s">
        <v>1143</v>
      </c>
      <c r="H26" s="50" t="s">
        <v>1144</v>
      </c>
      <c r="I26" s="46" t="s">
        <v>760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1109</v>
      </c>
      <c r="O26" s="81">
        <f ca="1">IF(ResourceAction[[#This Row],[Resource Name]]="","idn1",IF(ResourceAction[[#This Row],[IDN1]]="","",VLOOKUP(ResourceAction[[#This Row],[IDN1]],IDNMaps[[Display]:[ID]],2,0)))</f>
        <v>56</v>
      </c>
      <c r="P26" s="81">
        <f ca="1">IF(ResourceAction[[#This Row],[Resource Name]]="","idn2",IF(ResourceAction[[#This Row],[IDN2]]="","",VLOOKUP(ResourceAction[[#This Row],[IDN2]],IDNMaps[[Display]:[ID]],2,0)))</f>
        <v>20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1145</v>
      </c>
      <c r="U26" s="107" t="s">
        <v>1146</v>
      </c>
      <c r="V26" s="107"/>
      <c r="W26" s="107"/>
      <c r="X26" s="107"/>
      <c r="Y26" s="93">
        <f>[No]</f>
        <v>24</v>
      </c>
      <c r="AA26" s="2" t="s">
        <v>1301</v>
      </c>
      <c r="AB26" s="17">
        <f>VLOOKUP(ActionListNData[[#This Row],[Action Name]],ResourceAction[[Display]:[No]],3,0)</f>
        <v>36</v>
      </c>
      <c r="AC26" s="17" t="s">
        <v>1083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Map'!$A$10,SeedMap[],35,0),0))</f>
        <v>24</v>
      </c>
      <c r="AG26" s="17">
        <f>ActionListNData[[#This Row],[Action]]</f>
        <v>36</v>
      </c>
      <c r="AH26" s="17">
        <f>IF(ActionListNData[[#This Row],[Action Name]]="","resource_list",IFERROR(VLOOKUP(ActionListNData[[#This Row],[Resource List]],ResourceList[[ListDisplayName]:[No]],2,0),""))</f>
        <v>3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6" s="17">
        <f>ActionListNData[[#This Row],[Action]]</f>
        <v>36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ResourceForm/ListFormCollectionsAction</v>
      </c>
      <c r="C27" s="39" t="s">
        <v>310</v>
      </c>
      <c r="D27" s="50">
        <f>IF(ResourceAction[[#This Row],[Resource Name]]="","id",COUNTA($C$3:ResourceAction[[#This Row],[Resource Name]])+IF(VLOOKUP('Table Seed Map'!$A$33,SeedMap[],9,0),VLOOKUP('Table Seed Map'!$A$10,SeedMap[],32,0),0))</f>
        <v>25</v>
      </c>
      <c r="E27" s="50">
        <f>VLOOKUP(ResourceAction[[#This Row],[Resource Name]],ResourceTable[[RName]:[RID]],2,0)</f>
        <v>8</v>
      </c>
      <c r="F27" s="50" t="s">
        <v>1159</v>
      </c>
      <c r="G27" s="50" t="s">
        <v>1160</v>
      </c>
      <c r="H27" s="50" t="s">
        <v>1161</v>
      </c>
      <c r="I27" s="46" t="s">
        <v>760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1109</v>
      </c>
      <c r="O27" s="81">
        <f ca="1">IF(ResourceAction[[#This Row],[Resource Name]]="","idn1",IF(ResourceAction[[#This Row],[IDN1]]="","",VLOOKUP(ResourceAction[[#This Row],[IDN1]],IDNMaps[[Display]:[ID]],2,0)))</f>
        <v>38</v>
      </c>
      <c r="P27" s="81">
        <f ca="1">IF(ResourceAction[[#This Row],[Resource Name]]="","idn2",IF(ResourceAction[[#This Row],[IDN2]]="","",VLOOKUP(ResourceAction[[#This Row],[IDN2]],IDNMaps[[Display]:[ID]],2,0)))</f>
        <v>5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1162</v>
      </c>
      <c r="U27" s="107" t="s">
        <v>1163</v>
      </c>
      <c r="V27" s="107"/>
      <c r="W27" s="107"/>
      <c r="X27" s="107"/>
      <c r="Y27" s="93">
        <f>[No]</f>
        <v>25</v>
      </c>
      <c r="AA27" s="2" t="s">
        <v>1351</v>
      </c>
      <c r="AB27" s="17">
        <f>VLOOKUP(ActionListNData[[#This Row],[Action Name]],ResourceAction[[Display]:[No]],3,0)</f>
        <v>37</v>
      </c>
      <c r="AC27" s="17" t="s">
        <v>1126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Map'!$A$10,SeedMap[],35,0),0))</f>
        <v>25</v>
      </c>
      <c r="AG27" s="17">
        <f>ActionListNData[[#This Row],[Action]]</f>
        <v>37</v>
      </c>
      <c r="AH27" s="17">
        <f>IF(ActionListNData[[#This Row],[Action Name]]="","resource_list",IFERROR(VLOOKUP(ActionListNData[[#This Row],[Resource List]],ResourceList[[ListDisplayName]:[No]],2,0),""))</f>
        <v>7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7" s="17">
        <f>ActionListNData[[#This Row],[Action]]</f>
        <v>37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ResourceList/ListListRelationAction</v>
      </c>
      <c r="C28" s="39" t="s">
        <v>406</v>
      </c>
      <c r="D28" s="50">
        <f>IF(ResourceAction[[#This Row],[Resource Name]]="","id",COUNTA($C$3:ResourceAction[[#This Row],[Resource Name]])+IF(VLOOKUP('Table Seed Map'!$A$33,SeedMap[],9,0),VLOOKUP('Table Seed Map'!$A$10,SeedMap[],32,0),0))</f>
        <v>26</v>
      </c>
      <c r="E28" s="50">
        <f>VLOOKUP(ResourceAction[[#This Row],[Resource Name]],ResourceTable[[RName]:[RID]],2,0)</f>
        <v>20</v>
      </c>
      <c r="F28" s="50" t="s">
        <v>1253</v>
      </c>
      <c r="G28" s="50" t="s">
        <v>1207</v>
      </c>
      <c r="H28" s="50" t="s">
        <v>1211</v>
      </c>
      <c r="I28" s="46" t="s">
        <v>760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1109</v>
      </c>
      <c r="O28" s="81">
        <f ca="1">IF(ResourceAction[[#This Row],[Resource Name]]="","idn1",IF(ResourceAction[[#This Row],[IDN1]]="","",VLOOKUP(ResourceAction[[#This Row],[IDN1]],IDNMaps[[Display]:[ID]],2,0)))</f>
        <v>26</v>
      </c>
      <c r="P28" s="81">
        <f ca="1">IF(ResourceAction[[#This Row],[Resource Name]]="","idn2",IF(ResourceAction[[#This Row],[IDN2]]="","",VLOOKUP(ResourceAction[[#This Row],[IDN2]],IDNMaps[[Display]:[ID]],2,0)))</f>
        <v>10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1218</v>
      </c>
      <c r="U28" s="107" t="s">
        <v>1219</v>
      </c>
      <c r="V28" s="107"/>
      <c r="W28" s="107"/>
      <c r="X28" s="107"/>
      <c r="Y28" s="93">
        <f>[No]</f>
        <v>26</v>
      </c>
      <c r="AA28" s="2" t="s">
        <v>1352</v>
      </c>
      <c r="AB28" s="17">
        <f>VLOOKUP(ActionListNData[[#This Row],[Action Name]],ResourceAction[[Display]:[No]],3,0)</f>
        <v>38</v>
      </c>
      <c r="AC28" s="17" t="s">
        <v>1126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Map'!$A$10,SeedMap[],35,0),0))</f>
        <v>26</v>
      </c>
      <c r="AG28" s="17">
        <f>ActionListNData[[#This Row],[Action]]</f>
        <v>38</v>
      </c>
      <c r="AH28" s="17">
        <f>IF(ActionListNData[[#This Row],[Action Name]]="","resource_list",IFERROR(VLOOKUP(ActionListNData[[#This Row],[Resource List]],ResourceList[[ListDisplayName]:[No]],2,0),""))</f>
        <v>7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8" s="17">
        <f>ActionListNData[[#This Row],[Action]]</f>
        <v>38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ResourceList/ListListScopesAction</v>
      </c>
      <c r="C29" s="39" t="s">
        <v>406</v>
      </c>
      <c r="D29" s="50">
        <f>IF(ResourceAction[[#This Row],[Resource Name]]="","id",COUNTA($C$3:ResourceAction[[#This Row],[Resource Name]])+IF(VLOOKUP('Table Seed Map'!$A$33,SeedMap[],9,0),VLOOKUP('Table Seed Map'!$A$10,SeedMap[],32,0),0))</f>
        <v>27</v>
      </c>
      <c r="E29" s="50">
        <f>VLOOKUP(ResourceAction[[#This Row],[Resource Name]],ResourceTable[[RName]:[RID]],2,0)</f>
        <v>20</v>
      </c>
      <c r="F29" s="50" t="s">
        <v>1254</v>
      </c>
      <c r="G29" s="50" t="s">
        <v>1208</v>
      </c>
      <c r="H29" s="50" t="s">
        <v>1212</v>
      </c>
      <c r="I29" s="46" t="s">
        <v>760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1109</v>
      </c>
      <c r="O29" s="81">
        <f ca="1">IF(ResourceAction[[#This Row],[Resource Name]]="","idn1",IF(ResourceAction[[#This Row],[IDN1]]="","",VLOOKUP(ResourceAction[[#This Row],[IDN1]],IDNMaps[[Display]:[ID]],2,0)))</f>
        <v>28</v>
      </c>
      <c r="P29" s="81">
        <f ca="1">IF(ResourceAction[[#This Row],[Resource Name]]="","idn2",IF(ResourceAction[[#This Row],[IDN2]]="","",VLOOKUP(ResourceAction[[#This Row],[IDN2]],IDNMaps[[Display]:[ID]],2,0)))</f>
        <v>10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1217</v>
      </c>
      <c r="U29" s="107" t="s">
        <v>1220</v>
      </c>
      <c r="V29" s="107"/>
      <c r="W29" s="107"/>
      <c r="X29" s="107"/>
      <c r="Y29" s="93">
        <f>[No]</f>
        <v>27</v>
      </c>
      <c r="AA29" s="2" t="s">
        <v>1353</v>
      </c>
      <c r="AB29" s="17">
        <f>VLOOKUP(ActionListNData[[#This Row],[Action Name]],ResourceAction[[Display]:[No]],3,0)</f>
        <v>39</v>
      </c>
      <c r="AC29" s="17" t="s">
        <v>1126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Map'!$A$10,SeedMap[],35,0),0))</f>
        <v>27</v>
      </c>
      <c r="AG29" s="17">
        <f>ActionListNData[[#This Row],[Action]]</f>
        <v>39</v>
      </c>
      <c r="AH29" s="17">
        <f>IF(ActionListNData[[#This Row],[Action Name]]="","resource_list",IFERROR(VLOOKUP(ActionListNData[[#This Row],[Resource List]],ResourceList[[ListDisplayName]:[No]],2,0),""))</f>
        <v>7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9" s="17">
        <f>ActionListNData[[#This Row],[Action]]</f>
        <v>39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ResourceList/ListListLayoutAction</v>
      </c>
      <c r="C30" s="39" t="s">
        <v>406</v>
      </c>
      <c r="D30" s="50">
        <f>IF(ResourceAction[[#This Row],[Resource Name]]="","id",COUNTA($C$3:ResourceAction[[#This Row],[Resource Name]])+IF(VLOOKUP('Table Seed Map'!$A$33,SeedMap[],9,0),VLOOKUP('Table Seed Map'!$A$10,SeedMap[],32,0),0))</f>
        <v>28</v>
      </c>
      <c r="E30" s="50">
        <f>VLOOKUP(ResourceAction[[#This Row],[Resource Name]],ResourceTable[[RName]:[RID]],2,0)</f>
        <v>20</v>
      </c>
      <c r="F30" s="50" t="s">
        <v>1255</v>
      </c>
      <c r="G30" s="50" t="s">
        <v>1210</v>
      </c>
      <c r="H30" s="50" t="s">
        <v>1214</v>
      </c>
      <c r="I30" s="46" t="s">
        <v>760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1109</v>
      </c>
      <c r="O30" s="81">
        <f ca="1">IF(ResourceAction[[#This Row],[Resource Name]]="","idn1",IF(ResourceAction[[#This Row],[IDN1]]="","",VLOOKUP(ResourceAction[[#This Row],[IDN1]],IDNMaps[[Display]:[ID]],2,0)))</f>
        <v>31</v>
      </c>
      <c r="P30" s="81">
        <f ca="1">IF(ResourceAction[[#This Row],[Resource Name]]="","idn2",IF(ResourceAction[[#This Row],[IDN2]]="","",VLOOKUP(ResourceAction[[#This Row],[IDN2]],IDNMaps[[Display]:[ID]],2,0)))</f>
        <v>20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1216</v>
      </c>
      <c r="U30" s="107" t="s">
        <v>1221</v>
      </c>
      <c r="V30" s="107"/>
      <c r="W30" s="107"/>
      <c r="X30" s="107"/>
      <c r="Y30" s="93">
        <f>[No]</f>
        <v>28</v>
      </c>
      <c r="AA30" s="2" t="s">
        <v>1354</v>
      </c>
      <c r="AB30" s="17">
        <f>VLOOKUP(ActionListNData[[#This Row],[Action Name]],ResourceAction[[Display]:[No]],3,0)</f>
        <v>40</v>
      </c>
      <c r="AC30" s="17" t="s">
        <v>1126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Map'!$A$10,SeedMap[],35,0),0))</f>
        <v>28</v>
      </c>
      <c r="AG30" s="17">
        <f>ActionListNData[[#This Row],[Action]]</f>
        <v>40</v>
      </c>
      <c r="AH30" s="17">
        <f>IF(ActionListNData[[#This Row],[Action Name]]="","resource_list",IFERROR(VLOOKUP(ActionListNData[[#This Row],[Resource List]],ResourceList[[ListDisplayName]:[No]],2,0),""))</f>
        <v>7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0" s="17">
        <f>ActionListNData[[#This Row],[Action]]</f>
        <v>40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ResourceList/ListListSearchAction</v>
      </c>
      <c r="C31" s="39" t="s">
        <v>406</v>
      </c>
      <c r="D31" s="50">
        <f>IF(ResourceAction[[#This Row],[Resource Name]]="","id",COUNTA($C$3:ResourceAction[[#This Row],[Resource Name]])+IF(VLOOKUP('Table Seed Map'!$A$33,SeedMap[],9,0),VLOOKUP('Table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1256</v>
      </c>
      <c r="G31" s="50" t="s">
        <v>1209</v>
      </c>
      <c r="H31" s="50" t="s">
        <v>1213</v>
      </c>
      <c r="I31" s="46" t="s">
        <v>760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1109</v>
      </c>
      <c r="O31" s="81">
        <f ca="1">IF(ResourceAction[[#This Row],[Resource Name]]="","idn1",IF(ResourceAction[[#This Row],[IDN1]]="","",VLOOKUP(ResourceAction[[#This Row],[IDN1]],IDNMaps[[Display]:[ID]],2,0)))</f>
        <v>43</v>
      </c>
      <c r="P31" s="81">
        <f ca="1">IF(ResourceAction[[#This Row],[Resource Name]]="","idn2",IF(ResourceAction[[#This Row],[IDN2]]="","",VLOOKUP(ResourceAction[[#This Row],[IDN2]],IDNMaps[[Display]:[ID]],2,0)))</f>
        <v>20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1215</v>
      </c>
      <c r="U31" s="107" t="s">
        <v>1222</v>
      </c>
      <c r="V31" s="107"/>
      <c r="W31" s="107"/>
      <c r="X31" s="107"/>
      <c r="Y31" s="93">
        <f>[No]</f>
        <v>29</v>
      </c>
      <c r="AA31" s="2" t="s">
        <v>1355</v>
      </c>
      <c r="AB31" s="17">
        <f>VLOOKUP(ActionListNData[[#This Row],[Action Name]],ResourceAction[[Display]:[No]],3,0)</f>
        <v>41</v>
      </c>
      <c r="AC31" s="17" t="s">
        <v>1126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Map'!$A$10,SeedMap[],35,0),0))</f>
        <v>29</v>
      </c>
      <c r="AG31" s="17">
        <f>ActionListNData[[#This Row],[Action]]</f>
        <v>41</v>
      </c>
      <c r="AH31" s="17">
        <f>IF(ActionListNData[[#This Row],[Action Name]]="","resource_list",IFERROR(VLOOKUP(ActionListNData[[#This Row],[Resource List]],ResourceList[[ListDisplayName]:[No]],2,0),""))</f>
        <v>7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1" s="17">
        <f>ActionListNData[[#This Row],[Action]]</f>
        <v>41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ResourceData/ListDataRelationsAction</v>
      </c>
      <c r="C32" s="39" t="s">
        <v>429</v>
      </c>
      <c r="D32" s="50">
        <f>IF(ResourceAction[[#This Row],[Resource Name]]="","id",COUNTA($C$3:ResourceAction[[#This Row],[Resource Name]])+IF(VLOOKUP('Table Seed Map'!$A$33,SeedMap[],9,0),VLOOKUP('Table Seed Map'!$A$10,SeedMap[],32,0),0))</f>
        <v>30</v>
      </c>
      <c r="E32" s="50">
        <f>VLOOKUP(ResourceAction[[#This Row],[Resource Name]],ResourceTable[[RName]:[RID]],2,0)</f>
        <v>25</v>
      </c>
      <c r="F32" s="50" t="s">
        <v>1259</v>
      </c>
      <c r="G32" s="50" t="s">
        <v>1260</v>
      </c>
      <c r="H32" s="50" t="s">
        <v>1211</v>
      </c>
      <c r="I32" s="46" t="s">
        <v>760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1109</v>
      </c>
      <c r="O32" s="81">
        <f ca="1">IF(ResourceAction[[#This Row],[Resource Name]]="","idn1",IF(ResourceAction[[#This Row],[IDN1]]="","",VLOOKUP(ResourceAction[[#This Row],[IDN1]],IDNMaps[[Display]:[ID]],2,0)))</f>
        <v>29</v>
      </c>
      <c r="P32" s="81">
        <f ca="1">IF(ResourceAction[[#This Row],[Resource Name]]="","idn2",IF(ResourceAction[[#This Row],[IDN2]]="","",VLOOKUP(ResourceAction[[#This Row],[IDN2]],IDNMaps[[Display]:[ID]],2,0)))</f>
        <v>20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1264</v>
      </c>
      <c r="U32" s="107" t="s">
        <v>1267</v>
      </c>
      <c r="V32" s="107"/>
      <c r="W32" s="107"/>
      <c r="X32" s="107"/>
      <c r="Y32" s="93">
        <f>[No]</f>
        <v>30</v>
      </c>
      <c r="AA32" s="2" t="s">
        <v>1362</v>
      </c>
      <c r="AB32" s="17">
        <f>VLOOKUP(ActionListNData[[#This Row],[Action Name]],ResourceAction[[Display]:[No]],3,0)</f>
        <v>42</v>
      </c>
      <c r="AC32" s="17" t="s">
        <v>1084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Map'!$A$10,SeedMap[],35,0),0))</f>
        <v>30</v>
      </c>
      <c r="AG32" s="17">
        <f>ActionListNData[[#This Row],[Action]]</f>
        <v>42</v>
      </c>
      <c r="AH32" s="17">
        <f>IF(ActionListNData[[#This Row],[Action Name]]="","resource_list",IFERROR(VLOOKUP(ActionListNData[[#This Row],[Resource List]],ResourceList[[ListDisplayName]:[No]],2,0),""))</f>
        <v>5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2" s="17">
        <f>ActionListNData[[#This Row],[Action]]</f>
        <v>42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ResourceData/ListDataScopesAction</v>
      </c>
      <c r="C33" s="39" t="s">
        <v>429</v>
      </c>
      <c r="D33" s="50">
        <f>IF(ResourceAction[[#This Row],[Resource Name]]="","id",COUNTA($C$3:ResourceAction[[#This Row],[Resource Name]])+IF(VLOOKUP('Table Seed Map'!$A$33,SeedMap[],9,0),VLOOKUP('Table Seed Map'!$A$10,SeedMap[],32,0),0))</f>
        <v>31</v>
      </c>
      <c r="E33" s="50">
        <f>VLOOKUP(ResourceAction[[#This Row],[Resource Name]],ResourceTable[[RName]:[RID]],2,0)</f>
        <v>25</v>
      </c>
      <c r="F33" s="50" t="s">
        <v>1257</v>
      </c>
      <c r="G33" s="50" t="s">
        <v>1261</v>
      </c>
      <c r="H33" s="50" t="s">
        <v>1212</v>
      </c>
      <c r="I33" s="46" t="s">
        <v>760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1109</v>
      </c>
      <c r="O33" s="81">
        <f ca="1">IF(ResourceAction[[#This Row],[Resource Name]]="","idn1",IF(ResourceAction[[#This Row],[IDN1]]="","",VLOOKUP(ResourceAction[[#This Row],[IDN1]],IDNMaps[[Display]:[ID]],2,0)))</f>
        <v>50</v>
      </c>
      <c r="P33" s="81">
        <f ca="1">IF(ResourceAction[[#This Row],[Resource Name]]="","idn2",IF(ResourceAction[[#This Row],[IDN2]]="","",VLOOKUP(ResourceAction[[#This Row],[IDN2]],IDNMaps[[Display]:[ID]],2,0)))</f>
        <v>20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1266</v>
      </c>
      <c r="U33" s="107" t="s">
        <v>1268</v>
      </c>
      <c r="V33" s="107"/>
      <c r="W33" s="107"/>
      <c r="X33" s="107"/>
      <c r="Y33" s="93">
        <f>[No]</f>
        <v>31</v>
      </c>
      <c r="AA33" s="2" t="s">
        <v>1404</v>
      </c>
      <c r="AB33" s="17">
        <f>VLOOKUP(ActionListNData[[#This Row],[Action Name]],ResourceAction[[Display]:[No]],3,0)</f>
        <v>47</v>
      </c>
      <c r="AC33" s="17" t="s">
        <v>1379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Map'!$A$10,SeedMap[],35,0),0))</f>
        <v>31</v>
      </c>
      <c r="AG33" s="17">
        <f>ActionListNData[[#This Row],[Action]]</f>
        <v>47</v>
      </c>
      <c r="AH33" s="17">
        <f>IF(ActionListNData[[#This Row],[Action Name]]="","resource_list",IFERROR(VLOOKUP(ActionListNData[[#This Row],[Resource List]],ResourceList[[ListDisplayName]:[No]],2,0),""))</f>
        <v>23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3" s="17">
        <f>ActionListNData[[#This Row],[Action]]</f>
        <v>47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ResourceData/ListDataSectionsAction</v>
      </c>
      <c r="C34" s="39" t="s">
        <v>429</v>
      </c>
      <c r="D34" s="50">
        <f>IF(ResourceAction[[#This Row],[Resource Name]]="","id",COUNTA($C$3:ResourceAction[[#This Row],[Resource Name]])+IF(VLOOKUP('Table Seed Map'!$A$33,SeedMap[],9,0),VLOOKUP('Table Seed Map'!$A$10,SeedMap[],32,0),0))</f>
        <v>32</v>
      </c>
      <c r="E34" s="50">
        <f>VLOOKUP(ResourceAction[[#This Row],[Resource Name]],ResourceTable[[RName]:[RID]],2,0)</f>
        <v>25</v>
      </c>
      <c r="F34" s="50" t="s">
        <v>1258</v>
      </c>
      <c r="G34" s="50" t="s">
        <v>1262</v>
      </c>
      <c r="H34" s="50" t="s">
        <v>1263</v>
      </c>
      <c r="I34" s="46" t="s">
        <v>760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1109</v>
      </c>
      <c r="O34" s="81">
        <f ca="1">IF(ResourceAction[[#This Row],[Resource Name]]="","idn1",IF(ResourceAction[[#This Row],[IDN1]]="","",VLOOKUP(ResourceAction[[#This Row],[IDN1]],IDNMaps[[Display]:[ID]],2,0)))</f>
        <v>34</v>
      </c>
      <c r="P34" s="81">
        <f ca="1">IF(ResourceAction[[#This Row],[Resource Name]]="","idn2",IF(ResourceAction[[#This Row],[IDN2]]="","",VLOOKUP(ResourceAction[[#This Row],[IDN2]],IDNMaps[[Display]:[ID]],2,0)))</f>
        <v>20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1265</v>
      </c>
      <c r="U34" s="107" t="s">
        <v>1269</v>
      </c>
      <c r="V34" s="107"/>
      <c r="W34" s="107"/>
      <c r="X34" s="107"/>
      <c r="Y34" s="93">
        <f>[No]</f>
        <v>32</v>
      </c>
      <c r="AA34" s="2" t="s">
        <v>1409</v>
      </c>
      <c r="AB34" s="17">
        <f>VLOOKUP(ActionListNData[[#This Row],[Action Name]],ResourceAction[[Display]:[No]],3,0)</f>
        <v>48</v>
      </c>
      <c r="AC34" s="17" t="s">
        <v>1397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Map'!$A$10,SeedMap[],35,0),0))</f>
        <v>32</v>
      </c>
      <c r="AG34" s="17">
        <f>ActionListNData[[#This Row],[Action]]</f>
        <v>48</v>
      </c>
      <c r="AH34" s="17">
        <f>IF(ActionListNData[[#This Row],[Action Name]]="","resource_list",IFERROR(VLOOKUP(ActionListNData[[#This Row],[Resource List]],ResourceList[[ListDisplayName]:[No]],2,0),""))</f>
        <v>24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4" s="17">
        <f>ActionListNData[[#This Row],[Action]]</f>
        <v>48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ResourceData/ListDataActionsAction</v>
      </c>
      <c r="C35" s="39" t="s">
        <v>429</v>
      </c>
      <c r="D35" s="50">
        <f>IF(ResourceAction[[#This Row],[Resource Name]]="","id",COUNTA($C$3:ResourceAction[[#This Row],[Resource Name]])+IF(VLOOKUP('Table Seed Map'!$A$33,SeedMap[],9,0),VLOOKUP('Table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1278</v>
      </c>
      <c r="G35" s="50" t="s">
        <v>1279</v>
      </c>
      <c r="H35" s="50" t="s">
        <v>1119</v>
      </c>
      <c r="I35" s="46" t="s">
        <v>760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1109</v>
      </c>
      <c r="O35" s="81">
        <f ca="1">IF(ResourceAction[[#This Row],[Resource Name]]="","idn1",IF(ResourceAction[[#This Row],[IDN1]]="","",VLOOKUP(ResourceAction[[#This Row],[IDN1]],IDNMaps[[Display]:[ID]],2,0)))</f>
        <v>52</v>
      </c>
      <c r="P35" s="81">
        <f ca="1">IF(ResourceAction[[#This Row],[Resource Name]]="","idn2",IF(ResourceAction[[#This Row],[IDN2]]="","",VLOOKUP(ResourceAction[[#This Row],[IDN2]],IDNMaps[[Display]:[ID]],2,0)))</f>
        <v>100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1280</v>
      </c>
      <c r="U35" s="107" t="s">
        <v>1097</v>
      </c>
      <c r="V35" s="107"/>
      <c r="W35" s="107"/>
      <c r="X35" s="107"/>
      <c r="Y35" s="93">
        <f>[No]</f>
        <v>33</v>
      </c>
      <c r="AA35" s="2" t="s">
        <v>1421</v>
      </c>
      <c r="AB35" s="17">
        <f>VLOOKUP(ActionListNData[[#This Row],[Action Name]],ResourceAction[[Display]:[No]],3,0)</f>
        <v>49</v>
      </c>
      <c r="AC35" s="17" t="s">
        <v>1397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Map'!$A$10,SeedMap[],35,0),0))</f>
        <v>33</v>
      </c>
      <c r="AG35" s="17">
        <f>ActionListNData[[#This Row],[Action]]</f>
        <v>49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5" s="17">
        <f>ActionListNData[[#This Row],[Action]]</f>
        <v>49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ResourceAction/ListActionAttrsAction</v>
      </c>
      <c r="C36" s="39" t="s">
        <v>255</v>
      </c>
      <c r="D36" s="50">
        <f>IF(ResourceAction[[#This Row],[Resource Name]]="","id",COUNTA($C$3:ResourceAction[[#This Row],[Resource Name]])+IF(VLOOKUP('Table Seed Map'!$A$33,SeedMap[],9,0),VLOOKUP('Table Seed Map'!$A$10,SeedMap[],32,0),0))</f>
        <v>34</v>
      </c>
      <c r="E36" s="50">
        <f>VLOOKUP(ResourceAction[[#This Row],[Resource Name]],ResourceTable[[RName]:[RID]],2,0)</f>
        <v>30</v>
      </c>
      <c r="F36" s="50" t="s">
        <v>1284</v>
      </c>
      <c r="G36" s="50" t="s">
        <v>1285</v>
      </c>
      <c r="H36" s="50" t="s">
        <v>1286</v>
      </c>
      <c r="I36" s="46" t="s">
        <v>760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1109</v>
      </c>
      <c r="O36" s="81">
        <f ca="1">IF(ResourceAction[[#This Row],[Resource Name]]="","idn1",IF(ResourceAction[[#This Row],[IDN1]]="","",VLOOKUP(ResourceAction[[#This Row],[IDN1]],IDNMaps[[Display]:[ID]],2,0)))</f>
        <v>76</v>
      </c>
      <c r="P36" s="81">
        <f ca="1">IF(ResourceAction[[#This Row],[Resource Name]]="","idn2",IF(ResourceAction[[#This Row],[IDN2]]="","",VLOOKUP(ResourceAction[[#This Row],[IDN2]],IDNMaps[[Display]:[ID]],2,0)))</f>
        <v>20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1289</v>
      </c>
      <c r="U36" s="107" t="s">
        <v>1290</v>
      </c>
      <c r="V36" s="107"/>
      <c r="W36" s="107"/>
      <c r="X36" s="107"/>
      <c r="Y36" s="93">
        <f>[No]</f>
        <v>34</v>
      </c>
      <c r="AA36" s="2" t="s">
        <v>1432</v>
      </c>
      <c r="AB36" s="17">
        <f>VLOOKUP(ActionListNData[[#This Row],[Action Name]],ResourceAction[[Display]:[No]],3,0)</f>
        <v>50</v>
      </c>
      <c r="AC36" s="17" t="s">
        <v>1397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Map'!$A$10,SeedMap[],35,0),0))</f>
        <v>34</v>
      </c>
      <c r="AG36" s="17">
        <f>ActionListNData[[#This Row],[Action]]</f>
        <v>50</v>
      </c>
      <c r="AH36" s="17">
        <f>IF(ActionListNData[[#This Row],[Action Name]]="","resource_list",IFERROR(VLOOKUP(ActionListNData[[#This Row],[Resource List]],ResourceList[[ListDisplayName]:[No]],2,0),""))</f>
        <v>24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6" s="17">
        <f>ActionListNData[[#This Row],[Action]]</f>
        <v>50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ResourceAction/ListActionListsAction</v>
      </c>
      <c r="C37" s="39" t="s">
        <v>255</v>
      </c>
      <c r="D37" s="50">
        <f>IF(ResourceAction[[#This Row],[Resource Name]]="","id",COUNTA($C$3:ResourceAction[[#This Row],[Resource Name]])+IF(VLOOKUP('Table Seed Map'!$A$33,SeedMap[],9,0),VLOOKUP('Table Seed Map'!$A$10,SeedMap[],32,0),0))</f>
        <v>35</v>
      </c>
      <c r="E37" s="50">
        <f>VLOOKUP(ResourceAction[[#This Row],[Resource Name]],ResourceTable[[RName]:[RID]],2,0)</f>
        <v>30</v>
      </c>
      <c r="F37" s="50" t="s">
        <v>1294</v>
      </c>
      <c r="G37" s="50" t="s">
        <v>1296</v>
      </c>
      <c r="H37" s="50" t="s">
        <v>1117</v>
      </c>
      <c r="I37" s="46" t="s">
        <v>760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1109</v>
      </c>
      <c r="O37" s="81">
        <f ca="1">IF(ResourceAction[[#This Row],[Resource Name]]="","idn1",IF(ResourceAction[[#This Row],[IDN1]]="","",VLOOKUP(ResourceAction[[#This Row],[IDN1]],IDNMaps[[Display]:[ID]],2,0)))</f>
        <v>9</v>
      </c>
      <c r="P37" s="81">
        <f ca="1">IF(ResourceAction[[#This Row],[Resource Name]]="","idn2",IF(ResourceAction[[#This Row],[IDN2]]="","",VLOOKUP(ResourceAction[[#This Row],[IDN2]],IDNMaps[[Display]:[ID]],2,0)))</f>
        <v>100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1298</v>
      </c>
      <c r="U37" s="107" t="s">
        <v>1103</v>
      </c>
      <c r="V37" s="107"/>
      <c r="W37" s="107"/>
      <c r="X37" s="107"/>
      <c r="Y37" s="93">
        <f>[No]</f>
        <v>35</v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ResourceAction/ListActionDataAction</v>
      </c>
      <c r="C38" s="39" t="s">
        <v>255</v>
      </c>
      <c r="D38" s="50">
        <f>IF(ResourceAction[[#This Row],[Resource Name]]="","id",COUNTA($C$3:ResourceAction[[#This Row],[Resource Name]])+IF(VLOOKUP('Table Seed Map'!$A$33,SeedMap[],9,0),VLOOKUP('Table Seed Map'!$A$10,SeedMap[],32,0),0))</f>
        <v>36</v>
      </c>
      <c r="E38" s="50">
        <f>VLOOKUP(ResourceAction[[#This Row],[Resource Name]],ResourceTable[[RName]:[RID]],2,0)</f>
        <v>30</v>
      </c>
      <c r="F38" s="50" t="s">
        <v>1295</v>
      </c>
      <c r="G38" s="50" t="s">
        <v>1297</v>
      </c>
      <c r="H38" s="50" t="s">
        <v>1118</v>
      </c>
      <c r="I38" s="46" t="s">
        <v>760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1109</v>
      </c>
      <c r="O38" s="81">
        <f ca="1">IF(ResourceAction[[#This Row],[Resource Name]]="","idn1",IF(ResourceAction[[#This Row],[IDN1]]="","",VLOOKUP(ResourceAction[[#This Row],[IDN1]],IDNMaps[[Display]:[ID]],2,0)))</f>
        <v>10</v>
      </c>
      <c r="P38" s="81">
        <f ca="1">IF(ResourceAction[[#This Row],[Resource Name]]="","idn2",IF(ResourceAction[[#This Row],[IDN2]]="","",VLOOKUP(ResourceAction[[#This Row],[IDN2]],IDNMaps[[Display]:[ID]],2,0)))</f>
        <v>100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1299</v>
      </c>
      <c r="U38" s="107" t="s">
        <v>1106</v>
      </c>
      <c r="V38" s="107"/>
      <c r="W38" s="107"/>
      <c r="X38" s="107"/>
      <c r="Y38" s="93">
        <f>[No]</f>
        <v>36</v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ResourceFormField/ListFieldAttrs</v>
      </c>
      <c r="C39" s="39" t="s">
        <v>314</v>
      </c>
      <c r="D39" s="50">
        <f>IF(ResourceAction[[#This Row],[Resource Name]]="","id",COUNTA($C$3:ResourceAction[[#This Row],[Resource Name]])+IF(VLOOKUP('Table Seed Map'!$A$33,SeedMap[],9,0),VLOOKUP('Table Seed Map'!$A$10,SeedMap[],32,0),0))</f>
        <v>37</v>
      </c>
      <c r="E39" s="50">
        <f>VLOOKUP(ResourceAction[[#This Row],[Resource Name]],ResourceTable[[RName]:[RID]],2,0)</f>
        <v>9</v>
      </c>
      <c r="F39" s="50" t="s">
        <v>1327</v>
      </c>
      <c r="G39" s="50" t="s">
        <v>1332</v>
      </c>
      <c r="H39" s="50" t="s">
        <v>1286</v>
      </c>
      <c r="I39" s="46" t="s">
        <v>760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1109</v>
      </c>
      <c r="O39" s="81">
        <f ca="1">IF(ResourceAction[[#This Row],[Resource Name]]="","idn1",IF(ResourceAction[[#This Row],[IDN1]]="","",VLOOKUP(ResourceAction[[#This Row],[IDN1]],IDNMaps[[Display]:[ID]],2,0)))</f>
        <v>16</v>
      </c>
      <c r="P39" s="81">
        <f ca="1">IF(ResourceAction[[#This Row],[Resource Name]]="","idn2",IF(ResourceAction[[#This Row],[IDN2]]="","",VLOOKUP(ResourceAction[[#This Row],[IDN2]],IDNMaps[[Display]:[ID]],2,0)))</f>
        <v>30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1341</v>
      </c>
      <c r="U39" s="107" t="s">
        <v>1346</v>
      </c>
      <c r="V39" s="107"/>
      <c r="W39" s="107"/>
      <c r="X39" s="107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ResourceFormField/ListFieldOptions</v>
      </c>
      <c r="C40" s="39" t="s">
        <v>314</v>
      </c>
      <c r="D40" s="50">
        <f>IF(ResourceAction[[#This Row],[Resource Name]]="","id",COUNTA($C$3:ResourceAction[[#This Row],[Resource Name]])+IF(VLOOKUP('Table Seed Map'!$A$33,SeedMap[],9,0),VLOOKUP('Table Seed Map'!$A$10,SeedMap[],32,0),0))</f>
        <v>38</v>
      </c>
      <c r="E40" s="50">
        <f>VLOOKUP(ResourceAction[[#This Row],[Resource Name]],ResourceTable[[RName]:[RID]],2,0)</f>
        <v>9</v>
      </c>
      <c r="F40" s="50" t="s">
        <v>1328</v>
      </c>
      <c r="G40" s="50" t="s">
        <v>1333</v>
      </c>
      <c r="H40" s="50" t="s">
        <v>1337</v>
      </c>
      <c r="I40" s="46" t="s">
        <v>760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1109</v>
      </c>
      <c r="O40" s="81">
        <f ca="1">IF(ResourceAction[[#This Row],[Resource Name]]="","idn1",IF(ResourceAction[[#This Row],[IDN1]]="","",VLOOKUP(ResourceAction[[#This Row],[IDN1]],IDNMaps[[Display]:[ID]],2,0)))</f>
        <v>17</v>
      </c>
      <c r="P40" s="81">
        <f ca="1">IF(ResourceAction[[#This Row],[Resource Name]]="","idn2",IF(ResourceAction[[#This Row],[IDN2]]="","",VLOOKUP(ResourceAction[[#This Row],[IDN2]],IDNMaps[[Display]:[ID]],2,0)))</f>
        <v>5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1342</v>
      </c>
      <c r="U40" s="107" t="s">
        <v>1347</v>
      </c>
      <c r="V40" s="107"/>
      <c r="W40" s="107"/>
      <c r="X40" s="107"/>
      <c r="Y40" s="93">
        <f>[No]</f>
        <v>38</v>
      </c>
    </row>
    <row r="41" spans="1:38">
      <c r="A41" s="95" t="str">
        <f>'Table Seed Map'!$A$33&amp;"-"&amp;(COUNTA($E$1:ResourceAction[[#This Row],[Resource]])-2)</f>
        <v>Resource Actions-39</v>
      </c>
      <c r="B41" s="95" t="str">
        <f>ResourceAction[[#This Row],[Resource Name]]&amp;"/"&amp;ResourceAction[[#This Row],[Name]]</f>
        <v>ResourceFormField/ListFieldValidations</v>
      </c>
      <c r="C41" s="39" t="s">
        <v>314</v>
      </c>
      <c r="D41" s="95">
        <f>IF(ResourceAction[[#This Row],[Resource Name]]="","id",COUNTA($C$3:ResourceAction[[#This Row],[Resource Name]])+IF(VLOOKUP('Table Seed Map'!$A$33,SeedMap[],9,0),VLOOKUP('Table Seed Map'!$A$10,SeedMap[],32,0),0))</f>
        <v>39</v>
      </c>
      <c r="E41" s="95">
        <f>VLOOKUP(ResourceAction[[#This Row],[Resource Name]],ResourceTable[[RName]:[RID]],2,0)</f>
        <v>9</v>
      </c>
      <c r="F41" s="95" t="s">
        <v>1329</v>
      </c>
      <c r="G41" s="50" t="s">
        <v>1334</v>
      </c>
      <c r="H41" s="50" t="s">
        <v>1338</v>
      </c>
      <c r="I41" s="46" t="s">
        <v>760</v>
      </c>
      <c r="J41" s="95"/>
      <c r="K41" s="94" t="str">
        <f>'Table Seed Map'!$A$34&amp;"-"&amp;(COUNTA($E$1:ResourceAction[[#This Row],[Resource]])-2)</f>
        <v>Action Method-39</v>
      </c>
      <c r="L41" s="95">
        <f>IF(ResourceAction[[#This Row],[Resource Name]]="","id",COUNTA($C$3:ResourceAction[[#This Row],[Resource Name]])+IF(VLOOKUP('Table Seed Map'!$A$34,SeedMap[],9,0),VLOOKUP('Table Seed Map'!$A$34,SeedMap[],9,0),0))</f>
        <v>39</v>
      </c>
      <c r="M41" s="95">
        <f>[No]</f>
        <v>39</v>
      </c>
      <c r="N41" s="80" t="s">
        <v>1109</v>
      </c>
      <c r="O41" s="111">
        <f ca="1">IF(ResourceAction[[#This Row],[Resource Name]]="","idn1",IF(ResourceAction[[#This Row],[IDN1]]="","",VLOOKUP(ResourceAction[[#This Row],[IDN1]],IDNMaps[[Display]:[ID]],2,0)))</f>
        <v>18</v>
      </c>
      <c r="P41" s="111">
        <f ca="1">IF(ResourceAction[[#This Row],[Resource Name]]="","idn2",IF(ResourceAction[[#This Row],[IDN2]]="","",VLOOKUP(ResourceAction[[#This Row],[IDN2]],IDNMaps[[Display]:[ID]],2,0)))</f>
        <v>10</v>
      </c>
      <c r="Q41" s="111" t="str">
        <f>IF(ResourceAction[[#This Row],[Resource Name]]="","idn3",IF(ResourceAction[[#This Row],[IDN3]]="","",VLOOKUP(ResourceAction[[#This Row],[IDN3]],IDNMaps[[Display]:[ID]],2,0)))</f>
        <v/>
      </c>
      <c r="R41" s="111" t="str">
        <f>IF(ResourceAction[[#This Row],[Resource Name]]="","idn4",IF(ResourceAction[[#This Row],[IDN4]]="","",VLOOKUP(ResourceAction[[#This Row],[IDN4]],IDNMaps[[Display]:[ID]],2,0)))</f>
        <v/>
      </c>
      <c r="S41" s="111" t="str">
        <f>IF(ResourceAction[[#This Row],[Resource Name]]="","idn5",IF(ResourceAction[[#This Row],[IDN5]]="","",VLOOKUP(ResourceAction[[#This Row],[IDN5]],IDNMaps[[Display]:[ID]],2,0)))</f>
        <v/>
      </c>
      <c r="T41" s="107" t="s">
        <v>1343</v>
      </c>
      <c r="U41" s="107" t="s">
        <v>1348</v>
      </c>
      <c r="V41" s="114"/>
      <c r="W41" s="114"/>
      <c r="X41" s="114"/>
      <c r="Y41" s="115">
        <f>[No]</f>
        <v>39</v>
      </c>
    </row>
    <row r="42" spans="1:38">
      <c r="A42" s="95" t="str">
        <f>'Table Seed Map'!$A$33&amp;"-"&amp;(COUNTA($E$1:ResourceAction[[#This Row],[Resource]])-2)</f>
        <v>Resource Actions-40</v>
      </c>
      <c r="B42" s="95" t="str">
        <f>ResourceAction[[#This Row],[Resource Name]]&amp;"/"&amp;ResourceAction[[#This Row],[Name]]</f>
        <v>ResourceFormField/ListFieldDepends</v>
      </c>
      <c r="C42" s="39" t="s">
        <v>314</v>
      </c>
      <c r="D42" s="95">
        <f>IF(ResourceAction[[#This Row],[Resource Name]]="","id",COUNTA($C$3:ResourceAction[[#This Row],[Resource Name]])+IF(VLOOKUP('Table Seed Map'!$A$33,SeedMap[],9,0),VLOOKUP('Table Seed Map'!$A$10,SeedMap[],32,0),0))</f>
        <v>40</v>
      </c>
      <c r="E42" s="95">
        <f>VLOOKUP(ResourceAction[[#This Row],[Resource Name]],ResourceTable[[RName]:[RID]],2,0)</f>
        <v>9</v>
      </c>
      <c r="F42" s="95" t="s">
        <v>1330</v>
      </c>
      <c r="G42" s="50" t="s">
        <v>1335</v>
      </c>
      <c r="H42" s="50" t="s">
        <v>1339</v>
      </c>
      <c r="I42" s="46" t="s">
        <v>760</v>
      </c>
      <c r="J42" s="95"/>
      <c r="K42" s="94" t="str">
        <f>'Table Seed Map'!$A$34&amp;"-"&amp;(COUNTA($E$1:ResourceAction[[#This Row],[Resource]])-2)</f>
        <v>Action Method-40</v>
      </c>
      <c r="L42" s="95">
        <f>IF(ResourceAction[[#This Row],[Resource Name]]="","id",COUNTA($C$3:ResourceAction[[#This Row],[Resource Name]])+IF(VLOOKUP('Table Seed Map'!$A$34,SeedMap[],9,0),VLOOKUP('Table Seed Map'!$A$34,SeedMap[],9,0),0))</f>
        <v>40</v>
      </c>
      <c r="M42" s="95">
        <f>[No]</f>
        <v>40</v>
      </c>
      <c r="N42" s="80" t="s">
        <v>1109</v>
      </c>
      <c r="O42" s="111">
        <f ca="1">IF(ResourceAction[[#This Row],[Resource Name]]="","idn1",IF(ResourceAction[[#This Row],[IDN1]]="","",VLOOKUP(ResourceAction[[#This Row],[IDN1]],IDNMaps[[Display]:[ID]],2,0)))</f>
        <v>44</v>
      </c>
      <c r="P42" s="111">
        <f ca="1">IF(ResourceAction[[#This Row],[Resource Name]]="","idn2",IF(ResourceAction[[#This Row],[IDN2]]="","",VLOOKUP(ResourceAction[[#This Row],[IDN2]],IDNMaps[[Display]:[ID]],2,0)))</f>
        <v>5</v>
      </c>
      <c r="Q42" s="111" t="str">
        <f>IF(ResourceAction[[#This Row],[Resource Name]]="","idn3",IF(ResourceAction[[#This Row],[IDN3]]="","",VLOOKUP(ResourceAction[[#This Row],[IDN3]],IDNMaps[[Display]:[ID]],2,0)))</f>
        <v/>
      </c>
      <c r="R42" s="111" t="str">
        <f>IF(ResourceAction[[#This Row],[Resource Name]]="","idn4",IF(ResourceAction[[#This Row],[IDN4]]="","",VLOOKUP(ResourceAction[[#This Row],[IDN4]],IDNMaps[[Display]:[ID]],2,0)))</f>
        <v/>
      </c>
      <c r="S42" s="111" t="str">
        <f>IF(ResourceAction[[#This Row],[Resource Name]]="","idn5",IF(ResourceAction[[#This Row],[IDN5]]="","",VLOOKUP(ResourceAction[[#This Row],[IDN5]],IDNMaps[[Display]:[ID]],2,0)))</f>
        <v/>
      </c>
      <c r="T42" s="107" t="s">
        <v>1344</v>
      </c>
      <c r="U42" s="107" t="s">
        <v>1349</v>
      </c>
      <c r="V42" s="114"/>
      <c r="W42" s="114"/>
      <c r="X42" s="114"/>
      <c r="Y42" s="115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ResourceFormField/ListFieldDynamics</v>
      </c>
      <c r="C43" s="39" t="s">
        <v>314</v>
      </c>
      <c r="D43" s="50">
        <f>IF(ResourceAction[[#This Row],[Resource Name]]="","id",COUNTA($C$3:ResourceAction[[#This Row],[Resource Name]])+IF(VLOOKUP('Table Seed Map'!$A$33,SeedMap[],9,0),VLOOKUP('Table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1331</v>
      </c>
      <c r="G43" s="50" t="s">
        <v>1336</v>
      </c>
      <c r="H43" s="50" t="s">
        <v>1340</v>
      </c>
      <c r="I43" s="46" t="s">
        <v>760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1109</v>
      </c>
      <c r="O43" s="81">
        <f ca="1">IF(ResourceAction[[#This Row],[Resource Name]]="","idn1",IF(ResourceAction[[#This Row],[IDN1]]="","",VLOOKUP(ResourceAction[[#This Row],[IDN1]],IDNMaps[[Display]:[ID]],2,0)))</f>
        <v>49</v>
      </c>
      <c r="P43" s="81">
        <f ca="1">IF(ResourceAction[[#This Row],[Resource Name]]="","idn2",IF(ResourceAction[[#This Row],[IDN2]]="","",VLOOKUP(ResourceAction[[#This Row],[IDN2]],IDNMaps[[Display]:[ID]],2,0)))</f>
        <v>5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1345</v>
      </c>
      <c r="U43" s="107" t="s">
        <v>1350</v>
      </c>
      <c r="V43" s="107"/>
      <c r="W43" s="107"/>
      <c r="X43" s="107"/>
      <c r="Y43" s="93">
        <f>[No]</f>
        <v>41</v>
      </c>
    </row>
    <row r="44" spans="1:38">
      <c r="A44" s="50" t="str">
        <f>'Table Seed Map'!$A$33&amp;"-"&amp;(COUNTA($E$1:ResourceAction[[#This Row],[Resource]])-2)</f>
        <v>Resource Actions-42</v>
      </c>
      <c r="B44" s="50" t="str">
        <f>ResourceAction[[#This Row],[Resource Name]]&amp;"/"&amp;ResourceAction[[#This Row],[Name]]</f>
        <v>ResourceList/AddListActionsAction</v>
      </c>
      <c r="C44" s="39" t="s">
        <v>406</v>
      </c>
      <c r="D44" s="50">
        <f>IF(ResourceAction[[#This Row],[Resource Name]]="","id",COUNTA($C$3:ResourceAction[[#This Row],[Resource Name]])+IF(VLOOKUP('Table Seed Map'!$A$33,SeedMap[],9,0),VLOOKUP('Table Seed Map'!$A$10,SeedMap[],32,0),0))</f>
        <v>42</v>
      </c>
      <c r="E44" s="50">
        <f>VLOOKUP(ResourceAction[[#This Row],[Resource Name]],ResourceTable[[RName]:[RID]],2,0)</f>
        <v>20</v>
      </c>
      <c r="F44" s="50" t="s">
        <v>1358</v>
      </c>
      <c r="G44" s="50" t="s">
        <v>1359</v>
      </c>
      <c r="H44" s="50" t="s">
        <v>1360</v>
      </c>
      <c r="I44" s="46" t="s">
        <v>760</v>
      </c>
      <c r="J44" s="50"/>
      <c r="K44" s="51" t="str">
        <f>'Table Seed Map'!$A$34&amp;"-"&amp;(COUNTA($E$1:ResourceAction[[#This Row],[Resource]])-2)</f>
        <v>Action Method-42</v>
      </c>
      <c r="L44" s="50">
        <f>IF(ResourceAction[[#This Row],[Resource Name]]="","id",COUNTA($C$3:ResourceAction[[#This Row],[Resource Name]])+IF(VLOOKUP('Table Seed Map'!$A$34,SeedMap[],9,0),VLOOKUP('Table Seed Map'!$A$34,SeedMap[],9,0),0))</f>
        <v>42</v>
      </c>
      <c r="M44" s="50">
        <f>[No]</f>
        <v>42</v>
      </c>
      <c r="N44" s="80" t="s">
        <v>1361</v>
      </c>
      <c r="O44" s="81">
        <f ca="1">IF(ResourceAction[[#This Row],[Resource Name]]="","idn1",IF(ResourceAction[[#This Row],[IDN1]]="","",VLOOKUP(ResourceAction[[#This Row],[IDN1]],IDNMaps[[Display]:[ID]],2,0)))</f>
        <v>51</v>
      </c>
      <c r="P44" s="81">
        <f ca="1">IF(ResourceAction[[#This Row],[Resource Name]]="","idn2",IF(ResourceAction[[#This Row],[IDN2]]="","",VLOOKUP(ResourceAction[[#This Row],[IDN2]],IDNMaps[[Display]:[ID]],2,0)))</f>
        <v>100</v>
      </c>
      <c r="Q44" s="81" t="str">
        <f>IF(ResourceAction[[#This Row],[Resource Name]]="","idn3",IF(ResourceAction[[#This Row],[IDN3]]="","",VLOOKUP(ResourceAction[[#This Row],[IDN3]],IDNMaps[[Display]:[ID]],2,0)))</f>
        <v/>
      </c>
      <c r="R44" s="81" t="str">
        <f>IF(ResourceAction[[#This Row],[Resource Name]]="","idn4",IF(ResourceAction[[#This Row],[IDN4]]="","",VLOOKUP(ResourceAction[[#This Row],[IDN4]],IDNMaps[[Display]:[ID]],2,0)))</f>
        <v/>
      </c>
      <c r="S44" s="81" t="str">
        <f>IF(ResourceAction[[#This Row],[Resource Name]]="","idn5",IF(ResourceAction[[#This Row],[IDN5]]="","",VLOOKUP(ResourceAction[[#This Row],[IDN5]],IDNMaps[[Display]:[ID]],2,0)))</f>
        <v/>
      </c>
      <c r="T44" s="107" t="s">
        <v>1277</v>
      </c>
      <c r="U44" s="107" t="s">
        <v>1097</v>
      </c>
      <c r="V44" s="107"/>
      <c r="W44" s="107"/>
      <c r="X44" s="107"/>
      <c r="Y44" s="93">
        <f>[No]</f>
        <v>42</v>
      </c>
    </row>
    <row r="45" spans="1:38">
      <c r="A45" s="50" t="str">
        <f>'Table Seed Map'!$A$33&amp;"-"&amp;(COUNTA($E$1:ResourceAction[[#This Row],[Resource]])-2)</f>
        <v>Resource Actions-43</v>
      </c>
      <c r="B45" s="50" t="str">
        <f>ResourceAction[[#This Row],[Resource Name]]&amp;"/"&amp;ResourceAction[[#This Row],[Name]]</f>
        <v>Group/CreateGroupAction</v>
      </c>
      <c r="C45" s="39" t="s">
        <v>235</v>
      </c>
      <c r="D45" s="50">
        <f>IF(ResourceAction[[#This Row],[Resource Name]]="","id",COUNTA($C$3:ResourceAction[[#This Row],[Resource Name]])+IF(VLOOKUP('Table Seed Map'!$A$33,SeedMap[],9,0),VLOOKUP('Table Seed Map'!$A$10,SeedMap[],32,0),0))</f>
        <v>43</v>
      </c>
      <c r="E45" s="50">
        <f>VLOOKUP(ResourceAction[[#This Row],[Resource Name]],ResourceTable[[RName]:[RID]],2,0)</f>
        <v>2</v>
      </c>
      <c r="F45" s="50" t="s">
        <v>1372</v>
      </c>
      <c r="G45" s="50" t="s">
        <v>1373</v>
      </c>
      <c r="H45" s="50" t="s">
        <v>1374</v>
      </c>
      <c r="I45" s="50"/>
      <c r="J45" s="50" t="s">
        <v>1374</v>
      </c>
      <c r="K45" s="51" t="str">
        <f>'Table Seed Map'!$A$34&amp;"-"&amp;(COUNTA($E$1:ResourceAction[[#This Row],[Resource]])-2)</f>
        <v>Action Method-43</v>
      </c>
      <c r="L45" s="50">
        <f>IF(ResourceAction[[#This Row],[Resource Name]]="","id",COUNTA($C$3:ResourceAction[[#This Row],[Resource Name]])+IF(VLOOKUP('Table Seed Map'!$A$34,SeedMap[],9,0),VLOOKUP('Table Seed Map'!$A$34,SeedMap[],9,0),0))</f>
        <v>43</v>
      </c>
      <c r="M45" s="50">
        <f>[No]</f>
        <v>43</v>
      </c>
      <c r="N45" s="80" t="s">
        <v>275</v>
      </c>
      <c r="O45" s="81">
        <f ca="1">IF(ResourceAction[[#This Row],[Resource Name]]="","idn1",IF(ResourceAction[[#This Row],[IDN1]]="","",VLOOKUP(ResourceAction[[#This Row],[IDN1]],IDNMaps[[Display]:[ID]],2,0)))</f>
        <v>14</v>
      </c>
      <c r="P45" s="81" t="str">
        <f>IF(ResourceAction[[#This Row],[Resource Name]]="","idn2",IF(ResourceAction[[#This Row],[IDN2]]="","",VLOOKUP(ResourceAction[[#This Row],[IDN2]],IDNMaps[[Display]:[ID]],2,0)))</f>
        <v/>
      </c>
      <c r="Q45" s="81" t="str">
        <f>IF(ResourceAction[[#This Row],[Resource Name]]="","idn3",IF(ResourceAction[[#This Row],[IDN3]]="","",VLOOKUP(ResourceAction[[#This Row],[IDN3]],IDNMaps[[Display]:[ID]],2,0)))</f>
        <v/>
      </c>
      <c r="R45" s="81" t="str">
        <f>IF(ResourceAction[[#This Row],[Resource Name]]="","idn4",IF(ResourceAction[[#This Row],[IDN4]]="","",VLOOKUP(ResourceAction[[#This Row],[IDN4]],IDNMaps[[Display]:[ID]],2,0)))</f>
        <v/>
      </c>
      <c r="S45" s="81" t="str">
        <f>IF(ResourceAction[[#This Row],[Resource Name]]="","idn5",IF(ResourceAction[[#This Row],[IDN5]]="","",VLOOKUP(ResourceAction[[#This Row],[IDN5]],IDNMaps[[Display]:[ID]],2,0)))</f>
        <v/>
      </c>
      <c r="T45" s="107" t="s">
        <v>1375</v>
      </c>
      <c r="U45" s="107"/>
      <c r="V45" s="107"/>
      <c r="W45" s="107"/>
      <c r="X45" s="107"/>
      <c r="Y45" s="93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Group/ListGroupsAction</v>
      </c>
      <c r="C46" s="39" t="s">
        <v>235</v>
      </c>
      <c r="D46" s="50">
        <f>IF(ResourceAction[[#This Row],[Resource Name]]="","id",COUNTA($C$3:ResourceAction[[#This Row],[Resource Name]])+IF(VLOOKUP('Table Seed Map'!$A$33,SeedMap[],9,0),VLOOKUP('Table Seed Map'!$A$10,SeedMap[],32,0),0))</f>
        <v>44</v>
      </c>
      <c r="E46" s="50">
        <f>VLOOKUP(ResourceAction[[#This Row],[Resource Name]],ResourceTable[[RName]:[RID]],2,0)</f>
        <v>2</v>
      </c>
      <c r="F46" s="50" t="s">
        <v>1380</v>
      </c>
      <c r="G46" s="50" t="s">
        <v>1381</v>
      </c>
      <c r="H46" s="50" t="s">
        <v>177</v>
      </c>
      <c r="I46" s="50"/>
      <c r="J46" s="50" t="s">
        <v>177</v>
      </c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277</v>
      </c>
      <c r="O46" s="81">
        <f ca="1">IF(ResourceAction[[#This Row],[Resource Name]]="","idn1",IF(ResourceAction[[#This Row],[IDN1]]="","",VLOOKUP(ResourceAction[[#This Row],[IDN1]],IDNMaps[[Display]:[ID]],2,0)))</f>
        <v>20</v>
      </c>
      <c r="P46" s="81" t="str">
        <f>IF(ResourceAction[[#This Row],[Resource Name]]="","idn2",IF(ResourceAction[[#This Row],[IDN2]]="","",VLOOKUP(ResourceAction[[#This Row],[IDN2]],IDNMaps[[Display]:[ID]],2,0)))</f>
        <v/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1382</v>
      </c>
      <c r="U46" s="107"/>
      <c r="V46" s="107"/>
      <c r="W46" s="107"/>
      <c r="X46" s="107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Role/CreateRoleAction</v>
      </c>
      <c r="C47" s="39" t="s">
        <v>257</v>
      </c>
      <c r="D47" s="50">
        <f>IF(ResourceAction[[#This Row],[Resource Name]]="","id",COUNTA($C$3:ResourceAction[[#This Row],[Resource Name]])+IF(VLOOKUP('Table Seed Map'!$A$33,SeedMap[],9,0),VLOOKUP('Table Seed Map'!$A$10,SeedMap[],32,0),0))</f>
        <v>45</v>
      </c>
      <c r="E47" s="50">
        <f>VLOOKUP(ResourceAction[[#This Row],[Resource Name]],ResourceTable[[RName]:[RID]],2,0)</f>
        <v>3</v>
      </c>
      <c r="F47" s="50" t="s">
        <v>1390</v>
      </c>
      <c r="G47" s="50" t="s">
        <v>1392</v>
      </c>
      <c r="H47" s="50" t="s">
        <v>1394</v>
      </c>
      <c r="I47" s="50"/>
      <c r="J47" s="50" t="s">
        <v>1394</v>
      </c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275</v>
      </c>
      <c r="O47" s="81">
        <f ca="1">IF(ResourceAction[[#This Row],[Resource Name]]="","idn1",IF(ResourceAction[[#This Row],[IDN1]]="","",VLOOKUP(ResourceAction[[#This Row],[IDN1]],IDNMaps[[Display]:[ID]],2,0)))</f>
        <v>15</v>
      </c>
      <c r="P47" s="81" t="str">
        <f>IF(ResourceAction[[#This Row],[Resource Name]]="","idn2",IF(ResourceAction[[#This Row],[IDN2]]="","",VLOOKUP(ResourceAction[[#This Row],[IDN2]],IDNMaps[[Display]:[ID]],2,0)))</f>
        <v/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1398</v>
      </c>
      <c r="U47" s="107"/>
      <c r="V47" s="107"/>
      <c r="W47" s="107"/>
      <c r="X47" s="107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Role/ListRolesAction</v>
      </c>
      <c r="C48" s="39" t="s">
        <v>257</v>
      </c>
      <c r="D48" s="50">
        <f>IF(ResourceAction[[#This Row],[Resource Name]]="","id",COUNTA($C$3:ResourceAction[[#This Row],[Resource Name]])+IF(VLOOKUP('Table Seed Map'!$A$33,SeedMap[],9,0),VLOOKUP('Table Seed Map'!$A$10,SeedMap[],32,0),0))</f>
        <v>46</v>
      </c>
      <c r="E48" s="50">
        <f>VLOOKUP(ResourceAction[[#This Row],[Resource Name]],ResourceTable[[RName]:[RID]],2,0)</f>
        <v>3</v>
      </c>
      <c r="F48" s="50" t="s">
        <v>1391</v>
      </c>
      <c r="G48" s="50" t="s">
        <v>1393</v>
      </c>
      <c r="H48" s="50" t="s">
        <v>181</v>
      </c>
      <c r="I48" s="50"/>
      <c r="J48" s="50" t="s">
        <v>181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277</v>
      </c>
      <c r="O48" s="81">
        <f ca="1">IF(ResourceAction[[#This Row],[Resource Name]]="","idn1",IF(ResourceAction[[#This Row],[IDN1]]="","",VLOOKUP(ResourceAction[[#This Row],[IDN1]],IDNMaps[[Display]:[ID]],2,0)))</f>
        <v>20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1399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Group/ManageRolesAction</v>
      </c>
      <c r="C49" s="39" t="s">
        <v>235</v>
      </c>
      <c r="D49" s="50">
        <f>IF(ResourceAction[[#This Row],[Resource Name]]="","id",COUNTA($C$3:ResourceAction[[#This Row],[Resource Name]])+IF(VLOOKUP('Table Seed Map'!$A$33,SeedMap[],9,0),VLOOKUP('Table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1400</v>
      </c>
      <c r="G49" s="50" t="s">
        <v>1401</v>
      </c>
      <c r="H49" s="50" t="s">
        <v>1402</v>
      </c>
      <c r="I49" s="50" t="s">
        <v>760</v>
      </c>
      <c r="J49" s="50"/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1361</v>
      </c>
      <c r="O49" s="81">
        <f ca="1">IF(ResourceAction[[#This Row],[Resource Name]]="","idn1",IF(ResourceAction[[#This Row],[IDN1]]="","",VLOOKUP(ResourceAction[[#This Row],[IDN1]],IDNMaps[[Display]:[ID]],2,0)))</f>
        <v>3</v>
      </c>
      <c r="P49" s="81">
        <f ca="1">IF(ResourceAction[[#This Row],[Resource Name]]="","idn2",IF(ResourceAction[[#This Row],[IDN2]]="","",VLOOKUP(ResourceAction[[#This Row],[IDN2]],IDNMaps[[Display]:[ID]],2,0)))</f>
        <v>20</v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1403</v>
      </c>
      <c r="U49" s="107" t="s">
        <v>1399</v>
      </c>
      <c r="V49" s="107"/>
      <c r="W49" s="107"/>
      <c r="X49" s="107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Role/ManageGroupAction</v>
      </c>
      <c r="C50" s="39" t="s">
        <v>257</v>
      </c>
      <c r="D50" s="50">
        <f>IF(ResourceAction[[#This Row],[Resource Name]]="","id",COUNTA($C$3:ResourceAction[[#This Row],[Resource Name]])+IF(VLOOKUP('Table Seed Map'!$A$33,SeedMap[],9,0),VLOOKUP('Table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1405</v>
      </c>
      <c r="G50" s="50" t="s">
        <v>1406</v>
      </c>
      <c r="H50" s="50" t="s">
        <v>1407</v>
      </c>
      <c r="I50" s="50" t="s">
        <v>760</v>
      </c>
      <c r="J50" s="50"/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1361</v>
      </c>
      <c r="O50" s="81">
        <f ca="1">IF(ResourceAction[[#This Row],[Resource Name]]="","idn1",IF(ResourceAction[[#This Row],[IDN1]]="","",VLOOKUP(ResourceAction[[#This Row],[IDN1]],IDNMaps[[Display]:[ID]],2,0)))</f>
        <v>4</v>
      </c>
      <c r="P50" s="81">
        <f ca="1">IF(ResourceAction[[#This Row],[Resource Name]]="","idn2",IF(ResourceAction[[#This Row],[IDN2]]="","",VLOOKUP(ResourceAction[[#This Row],[IDN2]],IDNMaps[[Display]:[ID]],2,0)))</f>
        <v>20</v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1408</v>
      </c>
      <c r="U50" s="107" t="s">
        <v>1382</v>
      </c>
      <c r="V50" s="107"/>
      <c r="W50" s="107"/>
      <c r="X50" s="107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Role/AddRoleResource</v>
      </c>
      <c r="C51" s="39" t="s">
        <v>257</v>
      </c>
      <c r="D51" s="50">
        <f>IF(ResourceAction[[#This Row],[Resource Name]]="","id",COUNTA($C$3:ResourceAction[[#This Row],[Resource Name]])+IF(VLOOKUP('Table Seed Map'!$A$33,SeedMap[],9,0),VLOOKUP('Table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1417</v>
      </c>
      <c r="G51" s="50" t="s">
        <v>1418</v>
      </c>
      <c r="H51" s="50" t="s">
        <v>1412</v>
      </c>
      <c r="I51" s="50" t="s">
        <v>760</v>
      </c>
      <c r="J51" s="50"/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957</v>
      </c>
      <c r="O51" s="81">
        <f ca="1">IF(ResourceAction[[#This Row],[Resource Name]]="","idn1",IF(ResourceAction[[#This Row],[IDN1]]="","",VLOOKUP(ResourceAction[[#This Row],[IDN1]],IDNMaps[[Display]:[ID]],2,0)))</f>
        <v>5</v>
      </c>
      <c r="P51" s="81">
        <f ca="1">IF(ResourceAction[[#This Row],[Resource Name]]="","idn2",IF(ResourceAction[[#This Row],[IDN2]]="","",VLOOKUP(ResourceAction[[#This Row],[IDN2]],IDNMaps[[Display]:[ID]],2,0)))</f>
        <v>16</v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1419</v>
      </c>
      <c r="U51" s="107" t="s">
        <v>1420</v>
      </c>
      <c r="V51" s="107"/>
      <c r="W51" s="107"/>
      <c r="X51" s="107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Role/ListRoleResources</v>
      </c>
      <c r="C52" s="39" t="s">
        <v>257</v>
      </c>
      <c r="D52" s="50">
        <f>IF(ResourceAction[[#This Row],[Resource Name]]="","id",COUNTA($C$3:ResourceAction[[#This Row],[Resource Name]])+IF(VLOOKUP('Table Seed Map'!$A$33,SeedMap[],9,0),VLOOKUP('Table Seed Map'!$A$10,SeedMap[],32,0),0))</f>
        <v>50</v>
      </c>
      <c r="E52" s="50">
        <f>VLOOKUP(ResourceAction[[#This Row],[Resource Name]],ResourceTable[[RName]:[RID]],2,0)</f>
        <v>3</v>
      </c>
      <c r="F52" s="50" t="s">
        <v>1428</v>
      </c>
      <c r="G52" s="50" t="s">
        <v>1429</v>
      </c>
      <c r="H52" s="50" t="s">
        <v>1430</v>
      </c>
      <c r="I52" s="50" t="s">
        <v>760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1109</v>
      </c>
      <c r="O52" s="81">
        <f ca="1">IF(ResourceAction[[#This Row],[Resource Name]]="","idn1",IF(ResourceAction[[#This Row],[IDN1]]="","",VLOOKUP(ResourceAction[[#This Row],[IDN1]],IDNMaps[[Display]:[ID]],2,0)))</f>
        <v>5</v>
      </c>
      <c r="P52" s="81">
        <f ca="1">IF(ResourceAction[[#This Row],[Resource Name]]="","idn2",IF(ResourceAction[[#This Row],[IDN2]]="","",VLOOKUP(ResourceAction[[#This Row],[IDN2]],IDNMaps[[Display]:[ID]],2,0)))</f>
        <v>30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1419</v>
      </c>
      <c r="U52" s="107" t="s">
        <v>1431</v>
      </c>
      <c r="V52" s="107"/>
      <c r="W52" s="107"/>
      <c r="X52" s="107"/>
      <c r="Y52" s="93">
        <f>[No]</f>
        <v>50</v>
      </c>
    </row>
  </sheetData>
  <dataValidations count="7">
    <dataValidation type="list" allowBlank="1" showInputMessage="1" showErrorMessage="1" sqref="AN2 AA2:AA36">
      <formula1>ActionsName</formula1>
    </dataValidation>
    <dataValidation type="list" allowBlank="1" showInputMessage="1" showErrorMessage="1" sqref="N3:N6">
      <formula1>"Method,Dashboard,Form,List,Data,FormWithData,ListRelation,AddRelation,ManageRelation"</formula1>
    </dataValidation>
    <dataValidation type="list" allowBlank="1" showInputMessage="1" showErrorMessage="1" sqref="I2:I5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2">
      <formula1>Resources</formula1>
    </dataValidation>
    <dataValidation type="list" allowBlank="1" showInputMessage="1" showErrorMessage="1" sqref="T2:X52">
      <formula1>IDNs</formula1>
    </dataValidation>
    <dataValidation type="list" allowBlank="1" showInputMessage="1" showErrorMessage="1" sqref="AC2:AC36">
      <formula1>ListNames</formula1>
    </dataValidation>
    <dataValidation type="list" allowBlank="1" showInputMessage="1" showErrorMessage="1" sqref="AD2:AD3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2019-01-25T06:38:13Z</dcterms:modified>
</cp:coreProperties>
</file>